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F20" i="18" l="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15" i="48"/>
  <c r="F24" i="14"/>
  <c r="F26" i="14" s="1"/>
  <c r="E7" i="48"/>
  <c r="E25" i="48" s="1"/>
  <c r="Q46" i="14"/>
  <c r="Q61" i="14" s="1"/>
  <c r="Q63" i="14" s="1"/>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K10" i="14"/>
  <c r="J5" i="48"/>
  <c r="J23" i="48" s="1"/>
  <c r="N52" i="14"/>
  <c r="N61" i="14" s="1"/>
  <c r="N63" i="14"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<sst xmlns="http://schemas.openxmlformats.org/spreadsheetml/2006/main" count="2434" uniqueCount="913">
  <si>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</si>
  <si>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</si>
  <si>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</si>
  <si>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</si>
  <si>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</si>
  <si>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</si>
  <si>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</si>
  <si>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</si>
  <si>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</si>
  <si>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</si>
  <si>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</si>
  <si>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</si>
  <si>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</si>
  <si>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</si>
  <si>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</si>
  <si>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</si>
  <si>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</si>
  <si>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</si>
  <si>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</si>
  <si>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</si>
  <si>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</si>
  <si>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</si>
  <si>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</si>
  <si>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</si>
  <si>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</si>
  <si>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</si>
  <si>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</si>
  <si>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</si>
  <si>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</si>
  <si>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</si>
  <si>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</si>
  <si>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</si>
  <si>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</si>
  <si>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</si>
  <si>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</si>
  <si>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</si>
  <si>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</si>
  <si>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</si>
  <si>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</si>
  <si>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</si>
  <si>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</si>
  <si>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</si>
  <si>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</si>
  <si>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</si>
  <si>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</si>
  <si>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</si>
  <si>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</si>
  <si>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</si>
  <si>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</si>
  <si>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</si>
  <si>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</si>
  <si>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</si>
  <si>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</si>
  <si>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</si>
  <si>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</si>
  <si>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</si>
  <si>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</si>
  <si>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</si>
  <si>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</si>
  <si>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</si>
  <si>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</si>
  <si>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</si>
  <si>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</si>
  <si>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</si>
  <si>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</si>
  <si>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</si>
  <si>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</si>
  <si>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</si>
  <si>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</si>
  <si>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</si>
  <si>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</si>
  <si>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</si>
  <si>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</si>
  <si>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</si>
  <si>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</si>
  <si>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</si>
  <si>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</si>
  <si>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</si>
  <si>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</si>
  <si>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</si>
  <si>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</si>
  <si>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</si>
  <si>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</si>
  <si>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</si>
  <si>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</si>
  <si>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</si>
  <si>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</si>
  <si>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</si>
  <si>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</si>
  <si>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</si>
  <si>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</si>
  <si>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</si>
  <si>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</si>
  <si>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</si>
  <si>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</si>
  <si>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</si>
  <si>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</si>
  <si>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</si>
  <si>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</si>
  <si>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</si>
  <si>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</si>
  <si>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</si>
  <si>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</si>
  <si>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</si>
  <si>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</si>
  <si>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</si>
  <si>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</si>
  <si>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</si>
  <si>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</si>
  <si>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</si>
  <si>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</si>
  <si>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</si>
  <si>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</si>
  <si>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</si>
  <si>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</si>
  <si>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</si>
  <si>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</si>
  <si>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</si>
  <si>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</si>
  <si>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</si>
  <si>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</si>
  <si>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</si>
  <si>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</si>
  <si>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</si>
  <si>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</si>
  <si>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</si>
  <si>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</si>
  <si>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</si>
  <si>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</si>
  <si>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</si>
  <si>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</si>
  <si>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</si>
  <si>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</si>
  <si>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</si>
  <si>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</si>
  <si>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</si>
  <si>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</si>
  <si>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</si>
  <si>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</si>
  <si>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</si>
  <si>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</si>
  <si>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</si>
  <si>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</si>
  <si>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</si>
  <si>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</si>
  <si>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</si>
  <si>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</si>
  <si>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</si>
  <si>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</si>
  <si>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</si>
  <si>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</si>
  <si>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</si>
  <si>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</si>
  <si>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</si>
  <si>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</si>
  <si>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</si>
  <si>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</si>
  <si>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</si>
  <si>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</si>
  <si>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</si>
  <si>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</si>
  <si>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</si>
  <si>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</si>
  <si>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</si>
  <si>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</si>
  <si>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</si>
  <si>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</si>
  <si>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</si>
  <si>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</si>
  <si>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</si>
  <si>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</si>
  <si>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</si>
  <si>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</si>
  <si>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</si>
  <si>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</si>
  <si>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</si>
  <si>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</si>
  <si>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</si>
  <si>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</si>
  <si>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</si>
  <si>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</si>
  <si>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</si>
  <si>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</si>
  <si>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</si>
  <si>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</si>
  <si>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</si>
  <si>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</si>
  <si>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</si>
  <si>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</si>
  <si>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</si>
  <si>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</si>
  <si>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</si>
  <si>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</si>
  <si>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</si>
  <si>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</si>
  <si>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</si>
  <si>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</si>
  <si>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</si>
  <si>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</si>
  <si>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</si>
  <si>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</si>
  <si>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</si>
  <si>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</si>
  <si>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</si>
  <si>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</si>
  <si>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</si>
  <si>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</si>
  <si>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</si>
  <si>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</si>
  <si>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</si>
  <si>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</si>
  <si>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</si>
  <si>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</si>
  <si>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</si>
  <si>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</si>
  <si>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</si>
  <si>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</si>
  <si>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</si>
  <si>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</si>
  <si>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</si>
  <si>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</si>
  <si>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</si>
  <si>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</si>
  <si>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</si>
  <si>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</si>
  <si>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</si>
  <si>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</si>
  <si>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</si>
  <si>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</si>
  <si>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</si>
  <si>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</si>
  <si>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</si>
  <si>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</si>
  <si>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</si>
  <si>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</si>
  <si>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</si>
  <si>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</si>
  <si>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</si>
  <si>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</si>
  <si>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</si>
  <si>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</si>
  <si>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</si>
  <si>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</si>
  <si>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</si>
  <si>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</si>
  <si>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</si>
  <si>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</si>
  <si>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</si>
  <si>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</si>
  <si>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</si>
  <si>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</si>
  <si>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</si>
  <si>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</si>
  <si>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</si>
  <si>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</si>
  <si>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</si>
  <si>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</si>
  <si>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</si>
  <si>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</si>
  <si>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</si>
  <si>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</si>
  <si>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</si>
  <si>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</si>
  <si>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</si>
  <si>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</si>
  <si>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</si>
  <si>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</si>
  <si>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</si>
  <si>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</si>
  <si>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</si>
  <si>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</si>
  <si>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</si>
  <si>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</si>
  <si>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</si>
  <si>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</si>
  <si>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</si>
  <si>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</si>
  <si>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</si>
  <si>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</si>
  <si>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</si>
  <si>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</si>
  <si>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</si>
  <si>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</si>
  <si>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</si>
  <si>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</si>
  <si>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</si>
  <si>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</si>
  <si>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</si>
  <si>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</si>
  <si>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</si>
  <si>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</si>
  <si>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</si>
  <si>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</si>
  <si>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</si>
  <si>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</si>
  <si>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</si>
  <si>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</si>
  <si>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</si>
  <si>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</si>
  <si>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</si>
  <si>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</si>
  <si>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</si>
  <si>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</si>
  <si>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</si>
  <si>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</si>
  <si>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</si>
  <si>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</si>
  <si>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</si>
  <si>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</si>
  <si>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</si>
  <si>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</si>
  <si>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</si>
  <si>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</si>
  <si>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</si>
  <si>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</si>
  <si>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</si>
  <si>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</si>
  <si>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</si>
  <si>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</si>
  <si>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</si>
  <si>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</si>
  <si>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</si>
  <si>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</si>
  <si>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</si>
  <si>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</si>
  <si>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</si>
  <si>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</si>
  <si>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</si>
  <si>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</si>
  <si>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</si>
  <si>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</si>
  <si>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</si>
  <si>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</si>
  <si>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</si>
  <si>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</si>
  <si>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</si>
  <si>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</si>
  <si>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</si>
  <si>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</si>
  <si>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</si>
  <si>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</si>
  <si>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</si>
  <si>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</si>
  <si>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</si>
  <si>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</si>
  <si>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</si>
  <si>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</si>
  <si>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</si>
  <si>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</si>
  <si>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</si>
  <si>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</si>
  <si>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</si>
  <si>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</si>
  <si>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</si>
  <si>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</si>
  <si>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</si>
  <si>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</si>
  <si>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</si>
  <si>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</si>
  <si>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</si>
  <si>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</si>
  <si>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</si>
  <si>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</si>
  <si>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</si>
  <si>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</si>
  <si>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</si>
  <si>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</si>
  <si>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</si>
  <si>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</si>
  <si>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</si>
  <si>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</si>
  <si>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</si>
  <si>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</si>
  <si>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</si>
  <si>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</si>
  <si>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</si>
  <si>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</si>
  <si>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</si>
  <si>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</si>
  <si>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</si>
  <si>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</si>
  <si>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</si>
  <si>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</si>
  <si>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</si>
  <si>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</si>
  <si>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</si>
  <si>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</si>
  <si>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</si>
  <si>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</si>
  <si>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</si>
  <si>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</si>
  <si>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</si>
  <si>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</si>
  <si>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</si>
  <si>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</si>
  <si>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</si>
  <si>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</si>
  <si>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</si>
  <si>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</si>
  <si>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</si>
  <si>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</si>
  <si>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</si>
  <si>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</si>
  <si>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</si>
  <si>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</si>
  <si>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</si>
  <si>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</si>
  <si>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</si>
  <si>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</si>
  <si>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</si>
  <si>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</si>
  <si>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</si>
  <si>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</si>
  <si>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</si>
  <si>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</si>
  <si>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</si>
  <si>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</si>
  <si>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</si>
  <si>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</si>
  <si>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</si>
  <si>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</si>
  <si>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</si>
  <si>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</si>
  <si>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</si>
  <si>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</si>
  <si>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</si>
  <si>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</si>
  <si>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</si>
  <si>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</si>
  <si>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</si>
  <si>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</si>
  <si>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</si>
  <si>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</si>
  <si>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</si>
  <si>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</si>
  <si>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</si>
  <si>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</si>
  <si>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</si>
  <si>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</si>
  <si>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</si>
  <si>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</si>
  <si>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</si>
  <si>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</si>
  <si>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</si>
  <si>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</si>
  <si>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</si>
  <si>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</si>
  <si>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</si>
  <si>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</si>
  <si>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</si>
  <si>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</si>
  <si>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</si>
  <si>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</si>
  <si>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</si>
  <si>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</si>
  <si>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</si>
  <si>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</si>
  <si>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</si>
  <si>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</si>
  <si>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</si>
  <si>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</si>
  <si>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</si>
  <si>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</si>
  <si>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</si>
  <si>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</si>
  <si>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</si>
  <si>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</si>
  <si>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</si>
  <si>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</si>
  <si>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</si>
  <si>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</si>
  <si>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</si>
  <si>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</si>
  <si>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</si>
  <si>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</si>
  <si>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</si>
  <si>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</si>
  <si>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</si>
  <si>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</si>
  <si>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</si>
  <si>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</si>
  <si>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</si>
  <si>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</si>
  <si>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</si>
  <si>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</si>
  <si>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</si>
  <si>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</si>
  <si>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</si>
  <si>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</si>
  <si>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</si>
  <si>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</si>
  <si>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</si>
  <si>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</si>
  <si>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</si>
  <si>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</si>
  <si>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</si>
  <si>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</si>
  <si>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</si>
  <si>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</si>
  <si>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</si>
  <si>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</si>
  <si>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</si>
  <si>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</si>
  <si>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</si>
  <si>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</si>
  <si>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</si>
  <si>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</si>
  <si>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</si>
  <si>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</si>
  <si>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</si>
  <si>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</si>
  <si>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</si>
  <si>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</si>
  <si>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</si>
  <si>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</si>
  <si>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</si>
  <si>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</si>
  <si>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</si>
  <si>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</si>
  <si>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</si>
  <si>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</si>
  <si>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</si>
  <si>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</si>
  <si>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</si>
  <si>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</si>
  <si>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</si>
  <si>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</si>
  <si>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</si>
  <si>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</si>
  <si>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</si>
  <si>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</si>
  <si>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</si>
  <si>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</si>
  <si>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</si>
  <si>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</si>
  <si>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</si>
  <si>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</si>
  <si>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</si>
  <si>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</si>
  <si>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</si>
  <si>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</si>
  <si>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</si>
  <si>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</si>
  <si>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</si>
  <si>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</si>
  <si>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</si>
  <si>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</si>
  <si>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</si>
  <si>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</si>
  <si>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</si>
  <si>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</si>
  <si>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</si>
  <si>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</si>
  <si>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</si>
  <si>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</si>
  <si>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</si>
  <si>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</si>
  <si>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</si>
  <si>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</si>
  <si>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</si>
  <si>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</si>
  <si>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</si>
  <si>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</si>
  <si>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</si>
  <si>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</si>
  <si>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</si>
  <si>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</si>
  <si>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</si>
  <si>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</si>
  <si>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</si>
  <si>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</si>
  <si>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</si>
  <si>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</si>
  <si>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</si>
  <si>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</si>
  <si>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</si>
  <si>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</si>
  <si>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</si>
  <si>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</si>
  <si>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</si>
  <si>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</si>
  <si>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</si>
  <si>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</si>
  <si>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</si>
  <si>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</si>
  <si>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</si>
  <si>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</si>
  <si>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</si>
  <si>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</si>
  <si>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</si>
  <si>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</si>
  <si>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</si>
  <si>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</si>
  <si>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</si>
  <si>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</si>
  <si>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</si>
  <si>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</si>
  <si>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</si>
  <si>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</si>
  <si>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</si>
  <si>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</si>
  <si>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</si>
  <si>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</si>
  <si>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</si>
  <si>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</si>
  <si>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</si>
  <si>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</si>
  <si>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</si>
  <si>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</si>
  <si>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</si>
  <si>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</si>
  <si>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</si>
  <si>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</si>
  <si>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</si>
  <si>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</si>
  <si>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</si>
  <si>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</si>
  <si>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</si>
  <si>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</si>
  <si>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</si>
  <si>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</si>
  <si>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</si>
  <si>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</si>
  <si>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</si>
  <si>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</si>
  <si>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</si>
  <si>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</si>
  <si>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</si>
  <si>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</si>
  <si>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</si>
  <si>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</si>
  <si>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</si>
  <si>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</si>
  <si>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</si>
  <si>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</si>
  <si>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</si>
  <si>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</si>
  <si>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</si>
  <si>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</si>
  <si>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</si>
  <si>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</si>
  <si>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</si>
  <si>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</si>
  <si>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</si>
  <si>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</si>
  <si>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</si>
  <si>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</si>
  <si>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</si>
  <si>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</si>
  <si>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</si>
  <si>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</si>
  <si>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</si>
  <si>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</si>
  <si>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</si>
  <si>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</si>
  <si>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</si>
  <si>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</si>
  <si>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</si>
  <si>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</si>
  <si>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</si>
  <si>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</si>
  <si>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</si>
  <si>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</si>
  <si>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</si>
  <si>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</si>
  <si>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</si>
  <si>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</si>
  <si>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</si>
  <si>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</si>
  <si>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</si>
  <si>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</si>
  <si>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</si>
  <si>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</si>
  <si>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</si>
  <si>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</si>
  <si>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</si>
  <si>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</si>
  <si>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</si>
  <si>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</si>
  <si>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</si>
  <si>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</si>
  <si>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</si>
  <si>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</si>
  <si>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</si>
  <si>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</si>
  <si>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</si>
  <si>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</si>
  <si>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</si>
  <si>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</si>
  <si>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</si>
  <si>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</si>
  <si>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</si>
  <si>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</si>
  <si>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</si>
  <si>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</si>
  <si>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</si>
  <si>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</si>
  <si>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</si>
  <si>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</si>
  <si>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</si>
  <si>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</si>
  <si>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</si>
  <si>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</si>
  <si>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</si>
  <si>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</si>
  <si>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</si>
  <si>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</si>
  <si>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</si>
  <si>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</si>
  <si>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</si>
  <si>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</si>
  <si>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</si>
  <si>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</si>
  <si>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</si>
  <si>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</si>
  <si>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</si>
  <si>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</si>
  <si>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</si>
  <si>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</si>
  <si>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</si>
  <si>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</si>
  <si>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</si>
  <si>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</si>
  <si>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</si>
  <si>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</si>
  <si>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</si>
  <si>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</si>
  <si>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</si>
  <si>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</si>
  <si>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</si>
  <si>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</si>
  <si>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</si>
  <si>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</si>
  <si>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</si>
  <si>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</si>
  <si>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</si>
  <si>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</si>
  <si>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</si>
  <si>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</si>
  <si>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</si>
  <si>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</si>
  <si>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</si>
  <si>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</si>
  <si>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</si>
  <si>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</si>
  <si>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</si>
  <si>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</si>
  <si>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</si>
  <si>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</si>
  <si>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</si>
  <si>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</si>
  <si>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</si>
  <si>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</si>
  <si>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</si>
  <si>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</si>
  <si>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</si>
  <si>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</si>
  <si>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</si>
  <si>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</si>
  <si>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</si>
  <si>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</si>
  <si>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</si>
  <si>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</si>
  <si>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</si>
  <si>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</si>
  <si>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</si>
  <si>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</si>
  <si>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</si>
  <si>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</si>
  <si>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</si>
  <si>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</si>
  <si>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</si>
  <si>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</si>
  <si>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</si>
  <si>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</si>
  <si>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</si>
  <si>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</si>
  <si>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</si>
  <si>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</si>
  <si>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</si>
  <si>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</si>
  <si>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</si>
  <si>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</si>
  <si>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</si>
  <si>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</si>
  <si>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</si>
  <si>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</si>
  <si>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</si>
  <si>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</si>
  <si>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</si>
  <si>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</si>
  <si>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</si>
  <si>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</si>
  <si>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</si>
  <si>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</si>
  <si>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</si>
  <si>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</si>
  <si>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</si>
  <si>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</si>
  <si>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</si>
  <si>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</si>
  <si>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</si>
  <si>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</si>
  <si>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</si>
  <si>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</si>
  <si>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</si>
  <si>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</si>
  <si>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</si>
  <si>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</si>
  <si>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</si>
  <si>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</si>
  <si>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</si>
  <si>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</si>
  <si>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</si>
  <si>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</si>
  <si>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</si>
  <si>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</si>
  <si>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</si>
  <si>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</si>
  <si>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</si>
  <si>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</si>
  <si>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</si>
  <si>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</si>
  <si>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</si>
  <si>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</si>
  <si>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</si>
  <si>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</si>
  <si>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</si>
  <si>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</si>
  <si>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</si>
  <si>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</si>
  <si>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</si>
  <si>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</si>
  <si>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</si>
  <si>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</si>
  <si>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</si>
  <si>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</si>
  <si>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</si>
  <si>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</si>
  <si>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</si>
  <si>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</si>
  <si>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</si>
  <si>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</si>
  <si>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</si>
  <si>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</si>
  <si>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</si>
  <si>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</si>
  <si>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</si>
  <si>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</si>
  <si>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</si>
  <si>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</si>
  <si>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</si>
  <si>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</si>
  <si>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</si>
  <si>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</si>
  <si>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</si>
  <si>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</si>
  <si>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</si>
  <si>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</si>
  <si>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</si>
  <si>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</si>
  <si>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</si>
  <si>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</si>
  <si>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</si>
  <si>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</si>
  <si>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</si>
  <si>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</si>
  <si>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</si>
  <si>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</si>
  <si>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</si>
  <si>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</si>
  <si>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</si>
  <si>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</si>
  <si>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</si>
  <si>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</si>
  <si>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</si>
  <si>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</si>
  <si>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</si>
  <si>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</si>
  <si>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</si>
  <si>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</si>
  <si>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</si>
  <si>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</si>
  <si>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</si>
  <si>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</si>
  <si>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</si>
  <si>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</si>
  <si>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</si>
  <si>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</si>
  <si>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</si>
  <si>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</si>
  <si>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</si>
  <si>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</si>
  <si>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</si>
  <si>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</si>
  <si>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</si>
  <si>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</si>
  <si>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</si>
  <si>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</si>
  <si>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</si>
  <si>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</si>
  <si>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</si>
  <si>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</si>
  <si>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</si>
  <si>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</si>
  <si>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</si>
  <si>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</si>
  <si>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13019</t>
  </si>
  <si>
    <t>LILLE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</si>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</sst>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168156.96616239595</c:v>
                </c:pt>
                <c:pt idx="1">
                  <c:v>36358.674341186721</c:v>
                </c:pt>
                <c:pt idx="2">
                  <c:v>1012.116</c:v>
                </c:pt>
                <c:pt idx="3">
                  <c:v>6559.1053972636782</c:v>
                </c:pt>
                <c:pt idx="4">
                  <c:v>11251.452437896982</c:v>
                </c:pt>
                <c:pt idx="5">
                  <c:v>269036.0439100386</c:v>
                </c:pt>
                <c:pt idx="6">
                  <c:v>1692.6518096167636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168156.96616239595</c:v>
                </c:pt>
                <c:pt idx="1">
                  <c:v>36358.674341186721</c:v>
                </c:pt>
                <c:pt idx="2">
                  <c:v>1012.116</c:v>
                </c:pt>
                <c:pt idx="3">
                  <c:v>6559.1053972636782</c:v>
                </c:pt>
                <c:pt idx="4">
                  <c:v>11251.452437896982</c:v>
                </c:pt>
                <c:pt idx="5">
                  <c:v>269036.0439100386</c:v>
                </c:pt>
                <c:pt idx="6">
                  <c:v>1692.6518096167636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29390.992141429819</c:v>
                </c:pt>
                <c:pt idx="2">
                  <c:v>7190.2874867156797</c:v>
                </c:pt>
                <c:pt idx="3">
                  <c:v>200.70360316316604</c:v>
                </c:pt>
                <c:pt idx="4">
                  <c:v>1635.6664877305209</c:v>
                </c:pt>
                <c:pt idx="5">
                  <c:v>2374.9869414439895</c:v>
                </c:pt>
                <c:pt idx="6">
                  <c:v>67556.34472016865</c:v>
                </c:pt>
                <c:pt idx="7">
                  <c:v>427.50324866877918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29390.992141429819</c:v>
                </c:pt>
                <c:pt idx="2">
                  <c:v>7190.2874867156797</c:v>
                </c:pt>
                <c:pt idx="3">
                  <c:v>200.70360316316604</c:v>
                </c:pt>
                <c:pt idx="4">
                  <c:v>1635.6664877305209</c:v>
                </c:pt>
                <c:pt idx="5">
                  <c:v>2374.9869414439895</c:v>
                </c:pt>
                <c:pt idx="6">
                  <c:v>67556.34472016865</c:v>
                </c:pt>
                <c:pt idx="7">
                  <c:v>427.50324866877918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13019</v>
      </c>
      <c r="B6" s="391"/>
      <c r="C6" s="392"/>
    </row>
    <row r="7" spans="1:7" s="389" customFormat="1" ht="15.75" customHeight="1">
      <c r="A7" s="393" t="str">
        <f>txtMunicipality</f>
        <v>LILLE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0.19830098838785876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0.19830098838785876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6540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2429</v>
      </c>
      <c r="C14" s="330"/>
      <c r="D14" s="330"/>
      <c r="E14" s="330"/>
      <c r="F14" s="330"/>
    </row>
    <row r="15" spans="1:6">
      <c r="A15" s="1305" t="s">
        <v>183</v>
      </c>
      <c r="B15" s="1306">
        <v>560</v>
      </c>
      <c r="C15" s="330"/>
      <c r="D15" s="330"/>
      <c r="E15" s="330"/>
      <c r="F15" s="330"/>
    </row>
    <row r="16" spans="1:6">
      <c r="A16" s="1305" t="s">
        <v>6</v>
      </c>
      <c r="B16" s="1306">
        <v>1149</v>
      </c>
      <c r="C16" s="330"/>
      <c r="D16" s="330"/>
      <c r="E16" s="330"/>
      <c r="F16" s="330"/>
    </row>
    <row r="17" spans="1:6">
      <c r="A17" s="1305" t="s">
        <v>7</v>
      </c>
      <c r="B17" s="1306">
        <v>285</v>
      </c>
      <c r="C17" s="330"/>
      <c r="D17" s="330"/>
      <c r="E17" s="330"/>
      <c r="F17" s="330"/>
    </row>
    <row r="18" spans="1:6">
      <c r="A18" s="1305" t="s">
        <v>8</v>
      </c>
      <c r="B18" s="1306">
        <v>936</v>
      </c>
      <c r="C18" s="330"/>
      <c r="D18" s="330"/>
      <c r="E18" s="330"/>
      <c r="F18" s="330"/>
    </row>
    <row r="19" spans="1:6">
      <c r="A19" s="1305" t="s">
        <v>9</v>
      </c>
      <c r="B19" s="1306">
        <v>765</v>
      </c>
      <c r="C19" s="330"/>
      <c r="D19" s="330"/>
      <c r="E19" s="330"/>
      <c r="F19" s="330"/>
    </row>
    <row r="20" spans="1:6">
      <c r="A20" s="1305" t="s">
        <v>10</v>
      </c>
      <c r="B20" s="1306">
        <v>453</v>
      </c>
      <c r="C20" s="330"/>
      <c r="D20" s="330"/>
      <c r="E20" s="330"/>
      <c r="F20" s="330"/>
    </row>
    <row r="21" spans="1:6">
      <c r="A21" s="1305" t="s">
        <v>11</v>
      </c>
      <c r="B21" s="1306">
        <v>11758</v>
      </c>
      <c r="C21" s="330"/>
      <c r="D21" s="330"/>
      <c r="E21" s="330"/>
      <c r="F21" s="330"/>
    </row>
    <row r="22" spans="1:6">
      <c r="A22" s="1305" t="s">
        <v>12</v>
      </c>
      <c r="B22" s="1306">
        <v>19347</v>
      </c>
      <c r="C22" s="330"/>
      <c r="D22" s="330"/>
      <c r="E22" s="330"/>
      <c r="F22" s="330"/>
    </row>
    <row r="23" spans="1:6">
      <c r="A23" s="1305" t="s">
        <v>13</v>
      </c>
      <c r="B23" s="1306">
        <v>359</v>
      </c>
      <c r="C23" s="330"/>
      <c r="D23" s="330"/>
      <c r="E23" s="330"/>
      <c r="F23" s="330"/>
    </row>
    <row r="24" spans="1:6">
      <c r="A24" s="1305" t="s">
        <v>14</v>
      </c>
      <c r="B24" s="1306">
        <v>5</v>
      </c>
      <c r="C24" s="330"/>
      <c r="D24" s="330"/>
      <c r="E24" s="330"/>
      <c r="F24" s="330"/>
    </row>
    <row r="25" spans="1:6">
      <c r="A25" s="1305" t="s">
        <v>15</v>
      </c>
      <c r="B25" s="1306">
        <v>1287</v>
      </c>
      <c r="C25" s="330"/>
      <c r="D25" s="330"/>
      <c r="E25" s="330"/>
      <c r="F25" s="330"/>
    </row>
    <row r="26" spans="1:6">
      <c r="A26" s="1305" t="s">
        <v>16</v>
      </c>
      <c r="B26" s="1306">
        <v>38</v>
      </c>
      <c r="C26" s="330"/>
      <c r="D26" s="330"/>
      <c r="E26" s="330"/>
      <c r="F26" s="330"/>
    </row>
    <row r="27" spans="1:6">
      <c r="A27" s="1305" t="s">
        <v>17</v>
      </c>
      <c r="B27" s="1306">
        <v>4</v>
      </c>
      <c r="C27" s="330"/>
      <c r="D27" s="330"/>
      <c r="E27" s="330"/>
      <c r="F27" s="330"/>
    </row>
    <row r="28" spans="1:6" s="43" customFormat="1">
      <c r="A28" s="1307" t="s">
        <v>18</v>
      </c>
      <c r="B28" s="1308">
        <v>287998</v>
      </c>
      <c r="C28" s="336"/>
      <c r="D28" s="336"/>
      <c r="E28" s="336"/>
      <c r="F28" s="336"/>
    </row>
    <row r="29" spans="1:6">
      <c r="A29" s="1307" t="s">
        <v>909</v>
      </c>
      <c r="B29" s="1308">
        <v>93</v>
      </c>
      <c r="C29" s="336"/>
      <c r="D29" s="336"/>
      <c r="E29" s="336"/>
      <c r="F29" s="336"/>
    </row>
    <row r="30" spans="1:6">
      <c r="A30" s="1300" t="s">
        <v>910</v>
      </c>
      <c r="B30" s="1309">
        <v>28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17843.07</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7616.7380000000003</v>
      </c>
    </row>
    <row r="39" spans="1:6">
      <c r="A39" s="1305" t="s">
        <v>29</v>
      </c>
      <c r="B39" s="1305" t="s">
        <v>30</v>
      </c>
      <c r="C39" s="1306">
        <v>3929</v>
      </c>
      <c r="D39" s="1306">
        <v>62929016.419848002</v>
      </c>
      <c r="E39" s="1306">
        <v>6639</v>
      </c>
      <c r="F39" s="1306">
        <v>25570293</v>
      </c>
    </row>
    <row r="40" spans="1:6">
      <c r="A40" s="1305" t="s">
        <v>29</v>
      </c>
      <c r="B40" s="1305" t="s">
        <v>28</v>
      </c>
      <c r="C40" s="1306">
        <v>0</v>
      </c>
      <c r="D40" s="1306">
        <v>0</v>
      </c>
      <c r="E40" s="1306">
        <v>0</v>
      </c>
      <c r="F40" s="1306">
        <v>0</v>
      </c>
    </row>
    <row r="41" spans="1:6">
      <c r="A41" s="1305" t="s">
        <v>31</v>
      </c>
      <c r="B41" s="1305" t="s">
        <v>32</v>
      </c>
      <c r="C41" s="1306">
        <v>84</v>
      </c>
      <c r="D41" s="1306">
        <v>1689514.4071094899</v>
      </c>
      <c r="E41" s="1306">
        <v>179</v>
      </c>
      <c r="F41" s="1306">
        <v>2315174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205708.1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111848.43790668</v>
      </c>
      <c r="E47" s="1306">
        <v>6</v>
      </c>
      <c r="F47" s="1306">
        <v>105675.5</v>
      </c>
    </row>
    <row r="48" spans="1:6">
      <c r="A48" s="1305" t="s">
        <v>31</v>
      </c>
      <c r="B48" s="1305" t="s">
        <v>28</v>
      </c>
      <c r="C48" s="1306">
        <v>14</v>
      </c>
      <c r="D48" s="1306">
        <v>329537.20251202502</v>
      </c>
      <c r="E48" s="1306">
        <v>25</v>
      </c>
      <c r="F48" s="1306">
        <v>951841.1</v>
      </c>
    </row>
    <row r="49" spans="1:6">
      <c r="A49" s="1305" t="s">
        <v>31</v>
      </c>
      <c r="B49" s="1305" t="s">
        <v>39</v>
      </c>
      <c r="C49" s="1306">
        <v>0</v>
      </c>
      <c r="D49" s="1306">
        <v>0</v>
      </c>
      <c r="E49" s="1306">
        <v>0</v>
      </c>
      <c r="F49" s="1306">
        <v>0</v>
      </c>
    </row>
    <row r="50" spans="1:6">
      <c r="A50" s="1305" t="s">
        <v>31</v>
      </c>
      <c r="B50" s="1305" t="s">
        <v>40</v>
      </c>
      <c r="C50" s="1306">
        <v>8</v>
      </c>
      <c r="D50" s="1306">
        <v>394392.82825174998</v>
      </c>
      <c r="E50" s="1306">
        <v>16</v>
      </c>
      <c r="F50" s="1306">
        <v>678715.7</v>
      </c>
    </row>
    <row r="51" spans="1:6">
      <c r="A51" s="1305" t="s">
        <v>41</v>
      </c>
      <c r="B51" s="1305" t="s">
        <v>42</v>
      </c>
      <c r="C51" s="1306">
        <v>3</v>
      </c>
      <c r="D51" s="1306">
        <v>68939.7677667549</v>
      </c>
      <c r="E51" s="1306">
        <v>82</v>
      </c>
      <c r="F51" s="1306">
        <v>1513007</v>
      </c>
    </row>
    <row r="52" spans="1:6">
      <c r="A52" s="1305" t="s">
        <v>41</v>
      </c>
      <c r="B52" s="1305" t="s">
        <v>28</v>
      </c>
      <c r="C52" s="1306">
        <v>7</v>
      </c>
      <c r="D52" s="1306">
        <v>304294.76828597998</v>
      </c>
      <c r="E52" s="1306">
        <v>7</v>
      </c>
      <c r="F52" s="1306">
        <v>168842.9</v>
      </c>
    </row>
    <row r="53" spans="1:6">
      <c r="A53" s="1305" t="s">
        <v>43</v>
      </c>
      <c r="B53" s="1305" t="s">
        <v>44</v>
      </c>
      <c r="C53" s="1306">
        <v>91</v>
      </c>
      <c r="D53" s="1306">
        <v>1467741.7141264901</v>
      </c>
      <c r="E53" s="1306">
        <v>261</v>
      </c>
      <c r="F53" s="1306">
        <v>936334.1</v>
      </c>
    </row>
    <row r="54" spans="1:6">
      <c r="A54" s="1305" t="s">
        <v>45</v>
      </c>
      <c r="B54" s="1305" t="s">
        <v>46</v>
      </c>
      <c r="C54" s="1306">
        <v>0</v>
      </c>
      <c r="D54" s="1306">
        <v>0</v>
      </c>
      <c r="E54" s="1306">
        <v>1</v>
      </c>
      <c r="F54" s="1306">
        <v>1012116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24</v>
      </c>
      <c r="D57" s="1306">
        <v>649559.79500871897</v>
      </c>
      <c r="E57" s="1306">
        <v>57</v>
      </c>
      <c r="F57" s="1306">
        <v>919115.2</v>
      </c>
    </row>
    <row r="58" spans="1:6">
      <c r="A58" s="1305" t="s">
        <v>48</v>
      </c>
      <c r="B58" s="1305" t="s">
        <v>50</v>
      </c>
      <c r="C58" s="1306">
        <v>23</v>
      </c>
      <c r="D58" s="1306">
        <v>419923.23749353498</v>
      </c>
      <c r="E58" s="1306">
        <v>32</v>
      </c>
      <c r="F58" s="1306">
        <v>241966.4</v>
      </c>
    </row>
    <row r="59" spans="1:6">
      <c r="A59" s="1305" t="s">
        <v>48</v>
      </c>
      <c r="B59" s="1305" t="s">
        <v>51</v>
      </c>
      <c r="C59" s="1306">
        <v>76</v>
      </c>
      <c r="D59" s="1306">
        <v>3036253.09212744</v>
      </c>
      <c r="E59" s="1306">
        <v>184</v>
      </c>
      <c r="F59" s="1306">
        <v>4568932</v>
      </c>
    </row>
    <row r="60" spans="1:6">
      <c r="A60" s="1305" t="s">
        <v>48</v>
      </c>
      <c r="B60" s="1305" t="s">
        <v>52</v>
      </c>
      <c r="C60" s="1306">
        <v>51</v>
      </c>
      <c r="D60" s="1306">
        <v>2647604.0347067099</v>
      </c>
      <c r="E60" s="1306">
        <v>73</v>
      </c>
      <c r="F60" s="1306">
        <v>1895871</v>
      </c>
    </row>
    <row r="61" spans="1:6">
      <c r="A61" s="1305" t="s">
        <v>48</v>
      </c>
      <c r="B61" s="1305" t="s">
        <v>53</v>
      </c>
      <c r="C61" s="1306">
        <v>84</v>
      </c>
      <c r="D61" s="1306">
        <v>2027617.0515624599</v>
      </c>
      <c r="E61" s="1306">
        <v>174</v>
      </c>
      <c r="F61" s="1306">
        <v>1866750</v>
      </c>
    </row>
    <row r="62" spans="1:6">
      <c r="A62" s="1305" t="s">
        <v>48</v>
      </c>
      <c r="B62" s="1305" t="s">
        <v>54</v>
      </c>
      <c r="C62" s="1306">
        <v>0</v>
      </c>
      <c r="D62" s="1306">
        <v>0</v>
      </c>
      <c r="E62" s="1306">
        <v>0</v>
      </c>
      <c r="F62" s="1306">
        <v>0</v>
      </c>
    </row>
    <row r="63" spans="1:6">
      <c r="A63" s="1305" t="s">
        <v>48</v>
      </c>
      <c r="B63" s="1305" t="s">
        <v>28</v>
      </c>
      <c r="C63" s="1306">
        <v>80</v>
      </c>
      <c r="D63" s="1306">
        <v>10002449.2655439</v>
      </c>
      <c r="E63" s="1306">
        <v>91</v>
      </c>
      <c r="F63" s="1306">
        <v>6126179</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695</v>
      </c>
    </row>
    <row r="66" spans="1:6">
      <c r="A66" s="1305" t="s">
        <v>55</v>
      </c>
      <c r="B66" s="1305" t="s">
        <v>57</v>
      </c>
      <c r="C66" s="1306">
        <v>0</v>
      </c>
      <c r="D66" s="1306">
        <v>0</v>
      </c>
      <c r="E66" s="1306">
        <v>11</v>
      </c>
      <c r="F66" s="1306">
        <v>333865</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88921.68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71160346</v>
      </c>
      <c r="E73" s="450"/>
      <c r="F73" s="330"/>
    </row>
    <row r="74" spans="1:6">
      <c r="A74" s="1305" t="s">
        <v>63</v>
      </c>
      <c r="B74" s="1305" t="s">
        <v>710</v>
      </c>
      <c r="C74" s="1319" t="s">
        <v>712</v>
      </c>
      <c r="D74" s="1320">
        <v>7250759.2635870446</v>
      </c>
      <c r="E74" s="450"/>
      <c r="F74" s="330"/>
    </row>
    <row r="75" spans="1:6">
      <c r="A75" s="1305" t="s">
        <v>64</v>
      </c>
      <c r="B75" s="1305" t="s">
        <v>709</v>
      </c>
      <c r="C75" s="1319" t="s">
        <v>713</v>
      </c>
      <c r="D75" s="1320">
        <v>9558687</v>
      </c>
      <c r="E75" s="450"/>
      <c r="F75" s="330"/>
    </row>
    <row r="76" spans="1:6">
      <c r="A76" s="1305" t="s">
        <v>64</v>
      </c>
      <c r="B76" s="1305" t="s">
        <v>710</v>
      </c>
      <c r="C76" s="1319" t="s">
        <v>714</v>
      </c>
      <c r="D76" s="1320">
        <v>376935.2635870442</v>
      </c>
      <c r="E76" s="450"/>
      <c r="F76" s="330"/>
    </row>
    <row r="77" spans="1:6">
      <c r="A77" s="1305" t="s">
        <v>65</v>
      </c>
      <c r="B77" s="1305" t="s">
        <v>709</v>
      </c>
      <c r="C77" s="1319" t="s">
        <v>715</v>
      </c>
      <c r="D77" s="1320">
        <v>145797902</v>
      </c>
      <c r="E77" s="450"/>
      <c r="F77" s="330"/>
    </row>
    <row r="78" spans="1:6">
      <c r="A78" s="1300" t="s">
        <v>65</v>
      </c>
      <c r="B78" s="1300" t="s">
        <v>710</v>
      </c>
      <c r="C78" s="1300" t="s">
        <v>716</v>
      </c>
      <c r="D78" s="1321">
        <v>37172771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454477.47282591159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4278.3629587800533</v>
      </c>
      <c r="C91" s="330"/>
      <c r="D91" s="330"/>
      <c r="E91" s="330"/>
      <c r="F91" s="330"/>
    </row>
    <row r="92" spans="1:6">
      <c r="A92" s="1300" t="s">
        <v>68</v>
      </c>
      <c r="B92" s="1301">
        <v>1204.3740239029273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2301</v>
      </c>
      <c r="C97" s="330"/>
      <c r="D97" s="330"/>
      <c r="E97" s="330"/>
      <c r="F97" s="330"/>
    </row>
    <row r="98" spans="1:6">
      <c r="A98" s="1305" t="s">
        <v>71</v>
      </c>
      <c r="B98" s="1306">
        <v>11</v>
      </c>
      <c r="C98" s="330"/>
      <c r="D98" s="330"/>
      <c r="E98" s="330"/>
      <c r="F98" s="330"/>
    </row>
    <row r="99" spans="1:6">
      <c r="A99" s="1305" t="s">
        <v>72</v>
      </c>
      <c r="B99" s="1306">
        <v>157</v>
      </c>
      <c r="C99" s="330"/>
      <c r="D99" s="330"/>
      <c r="E99" s="330"/>
      <c r="F99" s="330"/>
    </row>
    <row r="100" spans="1:6">
      <c r="A100" s="1305" t="s">
        <v>73</v>
      </c>
      <c r="B100" s="1306">
        <v>332</v>
      </c>
      <c r="C100" s="330"/>
      <c r="D100" s="330"/>
      <c r="E100" s="330"/>
      <c r="F100" s="330"/>
    </row>
    <row r="101" spans="1:6">
      <c r="A101" s="1305" t="s">
        <v>74</v>
      </c>
      <c r="B101" s="1306">
        <v>205</v>
      </c>
      <c r="C101" s="330"/>
      <c r="D101" s="330"/>
      <c r="E101" s="330"/>
      <c r="F101" s="330"/>
    </row>
    <row r="102" spans="1:6">
      <c r="A102" s="1305" t="s">
        <v>75</v>
      </c>
      <c r="B102" s="1306">
        <v>64</v>
      </c>
      <c r="C102" s="330"/>
      <c r="D102" s="330"/>
      <c r="E102" s="330"/>
      <c r="F102" s="330"/>
    </row>
    <row r="103" spans="1:6">
      <c r="A103" s="1305" t="s">
        <v>76</v>
      </c>
      <c r="B103" s="1306">
        <v>202</v>
      </c>
      <c r="C103" s="330"/>
      <c r="D103" s="330"/>
      <c r="E103" s="330"/>
      <c r="F103" s="330"/>
    </row>
    <row r="104" spans="1:6">
      <c r="A104" s="1305" t="s">
        <v>77</v>
      </c>
      <c r="B104" s="1306">
        <v>2176</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32</v>
      </c>
      <c r="C123" s="1306">
        <v>15</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168</v>
      </c>
      <c r="C129" s="330"/>
      <c r="D129" s="330"/>
      <c r="E129" s="330"/>
      <c r="F129" s="330"/>
    </row>
    <row r="130" spans="1:6">
      <c r="A130" s="1305" t="s">
        <v>294</v>
      </c>
      <c r="B130" s="1306">
        <v>6</v>
      </c>
      <c r="C130" s="330"/>
      <c r="D130" s="330"/>
      <c r="E130" s="330"/>
      <c r="F130" s="330"/>
    </row>
    <row r="131" spans="1:6">
      <c r="A131" s="1305" t="s">
        <v>295</v>
      </c>
      <c r="B131" s="1306">
        <v>1</v>
      </c>
      <c r="C131" s="330"/>
      <c r="D131" s="330"/>
      <c r="E131" s="330"/>
      <c r="F131" s="330"/>
    </row>
    <row r="132" spans="1:6">
      <c r="A132" s="1300" t="s">
        <v>296</v>
      </c>
      <c r="B132" s="1301">
        <v>29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53380.512503233069</v>
      </c>
      <c r="C3" s="43" t="s">
        <v>169</v>
      </c>
      <c r="D3" s="43"/>
      <c r="E3" s="154"/>
      <c r="F3" s="43"/>
      <c r="G3" s="43"/>
      <c r="H3" s="43"/>
      <c r="I3" s="43"/>
      <c r="J3" s="43"/>
      <c r="K3" s="96"/>
    </row>
    <row r="4" spans="1:11">
      <c r="A4" s="359" t="s">
        <v>170</v>
      </c>
      <c r="B4" s="49">
        <f>IF(ISERROR('SEAP template'!B78+'SEAP template'!C78),0,'SEAP template'!B78+'SEAP template'!C78)</f>
        <v>5482.7369826829809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0.19830098838785876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1012.116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1012.116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0.19830098838785876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200.70360316316604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25570.293000000001</v>
      </c>
      <c r="C5" s="17">
        <f>IF(ISERROR('Eigen informatie GS &amp; warmtenet'!B57),0,'Eigen informatie GS &amp; warmtenet'!B57)</f>
        <v>0</v>
      </c>
      <c r="D5" s="30">
        <f>(SUM(HH_hh_gas_kWh,HH_rest_gas_kWh)/1000)*0.902</f>
        <v>56761.9728107029</v>
      </c>
      <c r="E5" s="17">
        <f>B46*B57</f>
        <v>32506.087992719924</v>
      </c>
      <c r="F5" s="17">
        <f>B51*B62</f>
        <v>15913.237679278216</v>
      </c>
      <c r="G5" s="18"/>
      <c r="H5" s="17"/>
      <c r="I5" s="17"/>
      <c r="J5" s="17">
        <f>B50*B61+C50*C61</f>
        <v>1068.7548595420565</v>
      </c>
      <c r="K5" s="17"/>
      <c r="L5" s="17"/>
      <c r="M5" s="17"/>
      <c r="N5" s="17">
        <f>B48*B59+C48*C59</f>
        <v>30607.536861372784</v>
      </c>
      <c r="O5" s="17">
        <f>B69*B70*B71</f>
        <v>287.65333333333336</v>
      </c>
      <c r="P5" s="17">
        <f>B77*B78*B79/1000-B77*B78*B79/1000/B80</f>
        <v>1163.0666666666666</v>
      </c>
    </row>
    <row r="6" spans="1:16">
      <c r="A6" s="16" t="s">
        <v>630</v>
      </c>
      <c r="B6" s="763">
        <f>kWh_PV_kleiner_dan_10kW</f>
        <v>4278.3629587800533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29848.655958780055</v>
      </c>
      <c r="C8" s="21">
        <f>C5</f>
        <v>0</v>
      </c>
      <c r="D8" s="21">
        <f>D5</f>
        <v>56761.9728107029</v>
      </c>
      <c r="E8" s="21">
        <f>E5</f>
        <v>32506.087992719924</v>
      </c>
      <c r="F8" s="21">
        <f>F5</f>
        <v>15913.237679278216</v>
      </c>
      <c r="G8" s="21"/>
      <c r="H8" s="21"/>
      <c r="I8" s="21"/>
      <c r="J8" s="21">
        <f>J5</f>
        <v>1068.7548595420565</v>
      </c>
      <c r="K8" s="21"/>
      <c r="L8" s="21">
        <f>L5</f>
        <v>0</v>
      </c>
      <c r="M8" s="21">
        <f>M5</f>
        <v>0</v>
      </c>
      <c r="N8" s="21">
        <f>N5</f>
        <v>30607.536861372784</v>
      </c>
      <c r="O8" s="21">
        <f>O5</f>
        <v>287.65333333333336</v>
      </c>
      <c r="P8" s="21">
        <f>P5</f>
        <v>1163.0666666666666</v>
      </c>
    </row>
    <row r="9" spans="1:16">
      <c r="B9" s="19"/>
      <c r="C9" s="19"/>
      <c r="D9" s="258"/>
      <c r="E9" s="19"/>
      <c r="F9" s="19"/>
      <c r="G9" s="19"/>
      <c r="H9" s="19"/>
      <c r="I9" s="19"/>
      <c r="J9" s="19"/>
      <c r="K9" s="19"/>
      <c r="L9" s="19"/>
      <c r="M9" s="19"/>
      <c r="N9" s="19"/>
      <c r="O9" s="19"/>
      <c r="P9" s="19"/>
    </row>
    <row r="10" spans="1:16">
      <c r="A10" s="24" t="s">
        <v>213</v>
      </c>
      <c r="B10" s="25">
        <f ca="1">'EF ele_warmte'!B12</f>
        <v>0.19830098838785876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5919.0179786752351</v>
      </c>
      <c r="C12" s="23">
        <f ca="1">C10*C8</f>
        <v>0</v>
      </c>
      <c r="D12" s="23">
        <f>D8*D10</f>
        <v>11465.918507761986</v>
      </c>
      <c r="E12" s="23">
        <f>E10*E8</f>
        <v>7378.8819743474232</v>
      </c>
      <c r="F12" s="23">
        <f>F10*F8</f>
        <v>4248.834460367284</v>
      </c>
      <c r="G12" s="23"/>
      <c r="H12" s="23"/>
      <c r="I12" s="23"/>
      <c r="J12" s="23">
        <f>J10*J8</f>
        <v>378.33922027788799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6540</v>
      </c>
      <c r="C28" s="36"/>
      <c r="D28" s="228"/>
    </row>
    <row r="29" spans="1:7" s="15" customFormat="1">
      <c r="A29" s="230" t="s">
        <v>737</v>
      </c>
      <c r="B29" s="37">
        <f>SUM(HH_hh_gas_aantal,HH_rest_gas_aantal)</f>
        <v>3929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3929</v>
      </c>
      <c r="C32" s="167">
        <f>IF(ISERROR(B32/SUM($B$32,$B$34,$B$35,$B$36,$B$38,$B$39)*100),0,B32/SUM($B$32,$B$34,$B$35,$B$36,$B$38,$B$39)*100)</f>
        <v>60.642074394196634</v>
      </c>
      <c r="D32" s="233"/>
      <c r="G32" s="15"/>
    </row>
    <row r="33" spans="1:7">
      <c r="A33" s="171" t="s">
        <v>71</v>
      </c>
      <c r="B33" s="34" t="s">
        <v>110</v>
      </c>
      <c r="C33" s="167"/>
      <c r="D33" s="233"/>
      <c r="G33" s="15"/>
    </row>
    <row r="34" spans="1:7">
      <c r="A34" s="171" t="s">
        <v>72</v>
      </c>
      <c r="B34" s="33">
        <f>IF((($B$28-$B$32-$B$39-$B$77-$B$38)*C20/100)&lt;0,0,($B$28-$B$32-$B$39-$B$77-$B$38)*C20/100)</f>
        <v>407.20461095100865</v>
      </c>
      <c r="C34" s="167">
        <f>IF(ISERROR(B34/SUM($B$32,$B$34,$B$35,$B$36,$B$38,$B$39)*100),0,B34/SUM($B$32,$B$34,$B$35,$B$36,$B$38,$B$39)*100)</f>
        <v>6.2849916800587851</v>
      </c>
      <c r="D34" s="233"/>
      <c r="G34" s="15"/>
    </row>
    <row r="35" spans="1:7">
      <c r="A35" s="171" t="s">
        <v>73</v>
      </c>
      <c r="B35" s="33">
        <f>IF((($B$28-$B$32-$B$39-$B$77-$B$38)*C21/100)&lt;0,0,($B$28-$B$32-$B$39-$B$77-$B$38)*C21/100)</f>
        <v>861.09510086455339</v>
      </c>
      <c r="C35" s="167">
        <f>IF(ISERROR(B35/SUM($B$32,$B$34,$B$35,$B$36,$B$38,$B$39)*100),0,B35/SUM($B$32,$B$34,$B$35,$B$36,$B$38,$B$39)*100)</f>
        <v>13.290555654646601</v>
      </c>
      <c r="D35" s="233"/>
      <c r="G35" s="15"/>
    </row>
    <row r="36" spans="1:7">
      <c r="A36" s="171" t="s">
        <v>74</v>
      </c>
      <c r="B36" s="33">
        <f>IF((($B$28-$B$32-$B$39-$B$77-$B$38)*C22/100)&lt;0,0,($B$28-$B$32-$B$39-$B$77-$B$38)*C22/100)</f>
        <v>531.70028818443814</v>
      </c>
      <c r="C36" s="167">
        <f>IF(ISERROR(B36/SUM($B$32,$B$34,$B$35,$B$36,$B$38,$B$39)*100),0,B36/SUM($B$32,$B$34,$B$35,$B$36,$B$38,$B$39)*100)</f>
        <v>8.2065177988028726</v>
      </c>
      <c r="D36" s="233"/>
      <c r="G36" s="15"/>
    </row>
    <row r="37" spans="1:7">
      <c r="A37" s="171" t="s">
        <v>75</v>
      </c>
      <c r="B37" s="34" t="s">
        <v>110</v>
      </c>
      <c r="C37" s="167"/>
      <c r="D37" s="173"/>
      <c r="G37" s="15"/>
    </row>
    <row r="38" spans="1:7">
      <c r="A38" s="171" t="s">
        <v>76</v>
      </c>
      <c r="B38" s="33">
        <f>IF((B24-(B29-B18)*0.1)&lt;0,0,B24-(B29-B18)*0.1)</f>
        <v>39.199999999999989</v>
      </c>
      <c r="C38" s="167">
        <f>IF(ISERROR(B38/SUM($B$32,$B$34,$B$35,$B$36,$B$38,$B$39)*100),0,B38/SUM($B$32,$B$34,$B$35,$B$36,$B$38,$B$39)*100)</f>
        <v>0.60503164068529069</v>
      </c>
      <c r="D38" s="234"/>
      <c r="G38" s="15"/>
    </row>
    <row r="39" spans="1:7">
      <c r="A39" s="171" t="s">
        <v>77</v>
      </c>
      <c r="B39" s="33">
        <f>IF((B25-(B29-B18))&lt;0,0,B25-(B29-B18)*0.9)</f>
        <v>710.8</v>
      </c>
      <c r="C39" s="167">
        <f>IF(ISERROR(B39/SUM($B$32,$B$34,$B$35,$B$36,$B$38,$B$39)*100),0,B39/SUM($B$32,$B$34,$B$35,$B$36,$B$38,$B$39)*100)</f>
        <v>10.970828831609817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3929</v>
      </c>
      <c r="C44" s="34" t="s">
        <v>110</v>
      </c>
      <c r="D44" s="174"/>
    </row>
    <row r="45" spans="1:7">
      <c r="A45" s="171" t="s">
        <v>71</v>
      </c>
      <c r="B45" s="33" t="str">
        <f t="shared" si="0"/>
        <v>-</v>
      </c>
      <c r="C45" s="34" t="s">
        <v>110</v>
      </c>
      <c r="D45" s="174"/>
    </row>
    <row r="46" spans="1:7">
      <c r="A46" s="171" t="s">
        <v>72</v>
      </c>
      <c r="B46" s="33">
        <f t="shared" si="0"/>
        <v>407.20461095100865</v>
      </c>
      <c r="C46" s="34" t="s">
        <v>110</v>
      </c>
      <c r="D46" s="174"/>
    </row>
    <row r="47" spans="1:7">
      <c r="A47" s="171" t="s">
        <v>73</v>
      </c>
      <c r="B47" s="33">
        <f t="shared" si="0"/>
        <v>861.09510086455339</v>
      </c>
      <c r="C47" s="34" t="s">
        <v>110</v>
      </c>
      <c r="D47" s="174"/>
    </row>
    <row r="48" spans="1:7">
      <c r="A48" s="171" t="s">
        <v>74</v>
      </c>
      <c r="B48" s="33">
        <f t="shared" si="0"/>
        <v>531.70028818443814</v>
      </c>
      <c r="C48" s="33">
        <f>B48*10</f>
        <v>5317.0028818443816</v>
      </c>
      <c r="D48" s="234"/>
    </row>
    <row r="49" spans="1:6">
      <c r="A49" s="171" t="s">
        <v>75</v>
      </c>
      <c r="B49" s="33" t="str">
        <f t="shared" si="0"/>
        <v>-</v>
      </c>
      <c r="C49" s="34" t="s">
        <v>110</v>
      </c>
      <c r="D49" s="234"/>
    </row>
    <row r="50" spans="1:6">
      <c r="A50" s="171" t="s">
        <v>76</v>
      </c>
      <c r="B50" s="33">
        <f t="shared" si="0"/>
        <v>39.199999999999989</v>
      </c>
      <c r="C50" s="33">
        <f>B50*2</f>
        <v>78.399999999999977</v>
      </c>
      <c r="D50" s="234"/>
    </row>
    <row r="51" spans="1:6">
      <c r="A51" s="171" t="s">
        <v>77</v>
      </c>
      <c r="B51" s="33">
        <f t="shared" si="0"/>
        <v>710.8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15618.813599999999</v>
      </c>
      <c r="C5" s="17">
        <f>IF(ISERROR('Eigen informatie GS &amp; warmtenet'!B58),0,'Eigen informatie GS &amp; warmtenet'!B58)</f>
        <v>0</v>
      </c>
      <c r="D5" s="30">
        <f>SUM(D6:D12)</f>
        <v>16942.632641751377</v>
      </c>
      <c r="E5" s="17">
        <f>SUM(E6:E12)</f>
        <v>192.79593088015076</v>
      </c>
      <c r="F5" s="17">
        <f>SUM(F6:F12)</f>
        <v>2347.8833050426092</v>
      </c>
      <c r="G5" s="18"/>
      <c r="H5" s="17"/>
      <c r="I5" s="17"/>
      <c r="J5" s="17">
        <f>SUM(J6:J12)</f>
        <v>0</v>
      </c>
      <c r="K5" s="17"/>
      <c r="L5" s="17"/>
      <c r="M5" s="17"/>
      <c r="N5" s="17">
        <f>SUM(N6:N12)</f>
        <v>1228.1021968459158</v>
      </c>
      <c r="O5" s="17">
        <f>B38*B39*B40</f>
        <v>9.3800000000000008</v>
      </c>
      <c r="P5" s="17">
        <f>B46*B47*B48/1000-B46*B47*B48/1000/B49</f>
        <v>19.066666666666666</v>
      </c>
      <c r="R5" s="32"/>
    </row>
    <row r="6" spans="1:18">
      <c r="A6" s="32" t="s">
        <v>53</v>
      </c>
      <c r="B6" s="37">
        <f>B26</f>
        <v>1866.75</v>
      </c>
      <c r="C6" s="33"/>
      <c r="D6" s="37">
        <f>IF(ISERROR(TER_kantoor_gas_kWh/1000),0,TER_kantoor_gas_kWh/1000)*0.902</f>
        <v>1828.9105805093388</v>
      </c>
      <c r="E6" s="33">
        <f>$C$26*'E Balans VL '!I12/100/3.6*1000000</f>
        <v>5.4082486410607258</v>
      </c>
      <c r="F6" s="33">
        <f>$C$26*('E Balans VL '!L12+'E Balans VL '!N12)/100/3.6*1000000</f>
        <v>211.27497230877367</v>
      </c>
      <c r="G6" s="34"/>
      <c r="H6" s="33"/>
      <c r="I6" s="33"/>
      <c r="J6" s="33">
        <f>$C$26*('E Balans VL '!D12+'E Balans VL '!E12)/100/3.6*1000000</f>
        <v>0</v>
      </c>
      <c r="K6" s="33"/>
      <c r="L6" s="33"/>
      <c r="M6" s="33"/>
      <c r="N6" s="33">
        <f>$C$26*'E Balans VL '!Y12/100/3.6*1000000</f>
        <v>18.684792017186389</v>
      </c>
      <c r="O6" s="33"/>
      <c r="P6" s="33"/>
      <c r="R6" s="32"/>
    </row>
    <row r="7" spans="1:18">
      <c r="A7" s="32" t="s">
        <v>52</v>
      </c>
      <c r="B7" s="37">
        <f t="shared" ref="B7:B12" si="0">B27</f>
        <v>1895.8710000000001</v>
      </c>
      <c r="C7" s="33"/>
      <c r="D7" s="37">
        <f>IF(ISERROR(TER_horeca_gas_kWh/1000),0,TER_horeca_gas_kWh/1000)*0.902</f>
        <v>2388.1388393054526</v>
      </c>
      <c r="E7" s="33">
        <f>$C$27*'E Balans VL '!I9/100/3.6*1000000</f>
        <v>79.583367621114235</v>
      </c>
      <c r="F7" s="33">
        <f>$C$27*('E Balans VL '!L9+'E Balans VL '!N9)/100/3.6*1000000</f>
        <v>407.36676284654646</v>
      </c>
      <c r="G7" s="34"/>
      <c r="H7" s="33"/>
      <c r="I7" s="33"/>
      <c r="J7" s="33">
        <f>$C$27*('E Balans VL '!D9+'E Balans VL '!E9)/100/3.6*1000000</f>
        <v>0</v>
      </c>
      <c r="K7" s="33"/>
      <c r="L7" s="33"/>
      <c r="M7" s="33"/>
      <c r="N7" s="33">
        <f>$C$27*'E Balans VL '!Y9/100/3.6*1000000</f>
        <v>0.4885493767066274</v>
      </c>
      <c r="O7" s="33"/>
      <c r="P7" s="33"/>
      <c r="R7" s="32"/>
    </row>
    <row r="8" spans="1:18">
      <c r="A8" s="6" t="s">
        <v>51</v>
      </c>
      <c r="B8" s="37">
        <f t="shared" si="0"/>
        <v>4568.9319999999998</v>
      </c>
      <c r="C8" s="33"/>
      <c r="D8" s="37">
        <f>IF(ISERROR(TER_handel_gas_kWh/1000),0,TER_handel_gas_kWh/1000)*0.902</f>
        <v>2738.7002890989511</v>
      </c>
      <c r="E8" s="33">
        <f>$C$28*'E Balans VL '!I13/100/3.6*1000000</f>
        <v>49.074132294008251</v>
      </c>
      <c r="F8" s="33">
        <f>$C$28*('E Balans VL '!L13+'E Balans VL '!N13)/100/3.6*1000000</f>
        <v>591.48597686267101</v>
      </c>
      <c r="G8" s="34"/>
      <c r="H8" s="33"/>
      <c r="I8" s="33"/>
      <c r="J8" s="33">
        <f>$C$28*('E Balans VL '!D13+'E Balans VL '!E13)/100/3.6*1000000</f>
        <v>0</v>
      </c>
      <c r="K8" s="33"/>
      <c r="L8" s="33"/>
      <c r="M8" s="33"/>
      <c r="N8" s="33">
        <f>$C$28*'E Balans VL '!Y13/100/3.6*1000000</f>
        <v>37.063425858534245</v>
      </c>
      <c r="O8" s="33"/>
      <c r="P8" s="33"/>
      <c r="R8" s="32"/>
    </row>
    <row r="9" spans="1:18">
      <c r="A9" s="32" t="s">
        <v>50</v>
      </c>
      <c r="B9" s="37">
        <f t="shared" si="0"/>
        <v>241.96639999999999</v>
      </c>
      <c r="C9" s="33"/>
      <c r="D9" s="37">
        <f>IF(ISERROR(TER_gezond_gas_kWh/1000),0,TER_gezond_gas_kWh/1000)*0.902</f>
        <v>378.77076021916855</v>
      </c>
      <c r="E9" s="33">
        <f>$C$29*'E Balans VL '!I10/100/3.6*1000000</f>
        <v>0.19262090436747697</v>
      </c>
      <c r="F9" s="33">
        <f>$C$29*('E Balans VL '!L10+'E Balans VL '!N10)/100/3.6*1000000</f>
        <v>29.414512649431831</v>
      </c>
      <c r="G9" s="34"/>
      <c r="H9" s="33"/>
      <c r="I9" s="33"/>
      <c r="J9" s="33">
        <f>$C$29*('E Balans VL '!D10+'E Balans VL '!E10)/100/3.6*1000000</f>
        <v>0</v>
      </c>
      <c r="K9" s="33"/>
      <c r="L9" s="33"/>
      <c r="M9" s="33"/>
      <c r="N9" s="33">
        <f>$C$29*'E Balans VL '!Y10/100/3.6*1000000</f>
        <v>1.9545404744142416</v>
      </c>
      <c r="O9" s="33"/>
      <c r="P9" s="33"/>
      <c r="R9" s="32"/>
    </row>
    <row r="10" spans="1:18">
      <c r="A10" s="32" t="s">
        <v>49</v>
      </c>
      <c r="B10" s="37">
        <f t="shared" si="0"/>
        <v>919.11519999999996</v>
      </c>
      <c r="C10" s="33"/>
      <c r="D10" s="37">
        <f>IF(ISERROR(TER_ander_gas_kWh/1000),0,TER_ander_gas_kWh/1000)*0.902</f>
        <v>585.90293509786454</v>
      </c>
      <c r="E10" s="33">
        <f>$C$30*'E Balans VL '!I14/100/3.6*1000000</f>
        <v>3.1498560745232616</v>
      </c>
      <c r="F10" s="33">
        <f>$C$30*('E Balans VL '!L14+'E Balans VL '!N14)/100/3.6*1000000</f>
        <v>205.29298723778788</v>
      </c>
      <c r="G10" s="34"/>
      <c r="H10" s="33"/>
      <c r="I10" s="33"/>
      <c r="J10" s="33">
        <f>$C$30*('E Balans VL '!D14+'E Balans VL '!E14)/100/3.6*1000000</f>
        <v>0</v>
      </c>
      <c r="K10" s="33"/>
      <c r="L10" s="33"/>
      <c r="M10" s="33"/>
      <c r="N10" s="33">
        <f>$C$30*'E Balans VL '!Y14/100/3.6*1000000</f>
        <v>647.42976790819012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6126.1790000000001</v>
      </c>
      <c r="C12" s="33"/>
      <c r="D12" s="37">
        <f>IF(ISERROR(TER_rest_gas_kWh/1000),0,TER_rest_gas_kWh/1000)*0.902</f>
        <v>9022.2092375205993</v>
      </c>
      <c r="E12" s="33">
        <f>$C$32*'E Balans VL '!I8/100/3.6*1000000</f>
        <v>55.38770534507681</v>
      </c>
      <c r="F12" s="33">
        <f>$C$32*('E Balans VL '!L8+'E Balans VL '!N8)/100/3.6*1000000</f>
        <v>903.0480931373985</v>
      </c>
      <c r="G12" s="34"/>
      <c r="H12" s="33"/>
      <c r="I12" s="33"/>
      <c r="J12" s="33">
        <f>$C$32*('E Balans VL '!D8+'E Balans VL '!E8)/100/3.6*1000000</f>
        <v>0</v>
      </c>
      <c r="K12" s="33"/>
      <c r="L12" s="33"/>
      <c r="M12" s="33"/>
      <c r="N12" s="33">
        <f>$C$32*'E Balans VL '!Y8/100/3.6*1000000</f>
        <v>522.48112121088434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15618.813599999999</v>
      </c>
      <c r="C16" s="21">
        <f t="shared" ca="1" si="1"/>
        <v>0</v>
      </c>
      <c r="D16" s="21">
        <f t="shared" ca="1" si="1"/>
        <v>16942.632641751377</v>
      </c>
      <c r="E16" s="21">
        <f t="shared" si="1"/>
        <v>192.79593088015076</v>
      </c>
      <c r="F16" s="21">
        <f t="shared" ca="1" si="1"/>
        <v>2347.8833050426092</v>
      </c>
      <c r="G16" s="21">
        <f t="shared" si="1"/>
        <v>0</v>
      </c>
      <c r="H16" s="21">
        <f t="shared" si="1"/>
        <v>0</v>
      </c>
      <c r="I16" s="21">
        <f t="shared" si="1"/>
        <v>0</v>
      </c>
      <c r="J16" s="21">
        <f t="shared" si="1"/>
        <v>0</v>
      </c>
      <c r="K16" s="21">
        <f t="shared" si="1"/>
        <v>0</v>
      </c>
      <c r="L16" s="21">
        <f t="shared" ca="1" si="1"/>
        <v>0</v>
      </c>
      <c r="M16" s="21">
        <f t="shared" si="1"/>
        <v>0</v>
      </c>
      <c r="N16" s="21">
        <f t="shared" ca="1" si="1"/>
        <v>1228.1021968459158</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0.19830098838785876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3097.2261743257304</v>
      </c>
      <c r="C20" s="23">
        <f t="shared" ref="C20:P20" ca="1" si="2">C16*C18</f>
        <v>0</v>
      </c>
      <c r="D20" s="23">
        <f t="shared" ca="1" si="2"/>
        <v>3422.4117936337784</v>
      </c>
      <c r="E20" s="23">
        <f t="shared" si="2"/>
        <v>43.764676309794226</v>
      </c>
      <c r="F20" s="23">
        <f t="shared" ca="1" si="2"/>
        <v>626.88484244637664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1866.75</v>
      </c>
      <c r="C26" s="39">
        <f>IF(ISERROR(B26*3.6/1000000/'E Balans VL '!Z12*100),0,B26*3.6/1000000/'E Balans VL '!Z12*100)</f>
        <v>4.1005321929114109E-2</v>
      </c>
      <c r="D26" s="237" t="s">
        <v>691</v>
      </c>
      <c r="F26" s="6"/>
    </row>
    <row r="27" spans="1:18">
      <c r="A27" s="231" t="s">
        <v>52</v>
      </c>
      <c r="B27" s="33">
        <f>IF(ISERROR(TER_horeca_ele_kWh/1000),0,TER_horeca_ele_kWh/1000)</f>
        <v>1895.8710000000001</v>
      </c>
      <c r="C27" s="39">
        <f>IF(ISERROR(B27*3.6/1000000/'E Balans VL '!Z9*100),0,B27*3.6/1000000/'E Balans VL '!Z9*100)</f>
        <v>0.15235213311533694</v>
      </c>
      <c r="D27" s="237" t="s">
        <v>691</v>
      </c>
      <c r="F27" s="6"/>
    </row>
    <row r="28" spans="1:18">
      <c r="A28" s="171" t="s">
        <v>51</v>
      </c>
      <c r="B28" s="33">
        <f>IF(ISERROR(TER_handel_ele_kWh/1000),0,TER_handel_ele_kWh/1000)</f>
        <v>4568.9319999999998</v>
      </c>
      <c r="C28" s="39">
        <f>IF(ISERROR(B28*3.6/1000000/'E Balans VL '!Z13*100),0,B28*3.6/1000000/'E Balans VL '!Z13*100)</f>
        <v>0.13510012731708537</v>
      </c>
      <c r="D28" s="237" t="s">
        <v>691</v>
      </c>
      <c r="F28" s="6"/>
    </row>
    <row r="29" spans="1:18">
      <c r="A29" s="231" t="s">
        <v>50</v>
      </c>
      <c r="B29" s="33">
        <f>IF(ISERROR(TER_gezond_ele_kWh/1000),0,TER_gezond_ele_kWh/1000)</f>
        <v>241.96639999999999</v>
      </c>
      <c r="C29" s="39">
        <f>IF(ISERROR(B29*3.6/1000000/'E Balans VL '!Z10*100),0,B29*3.6/1000000/'E Balans VL '!Z10*100)</f>
        <v>2.7263366258228356E-2</v>
      </c>
      <c r="D29" s="237" t="s">
        <v>691</v>
      </c>
      <c r="F29" s="6"/>
    </row>
    <row r="30" spans="1:18">
      <c r="A30" s="231" t="s">
        <v>49</v>
      </c>
      <c r="B30" s="33">
        <f>IF(ISERROR(TER_ander_ele_kWh/1000),0,TER_ander_ele_kWh/1000)</f>
        <v>919.11519999999996</v>
      </c>
      <c r="C30" s="39">
        <f>IF(ISERROR(B30*3.6/1000000/'E Balans VL '!Z14*100),0,B30*3.6/1000000/'E Balans VL '!Z14*100)</f>
        <v>6.9511111419534838E-2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6126.1790000000001</v>
      </c>
      <c r="C32" s="39">
        <f>IF(ISERROR(B32*3.6/1000000/'E Balans VL '!Z8*100),0,B32*3.6/1000000/'E Balans VL '!Z8*100)</f>
        <v>5.1609454165939393E-2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4257.1143999999995</v>
      </c>
      <c r="C5" s="17">
        <f>IF(ISERROR('Eigen informatie GS &amp; warmtenet'!B59),0,'Eigen informatie GS &amp; warmtenet'!B59)</f>
        <v>0</v>
      </c>
      <c r="D5" s="30">
        <f>SUM(D6:D15)</f>
        <v>2277.8141739535104</v>
      </c>
      <c r="E5" s="17">
        <f>SUM(E6:E15)</f>
        <v>697.28715785267423</v>
      </c>
      <c r="F5" s="17">
        <f>SUM(F6:F15)</f>
        <v>3390.3758060085033</v>
      </c>
      <c r="G5" s="18"/>
      <c r="H5" s="17"/>
      <c r="I5" s="17"/>
      <c r="J5" s="17">
        <f>SUM(J6:J15)</f>
        <v>20.237175334368533</v>
      </c>
      <c r="K5" s="17"/>
      <c r="L5" s="17"/>
      <c r="M5" s="17"/>
      <c r="N5" s="17">
        <f>SUM(N6:N15)</f>
        <v>608.62372474792573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205.7081</v>
      </c>
      <c r="C8" s="33"/>
      <c r="D8" s="37">
        <f>IF( ISERROR(IND_metaal_Gas_kWH/1000),0,IND_metaal_Gas_kWH/1000)*0.902</f>
        <v>0</v>
      </c>
      <c r="E8" s="33">
        <f>C30*'E Balans VL '!I18/100/3.6*1000000</f>
        <v>5.1481537800742014</v>
      </c>
      <c r="F8" s="33">
        <f>C30*'E Balans VL '!L18/100/3.6*1000000+C30*'E Balans VL '!N18/100/3.6*1000000</f>
        <v>64.469941784712816</v>
      </c>
      <c r="G8" s="34"/>
      <c r="H8" s="33"/>
      <c r="I8" s="33"/>
      <c r="J8" s="40">
        <f>C30*'E Balans VL '!D18/100/3.6*1000000+C30*'E Balans VL '!E18/100/3.6*1000000</f>
        <v>0</v>
      </c>
      <c r="K8" s="33"/>
      <c r="L8" s="33"/>
      <c r="M8" s="33"/>
      <c r="N8" s="33">
        <f>C30*'E Balans VL '!Y18/100/3.6*1000000</f>
        <v>5.1679213310723711</v>
      </c>
      <c r="O8" s="33"/>
      <c r="P8" s="33"/>
      <c r="R8" s="32"/>
    </row>
    <row r="9" spans="1:18">
      <c r="A9" s="6" t="s">
        <v>32</v>
      </c>
      <c r="B9" s="37">
        <f t="shared" si="0"/>
        <v>2315.174</v>
      </c>
      <c r="C9" s="33"/>
      <c r="D9" s="37">
        <f>IF( ISERROR(IND_andere_gas_kWh/1000),0,IND_andere_gas_kWh/1000)*0.902</f>
        <v>1523.9419952127598</v>
      </c>
      <c r="E9" s="33">
        <f>C31*'E Balans VL '!I19/100/3.6*1000000</f>
        <v>636.57789300967977</v>
      </c>
      <c r="F9" s="33">
        <f>C31*'E Balans VL '!L19/100/3.6*1000000+C31*'E Balans VL '!N19/100/3.6*1000000</f>
        <v>1824.7599812011867</v>
      </c>
      <c r="G9" s="34"/>
      <c r="H9" s="33"/>
      <c r="I9" s="33"/>
      <c r="J9" s="40">
        <f>C31*'E Balans VL '!D19/100/3.6*1000000+C31*'E Balans VL '!E19/100/3.6*1000000</f>
        <v>0</v>
      </c>
      <c r="K9" s="33"/>
      <c r="L9" s="33"/>
      <c r="M9" s="33"/>
      <c r="N9" s="33">
        <f>C31*'E Balans VL '!Y19/100/3.6*1000000</f>
        <v>186.51187635956728</v>
      </c>
      <c r="O9" s="33"/>
      <c r="P9" s="33"/>
      <c r="R9" s="32"/>
    </row>
    <row r="10" spans="1:18">
      <c r="A10" s="6" t="s">
        <v>40</v>
      </c>
      <c r="B10" s="37">
        <f t="shared" si="0"/>
        <v>678.71569999999997</v>
      </c>
      <c r="C10" s="33"/>
      <c r="D10" s="37">
        <f>IF( ISERROR(IND_voed_gas_kWh/1000),0,IND_voed_gas_kWh/1000)*0.902</f>
        <v>355.74233108307845</v>
      </c>
      <c r="E10" s="33">
        <f>C32*'E Balans VL '!I20/100/3.6*1000000</f>
        <v>6.9191326548873491</v>
      </c>
      <c r="F10" s="33">
        <f>C32*'E Balans VL '!L20/100/3.6*1000000+C32*'E Balans VL '!N20/100/3.6*1000000</f>
        <v>1282.0897123430661</v>
      </c>
      <c r="G10" s="34"/>
      <c r="H10" s="33"/>
      <c r="I10" s="33"/>
      <c r="J10" s="40">
        <f>C32*'E Balans VL '!D20/100/3.6*1000000+C32*'E Balans VL '!E20/100/3.6*1000000</f>
        <v>16.243887468824695</v>
      </c>
      <c r="K10" s="33"/>
      <c r="L10" s="33"/>
      <c r="M10" s="33"/>
      <c r="N10" s="33">
        <f>C32*'E Balans VL '!Y20/100/3.6*1000000</f>
        <v>357.76135236211815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105.6755</v>
      </c>
      <c r="C13" s="33"/>
      <c r="D13" s="37">
        <f>IF( ISERROR(IND_papier_gas_kWh/1000),0,IND_papier_gas_kWh/1000)*0.902</f>
        <v>100.88729099182537</v>
      </c>
      <c r="E13" s="33">
        <f>C35*'E Balans VL '!I23/100/3.6*1000000</f>
        <v>0.2188610934244922</v>
      </c>
      <c r="F13" s="33">
        <f>C35*'E Balans VL '!L23/100/3.6*1000000+C35*'E Balans VL '!N23/100/3.6*1000000</f>
        <v>2.0957717152656072</v>
      </c>
      <c r="G13" s="34"/>
      <c r="H13" s="33"/>
      <c r="I13" s="33"/>
      <c r="J13" s="40">
        <f>C35*'E Balans VL '!D23/100/3.6*1000000+C35*'E Balans VL '!E23/100/3.6*1000000</f>
        <v>0</v>
      </c>
      <c r="K13" s="33"/>
      <c r="L13" s="33"/>
      <c r="M13" s="33"/>
      <c r="N13" s="33">
        <f>C35*'E Balans VL '!Y23/100/3.6*1000000</f>
        <v>7.3291300667678154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951.84109999999998</v>
      </c>
      <c r="C15" s="33"/>
      <c r="D15" s="37">
        <f>IF( ISERROR(IND_rest_gas_kWh/1000),0,IND_rest_gas_kWh/1000)*0.902</f>
        <v>297.24255666584656</v>
      </c>
      <c r="E15" s="33">
        <f>C37*'E Balans VL '!I15/100/3.6*1000000</f>
        <v>48.423117314608533</v>
      </c>
      <c r="F15" s="33">
        <f>C37*'E Balans VL '!L15/100/3.6*1000000+C37*'E Balans VL '!N15/100/3.6*1000000</f>
        <v>216.96039896427172</v>
      </c>
      <c r="G15" s="34"/>
      <c r="H15" s="33"/>
      <c r="I15" s="33"/>
      <c r="J15" s="40">
        <f>C37*'E Balans VL '!D15/100/3.6*1000000+C37*'E Balans VL '!E15/100/3.6*1000000</f>
        <v>3.9932878655438389</v>
      </c>
      <c r="K15" s="33"/>
      <c r="L15" s="33"/>
      <c r="M15" s="33"/>
      <c r="N15" s="33">
        <f>C37*'E Balans VL '!Y15/100/3.6*1000000</f>
        <v>51.853444628400126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4257.1143999999995</v>
      </c>
      <c r="C18" s="21">
        <f>C5+C16</f>
        <v>0</v>
      </c>
      <c r="D18" s="21">
        <f>MAX((D5+D16),0)</f>
        <v>2277.8141739535104</v>
      </c>
      <c r="E18" s="21">
        <f>MAX((E5+E16),0)</f>
        <v>697.28715785267423</v>
      </c>
      <c r="F18" s="21">
        <f>MAX((F5+F16),0)</f>
        <v>3390.3758060085033</v>
      </c>
      <c r="G18" s="21"/>
      <c r="H18" s="21"/>
      <c r="I18" s="21"/>
      <c r="J18" s="21">
        <f>MAX((J5+J16),0)</f>
        <v>20.237175334368533</v>
      </c>
      <c r="K18" s="21"/>
      <c r="L18" s="21">
        <f>MAX((L5+L16),0)</f>
        <v>0</v>
      </c>
      <c r="M18" s="21"/>
      <c r="N18" s="21">
        <f>MAX((N5+N16),0)</f>
        <v>608.62372474792573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0.19830098838785876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844.18999320018622</v>
      </c>
      <c r="C22" s="23">
        <f ca="1">C18*C20</f>
        <v>0</v>
      </c>
      <c r="D22" s="23">
        <f>D18*D20</f>
        <v>460.11846313860912</v>
      </c>
      <c r="E22" s="23">
        <f>E18*E20</f>
        <v>158.28418483255706</v>
      </c>
      <c r="F22" s="23">
        <f>F18*F20</f>
        <v>905.23034020427042</v>
      </c>
      <c r="G22" s="23"/>
      <c r="H22" s="23"/>
      <c r="I22" s="23"/>
      <c r="J22" s="23">
        <f>J18*J20</f>
        <v>7.1639600683664604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205.7081</v>
      </c>
      <c r="C30" s="39">
        <f>IF(ISERROR(B30*3.6/1000000/'E Balans VL '!Z18*100),0,B30*3.6/1000000/'E Balans VL '!Z18*100)</f>
        <v>2.8792278701834935E-2</v>
      </c>
      <c r="D30" s="237" t="s">
        <v>691</v>
      </c>
    </row>
    <row r="31" spans="1:18">
      <c r="A31" s="6" t="s">
        <v>32</v>
      </c>
      <c r="B31" s="37">
        <f>IF( ISERROR(IND_ander_ele_kWh/1000),0,IND_ander_ele_kWh/1000)</f>
        <v>2315.174</v>
      </c>
      <c r="C31" s="39">
        <f>IF(ISERROR(B31*3.6/1000000/'E Balans VL '!Z19*100),0,B31*3.6/1000000/'E Balans VL '!Z19*100)</f>
        <v>0.10133479040541769</v>
      </c>
      <c r="D31" s="237" t="s">
        <v>691</v>
      </c>
    </row>
    <row r="32" spans="1:18">
      <c r="A32" s="171" t="s">
        <v>40</v>
      </c>
      <c r="B32" s="37">
        <f>IF( ISERROR(IND_voed_ele_kWh/1000),0,IND_voed_ele_kWh/1000)</f>
        <v>678.71569999999997</v>
      </c>
      <c r="C32" s="39">
        <f>IF(ISERROR(B32*3.6/1000000/'E Balans VL '!Z20*100),0,B32*3.6/1000000/'E Balans VL '!Z20*100)</f>
        <v>0.1680274682833518</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105.6755</v>
      </c>
      <c r="C35" s="39">
        <f>IF(ISERROR(B35*3.6/1000000/'E Balans VL '!Z22*100),0,B35*3.6/1000000/'E Balans VL '!Z22*100)</f>
        <v>2.998639557131001E-3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951.84109999999998</v>
      </c>
      <c r="C37" s="39">
        <f>IF(ISERROR(B37*3.6/1000000/'E Balans VL '!Z15*100),0,B37*3.6/1000000/'E Balans VL '!Z15*100)</f>
        <v>7.0577387944077037E-3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1681.8498999999999</v>
      </c>
      <c r="C5" s="17">
        <f>'Eigen informatie GS &amp; warmtenet'!B60</f>
        <v>0</v>
      </c>
      <c r="D5" s="30">
        <f>IF(ISERROR(SUM(LB_lb_gas_kWh,LB_rest_gas_kWh)/1000),0,SUM(LB_lb_gas_kWh,LB_rest_gas_kWh)/1000)*0.902</f>
        <v>336.65755151956688</v>
      </c>
      <c r="E5" s="17">
        <f>B17*'E Balans VL '!I25/3.6*1000000/100</f>
        <v>15.577998197290079</v>
      </c>
      <c r="F5" s="17">
        <f>B17*('E Balans VL '!L25/3.6*1000000+'E Balans VL '!N25/3.6*1000000)/100</f>
        <v>4267.1735883771571</v>
      </c>
      <c r="G5" s="18"/>
      <c r="H5" s="17"/>
      <c r="I5" s="17"/>
      <c r="J5" s="17">
        <f>('E Balans VL '!D25+'E Balans VL '!E25)/3.6*1000000*landbouw!B17/100</f>
        <v>257.84635916966454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1681.8498999999999</v>
      </c>
      <c r="C8" s="21">
        <f>C5+C6</f>
        <v>0</v>
      </c>
      <c r="D8" s="21">
        <f>MAX((D5+D6),0)</f>
        <v>336.65755151956688</v>
      </c>
      <c r="E8" s="21">
        <f>MAX((E5+E6),0)</f>
        <v>15.577998197290079</v>
      </c>
      <c r="F8" s="21">
        <f>MAX((F5+F6),0)</f>
        <v>4267.1735883771571</v>
      </c>
      <c r="G8" s="21"/>
      <c r="H8" s="21"/>
      <c r="I8" s="21"/>
      <c r="J8" s="21">
        <f>MAX((J5+J6),0)</f>
        <v>257.84635916966454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0.19830098838785876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333.51249749002142</v>
      </c>
      <c r="C12" s="23">
        <f ca="1">C8*C10</f>
        <v>0</v>
      </c>
      <c r="D12" s="23">
        <f>D8*D10</f>
        <v>68.00482540695252</v>
      </c>
      <c r="E12" s="23">
        <f>E8*E10</f>
        <v>3.536205590784848</v>
      </c>
      <c r="F12" s="23">
        <f>F8*F10</f>
        <v>1139.335348096701</v>
      </c>
      <c r="G12" s="23"/>
      <c r="H12" s="23"/>
      <c r="I12" s="23"/>
      <c r="J12" s="23">
        <f>J8*J10</f>
        <v>91.277611146061247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0.23912339439808328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333.35495563749356</v>
      </c>
      <c r="C26" s="247">
        <f>B26*'GWP N2O_CH4'!B5</f>
        <v>7000.4540683873647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192.7510135060852</v>
      </c>
      <c r="C27" s="247">
        <f>B27*'GWP N2O_CH4'!B5</f>
        <v>4047.7712836277892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5.0818571293258206</v>
      </c>
      <c r="C28" s="247">
        <f>B28*'GWP N2O_CH4'!B4</f>
        <v>1575.3757100910043</v>
      </c>
      <c r="D28" s="50"/>
    </row>
    <row r="29" spans="1:4">
      <c r="A29" s="41" t="s">
        <v>276</v>
      </c>
      <c r="B29" s="247">
        <f>B34*'ha_N2O bodem landbouw'!B4</f>
        <v>16.079462981494601</v>
      </c>
      <c r="C29" s="247">
        <f>B29*'GWP N2O_CH4'!B4</f>
        <v>4984.6335242633259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3.6063402698593692E-3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9.226276003085774E-5</v>
      </c>
      <c r="C5" s="438" t="s">
        <v>210</v>
      </c>
      <c r="D5" s="423">
        <f>SUM(D6:D11)</f>
        <v>1.6713737010006288E-4</v>
      </c>
      <c r="E5" s="423">
        <f>SUM(E6:E11)</f>
        <v>1.8637975515553465E-3</v>
      </c>
      <c r="F5" s="436" t="s">
        <v>210</v>
      </c>
      <c r="G5" s="423">
        <f>SUM(G6:G11)</f>
        <v>0.81110309709051553</v>
      </c>
      <c r="H5" s="423">
        <f>SUM(H6:H11)</f>
        <v>0.10507298987940031</v>
      </c>
      <c r="I5" s="438" t="s">
        <v>210</v>
      </c>
      <c r="J5" s="438" t="s">
        <v>210</v>
      </c>
      <c r="K5" s="438" t="s">
        <v>210</v>
      </c>
      <c r="L5" s="438" t="s">
        <v>210</v>
      </c>
      <c r="M5" s="423">
        <f>SUM(M6:M11)</f>
        <v>5.0230473424536765E-2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2.8984366783484897E-5</v>
      </c>
      <c r="C6" s="424"/>
      <c r="D6" s="866">
        <f>vkm_GW_PW*SUMIFS(TableVerdeelsleutelVkm[CNG],TableVerdeelsleutelVkm[Voertuigtype],"Lichte voertuigen")*SUMIFS(TableECFTransport[EnergieConsumptieFactor (PJ per km)],TableECFTransport[Index],CONCATENATE($A6,"_CNG_CNG"))</f>
        <v>5.0577270412669768E-5</v>
      </c>
      <c r="E6" s="866">
        <f>vkm_GW_PW*SUMIFS(TableVerdeelsleutelVkm[LPG],TableVerdeelsleutelVkm[Voertuigtype],"Lichte voertuigen")*SUMIFS(TableECFTransport[EnergieConsumptieFactor (PJ per km)],TableECFTransport[Index],CONCATENATE($A6,"_LPG_LPG"))</f>
        <v>4.8986572632843818E-4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0.11512687477392586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3.0973228939518593E-2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7.6195006753319583E-3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6.7865938672134016E-2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1.3161362699570172E-6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3.9347136957136042E-3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3.8933550151165499E-6</v>
      </c>
      <c r="C8" s="424"/>
      <c r="D8" s="426">
        <f>vkm_NGW_PW*SUMIFS(TableVerdeelsleutelVkm[CNG],TableVerdeelsleutelVkm[Voertuigtype],"Lichte voertuigen")*SUMIFS(TableECFTransport[EnergieConsumptieFactor (PJ per km)],TableECFTransport[Index],CONCATENATE($A8,"_CNG_CNG"))</f>
        <v>1.1633545607255734E-5</v>
      </c>
      <c r="E8" s="426">
        <f>vkm_NGW_PW*SUMIFS(TableVerdeelsleutelVkm[LPG],TableVerdeelsleutelVkm[Voertuigtype],"Lichte voertuigen")*SUMIFS(TableECFTransport[EnergieConsumptieFactor (PJ per km)],TableECFTransport[Index],CONCATENATE($A8,"_LPG_LPG"))</f>
        <v>1.0663198575810428E-4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2.3523208402120098E-2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6.8788305518767768E-3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1.5736327078227715E-3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4.5581766050745856E-3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1.0949554311706316E-7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2.6427341817597061E-4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5.9385038232256291E-5</v>
      </c>
      <c r="C10" s="424"/>
      <c r="D10" s="426">
        <f>vkm_SW_PW*SUMIFS(TableVerdeelsleutelVkm[CNG],TableVerdeelsleutelVkm[Voertuigtype],"Lichte voertuigen")*SUMIFS(TableECFTransport[EnergieConsumptieFactor (PJ per km)],TableECFTransport[Index],CONCATENATE($A10,"_CNG_CNG"))</f>
        <v>1.0492655408013738E-4</v>
      </c>
      <c r="E10" s="426">
        <f>vkm_SW_PW*SUMIFS(TableVerdeelsleutelVkm[LPG],TableVerdeelsleutelVkm[Voertuigtype],"Lichte voertuigen")*SUMIFS(TableECFTransport[EnergieConsumptieFactor (PJ per km)],TableECFTransport[Index],CONCATENATE($A10,"_LPG_LPG"))</f>
        <v>1.2672998394688041E-3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0.26780717482151511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6.7212659057672791E-2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1.7576876165243852E-2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0.33222172381574577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6.8456985190670568E-6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1.9261476762248611E-2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25.628544453016037</v>
      </c>
      <c r="C14" s="21"/>
      <c r="D14" s="21">
        <f t="shared" ref="D14:M14" si="0">((D5)*10^9/3600)+D12</f>
        <v>46.427047250017473</v>
      </c>
      <c r="E14" s="21">
        <f t="shared" si="0"/>
        <v>517.72154209870735</v>
      </c>
      <c r="F14" s="21"/>
      <c r="G14" s="21">
        <f t="shared" si="0"/>
        <v>225306.41585847654</v>
      </c>
      <c r="H14" s="21">
        <f t="shared" si="0"/>
        <v>29186.941633166753</v>
      </c>
      <c r="I14" s="21"/>
      <c r="J14" s="21"/>
      <c r="K14" s="21"/>
      <c r="L14" s="21"/>
      <c r="M14" s="21">
        <f t="shared" si="0"/>
        <v>13952.909284593547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0.19830098838785876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5.082165695975255</v>
      </c>
      <c r="C18" s="23"/>
      <c r="D18" s="23">
        <f t="shared" ref="D18:M18" si="1">D14*D16</f>
        <v>9.3782635445035307</v>
      </c>
      <c r="E18" s="23">
        <f t="shared" si="1"/>
        <v>117.52279005640658</v>
      </c>
      <c r="F18" s="23"/>
      <c r="G18" s="23">
        <f t="shared" si="1"/>
        <v>60156.813034213243</v>
      </c>
      <c r="H18" s="23">
        <f t="shared" si="1"/>
        <v>7267.5484666585216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5.7640887460958983E-3</v>
      </c>
      <c r="H50" s="319">
        <f t="shared" si="2"/>
        <v>0</v>
      </c>
      <c r="I50" s="319">
        <f t="shared" si="2"/>
        <v>0</v>
      </c>
      <c r="J50" s="319">
        <f t="shared" si="2"/>
        <v>0</v>
      </c>
      <c r="K50" s="319">
        <f t="shared" si="2"/>
        <v>0</v>
      </c>
      <c r="L50" s="319">
        <f t="shared" si="2"/>
        <v>0</v>
      </c>
      <c r="M50" s="319">
        <f t="shared" si="2"/>
        <v>3.2945776852445031E-4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5.7640887460958983E-3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3.2945776852445031E-4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1601.1357628044163</v>
      </c>
      <c r="H54" s="21">
        <f t="shared" si="3"/>
        <v>0</v>
      </c>
      <c r="I54" s="21">
        <f t="shared" si="3"/>
        <v>0</v>
      </c>
      <c r="J54" s="21">
        <f t="shared" si="3"/>
        <v>0</v>
      </c>
      <c r="K54" s="21">
        <f t="shared" si="3"/>
        <v>0</v>
      </c>
      <c r="L54" s="21">
        <f t="shared" si="3"/>
        <v>0</v>
      </c>
      <c r="M54" s="21">
        <f t="shared" si="3"/>
        <v>91.516046812347312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0.19830098838785876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427.50324866877918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16630.929599999999</v>
      </c>
      <c r="D10" s="991">
        <f ca="1">tertiair!C16</f>
        <v>0</v>
      </c>
      <c r="E10" s="991">
        <f ca="1">tertiair!D16</f>
        <v>16942.632641751377</v>
      </c>
      <c r="F10" s="991">
        <f>tertiair!E16</f>
        <v>192.79593088015076</v>
      </c>
      <c r="G10" s="991">
        <f ca="1">tertiair!F16</f>
        <v>2347.8833050426092</v>
      </c>
      <c r="H10" s="991">
        <f>tertiair!G16</f>
        <v>0</v>
      </c>
      <c r="I10" s="991">
        <f>tertiair!H16</f>
        <v>0</v>
      </c>
      <c r="J10" s="991">
        <f>tertiair!I16</f>
        <v>0</v>
      </c>
      <c r="K10" s="991">
        <f>tertiair!J16</f>
        <v>0</v>
      </c>
      <c r="L10" s="991">
        <f>tertiair!K16</f>
        <v>0</v>
      </c>
      <c r="M10" s="991">
        <f ca="1">tertiair!L16</f>
        <v>0</v>
      </c>
      <c r="N10" s="991">
        <f>tertiair!M16</f>
        <v>0</v>
      </c>
      <c r="O10" s="991">
        <f ca="1">tertiair!N16</f>
        <v>1228.1021968459158</v>
      </c>
      <c r="P10" s="991">
        <f>tertiair!O16</f>
        <v>9.3800000000000008</v>
      </c>
      <c r="Q10" s="992">
        <f>tertiair!P16</f>
        <v>19.066666666666666</v>
      </c>
      <c r="R10" s="675">
        <f ca="1">SUM(C10:Q10)</f>
        <v>37370.790341186723</v>
      </c>
      <c r="S10" s="67"/>
    </row>
    <row r="11" spans="1:19" s="448" customFormat="1">
      <c r="A11" s="784" t="s">
        <v>224</v>
      </c>
      <c r="B11" s="789"/>
      <c r="C11" s="991">
        <f>huishoudens!B8</f>
        <v>29848.655958780055</v>
      </c>
      <c r="D11" s="991">
        <f>huishoudens!C8</f>
        <v>0</v>
      </c>
      <c r="E11" s="991">
        <f>huishoudens!D8</f>
        <v>56761.9728107029</v>
      </c>
      <c r="F11" s="991">
        <f>huishoudens!E8</f>
        <v>32506.087992719924</v>
      </c>
      <c r="G11" s="991">
        <f>huishoudens!F8</f>
        <v>15913.237679278216</v>
      </c>
      <c r="H11" s="991">
        <f>huishoudens!G8</f>
        <v>0</v>
      </c>
      <c r="I11" s="991">
        <f>huishoudens!H8</f>
        <v>0</v>
      </c>
      <c r="J11" s="991">
        <f>huishoudens!I8</f>
        <v>0</v>
      </c>
      <c r="K11" s="991">
        <f>huishoudens!J8</f>
        <v>1068.7548595420565</v>
      </c>
      <c r="L11" s="991">
        <f>huishoudens!K8</f>
        <v>0</v>
      </c>
      <c r="M11" s="991">
        <f>huishoudens!L8</f>
        <v>0</v>
      </c>
      <c r="N11" s="991">
        <f>huishoudens!M8</f>
        <v>0</v>
      </c>
      <c r="O11" s="991">
        <f>huishoudens!N8</f>
        <v>30607.536861372784</v>
      </c>
      <c r="P11" s="991">
        <f>huishoudens!O8</f>
        <v>287.65333333333336</v>
      </c>
      <c r="Q11" s="992">
        <f>huishoudens!P8</f>
        <v>1163.0666666666666</v>
      </c>
      <c r="R11" s="675">
        <f>SUM(C11:Q11)</f>
        <v>168156.96616239595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4257.1143999999995</v>
      </c>
      <c r="D13" s="991">
        <f>industrie!C18</f>
        <v>0</v>
      </c>
      <c r="E13" s="991">
        <f>industrie!D18</f>
        <v>2277.8141739535104</v>
      </c>
      <c r="F13" s="991">
        <f>industrie!E18</f>
        <v>697.28715785267423</v>
      </c>
      <c r="G13" s="991">
        <f>industrie!F18</f>
        <v>3390.3758060085033</v>
      </c>
      <c r="H13" s="991">
        <f>industrie!G18</f>
        <v>0</v>
      </c>
      <c r="I13" s="991">
        <f>industrie!H18</f>
        <v>0</v>
      </c>
      <c r="J13" s="991">
        <f>industrie!I18</f>
        <v>0</v>
      </c>
      <c r="K13" s="991">
        <f>industrie!J18</f>
        <v>20.237175334368533</v>
      </c>
      <c r="L13" s="991">
        <f>industrie!K18</f>
        <v>0</v>
      </c>
      <c r="M13" s="991">
        <f>industrie!L18</f>
        <v>0</v>
      </c>
      <c r="N13" s="991">
        <f>industrie!M18</f>
        <v>0</v>
      </c>
      <c r="O13" s="991">
        <f>industrie!N18</f>
        <v>608.62372474792573</v>
      </c>
      <c r="P13" s="991">
        <f>industrie!O18</f>
        <v>0</v>
      </c>
      <c r="Q13" s="992">
        <f>industrie!P18</f>
        <v>0</v>
      </c>
      <c r="R13" s="675">
        <f>SUM(C13:Q13)</f>
        <v>11251.452437896982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50736.699958780053</v>
      </c>
      <c r="D16" s="707">
        <f t="shared" ref="D16:R16" ca="1" si="0">SUM(D9:D15)</f>
        <v>0</v>
      </c>
      <c r="E16" s="707">
        <f t="shared" ca="1" si="0"/>
        <v>75982.419626407776</v>
      </c>
      <c r="F16" s="707">
        <f t="shared" si="0"/>
        <v>33396.171081452747</v>
      </c>
      <c r="G16" s="707">
        <f t="shared" ca="1" si="0"/>
        <v>21651.496790329329</v>
      </c>
      <c r="H16" s="707">
        <f t="shared" si="0"/>
        <v>0</v>
      </c>
      <c r="I16" s="707">
        <f t="shared" si="0"/>
        <v>0</v>
      </c>
      <c r="J16" s="707">
        <f t="shared" si="0"/>
        <v>0</v>
      </c>
      <c r="K16" s="707">
        <f t="shared" si="0"/>
        <v>1088.9920348764249</v>
      </c>
      <c r="L16" s="707">
        <f t="shared" si="0"/>
        <v>0</v>
      </c>
      <c r="M16" s="707">
        <f t="shared" ca="1" si="0"/>
        <v>0</v>
      </c>
      <c r="N16" s="707">
        <f t="shared" si="0"/>
        <v>0</v>
      </c>
      <c r="O16" s="707">
        <f t="shared" ca="1" si="0"/>
        <v>32444.262782966627</v>
      </c>
      <c r="P16" s="707">
        <f t="shared" si="0"/>
        <v>297.03333333333336</v>
      </c>
      <c r="Q16" s="707">
        <f t="shared" si="0"/>
        <v>1182.1333333333332</v>
      </c>
      <c r="R16" s="707">
        <f t="shared" ca="1" si="0"/>
        <v>216779.20894147965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1601.1357628044163</v>
      </c>
      <c r="I19" s="991">
        <f>transport!H54</f>
        <v>0</v>
      </c>
      <c r="J19" s="991">
        <f>transport!I54</f>
        <v>0</v>
      </c>
      <c r="K19" s="991">
        <f>transport!J54</f>
        <v>0</v>
      </c>
      <c r="L19" s="991">
        <f>transport!K54</f>
        <v>0</v>
      </c>
      <c r="M19" s="991">
        <f>transport!L54</f>
        <v>0</v>
      </c>
      <c r="N19" s="991">
        <f>transport!M54</f>
        <v>91.516046812347312</v>
      </c>
      <c r="O19" s="991">
        <f>transport!N54</f>
        <v>0</v>
      </c>
      <c r="P19" s="991">
        <f>transport!O54</f>
        <v>0</v>
      </c>
      <c r="Q19" s="992">
        <f>transport!P54</f>
        <v>0</v>
      </c>
      <c r="R19" s="675">
        <f>SUM(C19:Q19)</f>
        <v>1692.6518096167636</v>
      </c>
      <c r="S19" s="67"/>
    </row>
    <row r="20" spans="1:19" s="448" customFormat="1">
      <c r="A20" s="784" t="s">
        <v>306</v>
      </c>
      <c r="B20" s="789"/>
      <c r="C20" s="991">
        <f>transport!B14</f>
        <v>25.628544453016037</v>
      </c>
      <c r="D20" s="991">
        <f>transport!C14</f>
        <v>0</v>
      </c>
      <c r="E20" s="991">
        <f>transport!D14</f>
        <v>46.427047250017473</v>
      </c>
      <c r="F20" s="991">
        <f>transport!E14</f>
        <v>517.72154209870735</v>
      </c>
      <c r="G20" s="991">
        <f>transport!F14</f>
        <v>0</v>
      </c>
      <c r="H20" s="991">
        <f>transport!G14</f>
        <v>225306.41585847654</v>
      </c>
      <c r="I20" s="991">
        <f>transport!H14</f>
        <v>29186.941633166753</v>
      </c>
      <c r="J20" s="991">
        <f>transport!I14</f>
        <v>0</v>
      </c>
      <c r="K20" s="991">
        <f>transport!J14</f>
        <v>0</v>
      </c>
      <c r="L20" s="991">
        <f>transport!K14</f>
        <v>0</v>
      </c>
      <c r="M20" s="991">
        <f>transport!L14</f>
        <v>0</v>
      </c>
      <c r="N20" s="991">
        <f>transport!M14</f>
        <v>13952.909284593547</v>
      </c>
      <c r="O20" s="991">
        <f>transport!N14</f>
        <v>0</v>
      </c>
      <c r="P20" s="991">
        <f>transport!O14</f>
        <v>0</v>
      </c>
      <c r="Q20" s="992">
        <f>transport!P14</f>
        <v>0</v>
      </c>
      <c r="R20" s="675">
        <f>SUM(C20:Q20)</f>
        <v>269036.0439100386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25.628544453016037</v>
      </c>
      <c r="D22" s="787">
        <f t="shared" ref="D22:R22" si="1">SUM(D18:D21)</f>
        <v>0</v>
      </c>
      <c r="E22" s="787">
        <f t="shared" si="1"/>
        <v>46.427047250017473</v>
      </c>
      <c r="F22" s="787">
        <f t="shared" si="1"/>
        <v>517.72154209870735</v>
      </c>
      <c r="G22" s="787">
        <f t="shared" si="1"/>
        <v>0</v>
      </c>
      <c r="H22" s="787">
        <f t="shared" si="1"/>
        <v>226907.55162128096</v>
      </c>
      <c r="I22" s="787">
        <f t="shared" si="1"/>
        <v>29186.941633166753</v>
      </c>
      <c r="J22" s="787">
        <f t="shared" si="1"/>
        <v>0</v>
      </c>
      <c r="K22" s="787">
        <f t="shared" si="1"/>
        <v>0</v>
      </c>
      <c r="L22" s="787">
        <f t="shared" si="1"/>
        <v>0</v>
      </c>
      <c r="M22" s="787">
        <f t="shared" si="1"/>
        <v>0</v>
      </c>
      <c r="N22" s="787">
        <f t="shared" si="1"/>
        <v>14044.425331405893</v>
      </c>
      <c r="O22" s="787">
        <f t="shared" si="1"/>
        <v>0</v>
      </c>
      <c r="P22" s="787">
        <f t="shared" si="1"/>
        <v>0</v>
      </c>
      <c r="Q22" s="787">
        <f t="shared" si="1"/>
        <v>0</v>
      </c>
      <c r="R22" s="787">
        <f t="shared" si="1"/>
        <v>270728.69571965537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1681.8498999999999</v>
      </c>
      <c r="D24" s="991">
        <f>+landbouw!C8</f>
        <v>0</v>
      </c>
      <c r="E24" s="991">
        <f>+landbouw!D8</f>
        <v>336.65755151956688</v>
      </c>
      <c r="F24" s="991">
        <f>+landbouw!E8</f>
        <v>15.577998197290079</v>
      </c>
      <c r="G24" s="991">
        <f>+landbouw!F8</f>
        <v>4267.1735883771571</v>
      </c>
      <c r="H24" s="991">
        <f>+landbouw!G8</f>
        <v>0</v>
      </c>
      <c r="I24" s="991">
        <f>+landbouw!H8</f>
        <v>0</v>
      </c>
      <c r="J24" s="991">
        <f>+landbouw!I8</f>
        <v>0</v>
      </c>
      <c r="K24" s="991">
        <f>+landbouw!J8</f>
        <v>257.84635916966454</v>
      </c>
      <c r="L24" s="991">
        <f>+landbouw!K8</f>
        <v>0</v>
      </c>
      <c r="M24" s="991">
        <f>+landbouw!L8</f>
        <v>0</v>
      </c>
      <c r="N24" s="991">
        <f>+landbouw!M8</f>
        <v>0</v>
      </c>
      <c r="O24" s="991">
        <f>+landbouw!N8</f>
        <v>0</v>
      </c>
      <c r="P24" s="991">
        <f>+landbouw!O8</f>
        <v>0</v>
      </c>
      <c r="Q24" s="992">
        <f>+landbouw!P8</f>
        <v>0</v>
      </c>
      <c r="R24" s="675">
        <f>SUM(C24:Q24)</f>
        <v>6559.1053972636782</v>
      </c>
      <c r="S24" s="67"/>
    </row>
    <row r="25" spans="1:19" s="448" customFormat="1" ht="15" thickBot="1">
      <c r="A25" s="806" t="s">
        <v>849</v>
      </c>
      <c r="B25" s="994"/>
      <c r="C25" s="995">
        <f>IF(Onbekend_ele_kWh="---",0,Onbekend_ele_kWh)/1000+IF(REST_rest_ele_kWh="---",0,REST_rest_ele_kWh)/1000</f>
        <v>936.33409999999992</v>
      </c>
      <c r="D25" s="995"/>
      <c r="E25" s="995">
        <f>IF(onbekend_gas_kWh="---",0,onbekend_gas_kWh)/1000+IF(REST_rest_gas_kWh="---",0,REST_rest_gas_kWh)/1000</f>
        <v>1467.74171412649</v>
      </c>
      <c r="F25" s="995"/>
      <c r="G25" s="995"/>
      <c r="H25" s="995"/>
      <c r="I25" s="995"/>
      <c r="J25" s="995"/>
      <c r="K25" s="995"/>
      <c r="L25" s="995"/>
      <c r="M25" s="995"/>
      <c r="N25" s="995"/>
      <c r="O25" s="995"/>
      <c r="P25" s="995"/>
      <c r="Q25" s="996"/>
      <c r="R25" s="675">
        <f>SUM(C25:Q25)</f>
        <v>2404.0758141264901</v>
      </c>
      <c r="S25" s="67"/>
    </row>
    <row r="26" spans="1:19" s="448" customFormat="1" ht="15.75" thickBot="1">
      <c r="A26" s="680" t="s">
        <v>850</v>
      </c>
      <c r="B26" s="792"/>
      <c r="C26" s="787">
        <f>SUM(C24:C25)</f>
        <v>2618.1839999999997</v>
      </c>
      <c r="D26" s="787">
        <f t="shared" ref="D26:R26" si="2">SUM(D24:D25)</f>
        <v>0</v>
      </c>
      <c r="E26" s="787">
        <f t="shared" si="2"/>
        <v>1804.3992656460568</v>
      </c>
      <c r="F26" s="787">
        <f t="shared" si="2"/>
        <v>15.577998197290079</v>
      </c>
      <c r="G26" s="787">
        <f t="shared" si="2"/>
        <v>4267.1735883771571</v>
      </c>
      <c r="H26" s="787">
        <f t="shared" si="2"/>
        <v>0</v>
      </c>
      <c r="I26" s="787">
        <f t="shared" si="2"/>
        <v>0</v>
      </c>
      <c r="J26" s="787">
        <f t="shared" si="2"/>
        <v>0</v>
      </c>
      <c r="K26" s="787">
        <f t="shared" si="2"/>
        <v>257.84635916966454</v>
      </c>
      <c r="L26" s="787">
        <f t="shared" si="2"/>
        <v>0</v>
      </c>
      <c r="M26" s="787">
        <f t="shared" si="2"/>
        <v>0</v>
      </c>
      <c r="N26" s="787">
        <f t="shared" si="2"/>
        <v>0</v>
      </c>
      <c r="O26" s="787">
        <f t="shared" si="2"/>
        <v>0</v>
      </c>
      <c r="P26" s="787">
        <f t="shared" si="2"/>
        <v>0</v>
      </c>
      <c r="Q26" s="787">
        <f t="shared" si="2"/>
        <v>0</v>
      </c>
      <c r="R26" s="787">
        <f t="shared" si="2"/>
        <v>8963.1812113901688</v>
      </c>
      <c r="S26" s="67"/>
    </row>
    <row r="27" spans="1:19" s="448" customFormat="1" ht="17.25" thickTop="1" thickBot="1">
      <c r="A27" s="681" t="s">
        <v>115</v>
      </c>
      <c r="B27" s="780"/>
      <c r="C27" s="682">
        <f ca="1">C22+C16+C26</f>
        <v>53380.512503233069</v>
      </c>
      <c r="D27" s="682">
        <f t="shared" ref="D27:R27" ca="1" si="3">D22+D16+D26</f>
        <v>0</v>
      </c>
      <c r="E27" s="682">
        <f t="shared" ca="1" si="3"/>
        <v>77833.245939303859</v>
      </c>
      <c r="F27" s="682">
        <f t="shared" si="3"/>
        <v>33929.47062174874</v>
      </c>
      <c r="G27" s="682">
        <f t="shared" ca="1" si="3"/>
        <v>25918.670378706487</v>
      </c>
      <c r="H27" s="682">
        <f t="shared" si="3"/>
        <v>226907.55162128096</v>
      </c>
      <c r="I27" s="682">
        <f t="shared" si="3"/>
        <v>29186.941633166753</v>
      </c>
      <c r="J27" s="682">
        <f t="shared" si="3"/>
        <v>0</v>
      </c>
      <c r="K27" s="682">
        <f t="shared" si="3"/>
        <v>1346.8383940460894</v>
      </c>
      <c r="L27" s="682">
        <f t="shared" si="3"/>
        <v>0</v>
      </c>
      <c r="M27" s="682">
        <f t="shared" ca="1" si="3"/>
        <v>0</v>
      </c>
      <c r="N27" s="682">
        <f t="shared" si="3"/>
        <v>14044.425331405893</v>
      </c>
      <c r="O27" s="682">
        <f t="shared" ca="1" si="3"/>
        <v>32444.262782966627</v>
      </c>
      <c r="P27" s="682">
        <f t="shared" si="3"/>
        <v>297.03333333333336</v>
      </c>
      <c r="Q27" s="682">
        <f t="shared" si="3"/>
        <v>1182.1333333333332</v>
      </c>
      <c r="R27" s="682">
        <f t="shared" ca="1" si="3"/>
        <v>496471.08587252523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3297.9297774888964</v>
      </c>
      <c r="D40" s="991">
        <f ca="1">tertiair!C20</f>
        <v>0</v>
      </c>
      <c r="E40" s="991">
        <f ca="1">tertiair!D20</f>
        <v>3422.4117936337784</v>
      </c>
      <c r="F40" s="991">
        <f>tertiair!E20</f>
        <v>43.764676309794226</v>
      </c>
      <c r="G40" s="991">
        <f ca="1">tertiair!F20</f>
        <v>626.88484244637664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7390.9910898788467</v>
      </c>
    </row>
    <row r="41" spans="1:18">
      <c r="A41" s="797" t="s">
        <v>224</v>
      </c>
      <c r="B41" s="804"/>
      <c r="C41" s="991">
        <f ca="1">huishoudens!B12</f>
        <v>5919.0179786752351</v>
      </c>
      <c r="D41" s="991">
        <f ca="1">huishoudens!C12</f>
        <v>0</v>
      </c>
      <c r="E41" s="991">
        <f>huishoudens!D12</f>
        <v>11465.918507761986</v>
      </c>
      <c r="F41" s="991">
        <f>huishoudens!E12</f>
        <v>7378.8819743474232</v>
      </c>
      <c r="G41" s="991">
        <f>huishoudens!F12</f>
        <v>4248.834460367284</v>
      </c>
      <c r="H41" s="991">
        <f>huishoudens!G12</f>
        <v>0</v>
      </c>
      <c r="I41" s="991">
        <f>huishoudens!H12</f>
        <v>0</v>
      </c>
      <c r="J41" s="991">
        <f>huishoudens!I12</f>
        <v>0</v>
      </c>
      <c r="K41" s="991">
        <f>huishoudens!J12</f>
        <v>378.33922027788799</v>
      </c>
      <c r="L41" s="991">
        <f>huishoudens!K12</f>
        <v>0</v>
      </c>
      <c r="M41" s="991">
        <f>huishoudens!L12</f>
        <v>0</v>
      </c>
      <c r="N41" s="991">
        <f>huishoudens!M12</f>
        <v>0</v>
      </c>
      <c r="O41" s="991">
        <f>huishoudens!N12</f>
        <v>0</v>
      </c>
      <c r="P41" s="991">
        <f>huishoudens!O12</f>
        <v>0</v>
      </c>
      <c r="Q41" s="749">
        <f>huishoudens!P12</f>
        <v>0</v>
      </c>
      <c r="R41" s="825">
        <f t="shared" ca="1" si="4"/>
        <v>29390.992141429819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844.18999320018622</v>
      </c>
      <c r="D43" s="991">
        <f ca="1">industrie!C22</f>
        <v>0</v>
      </c>
      <c r="E43" s="991">
        <f>industrie!D22</f>
        <v>460.11846313860912</v>
      </c>
      <c r="F43" s="991">
        <f>industrie!E22</f>
        <v>158.28418483255706</v>
      </c>
      <c r="G43" s="991">
        <f>industrie!F22</f>
        <v>905.23034020427042</v>
      </c>
      <c r="H43" s="991">
        <f>industrie!G22</f>
        <v>0</v>
      </c>
      <c r="I43" s="991">
        <f>industrie!H22</f>
        <v>0</v>
      </c>
      <c r="J43" s="991">
        <f>industrie!I22</f>
        <v>0</v>
      </c>
      <c r="K43" s="991">
        <f>industrie!J22</f>
        <v>7.1639600683664604</v>
      </c>
      <c r="L43" s="991">
        <f>industrie!K22</f>
        <v>0</v>
      </c>
      <c r="M43" s="991">
        <f>industrie!L22</f>
        <v>0</v>
      </c>
      <c r="N43" s="991">
        <f>industrie!M22</f>
        <v>0</v>
      </c>
      <c r="O43" s="991">
        <f>industrie!N22</f>
        <v>0</v>
      </c>
      <c r="P43" s="991">
        <f>industrie!O22</f>
        <v>0</v>
      </c>
      <c r="Q43" s="749">
        <f>industrie!P22</f>
        <v>0</v>
      </c>
      <c r="R43" s="824">
        <f t="shared" ca="1" si="4"/>
        <v>2374.9869414439895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10061.137749364319</v>
      </c>
      <c r="D46" s="707">
        <f t="shared" ref="D46:Q46" ca="1" si="5">SUM(D39:D45)</f>
        <v>0</v>
      </c>
      <c r="E46" s="707">
        <f t="shared" ca="1" si="5"/>
        <v>15348.448764534374</v>
      </c>
      <c r="F46" s="707">
        <f t="shared" si="5"/>
        <v>7580.9308354897748</v>
      </c>
      <c r="G46" s="707">
        <f t="shared" ca="1" si="5"/>
        <v>5780.9496430179315</v>
      </c>
      <c r="H46" s="707">
        <f t="shared" si="5"/>
        <v>0</v>
      </c>
      <c r="I46" s="707">
        <f t="shared" si="5"/>
        <v>0</v>
      </c>
      <c r="J46" s="707">
        <f t="shared" si="5"/>
        <v>0</v>
      </c>
      <c r="K46" s="707">
        <f t="shared" si="5"/>
        <v>385.50318034625445</v>
      </c>
      <c r="L46" s="707">
        <f t="shared" si="5"/>
        <v>0</v>
      </c>
      <c r="M46" s="707">
        <f t="shared" ca="1" si="5"/>
        <v>0</v>
      </c>
      <c r="N46" s="707">
        <f t="shared" si="5"/>
        <v>0</v>
      </c>
      <c r="O46" s="707">
        <f t="shared" ca="1" si="5"/>
        <v>0</v>
      </c>
      <c r="P46" s="707">
        <f t="shared" si="5"/>
        <v>0</v>
      </c>
      <c r="Q46" s="707">
        <f t="shared" si="5"/>
        <v>0</v>
      </c>
      <c r="R46" s="707">
        <f ca="1">SUM(R39:R45)</f>
        <v>39156.970172752655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427.50324866877918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427.50324866877918</v>
      </c>
    </row>
    <row r="50" spans="1:18">
      <c r="A50" s="800" t="s">
        <v>306</v>
      </c>
      <c r="B50" s="810"/>
      <c r="C50" s="678">
        <f ca="1">transport!B18</f>
        <v>5.082165695975255</v>
      </c>
      <c r="D50" s="678">
        <f>transport!C18</f>
        <v>0</v>
      </c>
      <c r="E50" s="678">
        <f>transport!D18</f>
        <v>9.3782635445035307</v>
      </c>
      <c r="F50" s="678">
        <f>transport!E18</f>
        <v>117.52279005640658</v>
      </c>
      <c r="G50" s="678">
        <f>transport!F18</f>
        <v>0</v>
      </c>
      <c r="H50" s="678">
        <f>transport!G18</f>
        <v>60156.813034213243</v>
      </c>
      <c r="I50" s="678">
        <f>transport!H18</f>
        <v>7267.5484666585216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67556.34472016865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5.082165695975255</v>
      </c>
      <c r="D52" s="707">
        <f t="shared" ref="D52:Q52" ca="1" si="6">SUM(D48:D51)</f>
        <v>0</v>
      </c>
      <c r="E52" s="707">
        <f t="shared" si="6"/>
        <v>9.3782635445035307</v>
      </c>
      <c r="F52" s="707">
        <f t="shared" si="6"/>
        <v>117.52279005640658</v>
      </c>
      <c r="G52" s="707">
        <f t="shared" si="6"/>
        <v>0</v>
      </c>
      <c r="H52" s="707">
        <f t="shared" si="6"/>
        <v>60584.31628288202</v>
      </c>
      <c r="I52" s="707">
        <f t="shared" si="6"/>
        <v>7267.5484666585216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67983.847968837435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333.51249749002142</v>
      </c>
      <c r="D54" s="678">
        <f ca="1">+landbouw!C12</f>
        <v>0</v>
      </c>
      <c r="E54" s="678">
        <f>+landbouw!D12</f>
        <v>68.00482540695252</v>
      </c>
      <c r="F54" s="678">
        <f>+landbouw!E12</f>
        <v>3.536205590784848</v>
      </c>
      <c r="G54" s="678">
        <f>+landbouw!F12</f>
        <v>1139.335348096701</v>
      </c>
      <c r="H54" s="678">
        <f>+landbouw!G12</f>
        <v>0</v>
      </c>
      <c r="I54" s="678">
        <f>+landbouw!H12</f>
        <v>0</v>
      </c>
      <c r="J54" s="678">
        <f>+landbouw!I12</f>
        <v>0</v>
      </c>
      <c r="K54" s="678">
        <f>+landbouw!J12</f>
        <v>91.277611146061247</v>
      </c>
      <c r="L54" s="678">
        <f>+landbouw!K12</f>
        <v>0</v>
      </c>
      <c r="M54" s="678">
        <f>+landbouw!L12</f>
        <v>0</v>
      </c>
      <c r="N54" s="678">
        <f>+landbouw!M12</f>
        <v>0</v>
      </c>
      <c r="O54" s="678">
        <f>+landbouw!N12</f>
        <v>0</v>
      </c>
      <c r="P54" s="678">
        <f>+landbouw!O12</f>
        <v>0</v>
      </c>
      <c r="Q54" s="679">
        <f>+landbouw!P12</f>
        <v>0</v>
      </c>
      <c r="R54" s="706">
        <f ca="1">SUM(C54:Q54)</f>
        <v>1635.6664877305209</v>
      </c>
    </row>
    <row r="55" spans="1:18" ht="15" thickBot="1">
      <c r="A55" s="800" t="s">
        <v>849</v>
      </c>
      <c r="B55" s="810"/>
      <c r="C55" s="678">
        <f ca="1">C25*'EF ele_warmte'!B12</f>
        <v>185.67597749125616</v>
      </c>
      <c r="D55" s="678"/>
      <c r="E55" s="678">
        <f>E25*EF_CO2_aardgas</f>
        <v>296.483826253551</v>
      </c>
      <c r="F55" s="678"/>
      <c r="G55" s="678"/>
      <c r="H55" s="678"/>
      <c r="I55" s="678"/>
      <c r="J55" s="678"/>
      <c r="K55" s="678"/>
      <c r="L55" s="678"/>
      <c r="M55" s="678"/>
      <c r="N55" s="678"/>
      <c r="O55" s="678"/>
      <c r="P55" s="678"/>
      <c r="Q55" s="679"/>
      <c r="R55" s="706">
        <f ca="1">SUM(C55:Q55)</f>
        <v>482.15980374480716</v>
      </c>
    </row>
    <row r="56" spans="1:18" ht="15.75" thickBot="1">
      <c r="A56" s="798" t="s">
        <v>850</v>
      </c>
      <c r="B56" s="811"/>
      <c r="C56" s="707">
        <f ca="1">SUM(C54:C55)</f>
        <v>519.18847498127752</v>
      </c>
      <c r="D56" s="707">
        <f t="shared" ref="D56:Q56" ca="1" si="7">SUM(D54:D55)</f>
        <v>0</v>
      </c>
      <c r="E56" s="707">
        <f t="shared" si="7"/>
        <v>364.48865166050354</v>
      </c>
      <c r="F56" s="707">
        <f t="shared" si="7"/>
        <v>3.536205590784848</v>
      </c>
      <c r="G56" s="707">
        <f t="shared" si="7"/>
        <v>1139.335348096701</v>
      </c>
      <c r="H56" s="707">
        <f t="shared" si="7"/>
        <v>0</v>
      </c>
      <c r="I56" s="707">
        <f t="shared" si="7"/>
        <v>0</v>
      </c>
      <c r="J56" s="707">
        <f t="shared" si="7"/>
        <v>0</v>
      </c>
      <c r="K56" s="707">
        <f t="shared" si="7"/>
        <v>91.277611146061247</v>
      </c>
      <c r="L56" s="707">
        <f t="shared" si="7"/>
        <v>0</v>
      </c>
      <c r="M56" s="707">
        <f t="shared" si="7"/>
        <v>0</v>
      </c>
      <c r="N56" s="707">
        <f t="shared" si="7"/>
        <v>0</v>
      </c>
      <c r="O56" s="707">
        <f t="shared" si="7"/>
        <v>0</v>
      </c>
      <c r="P56" s="707">
        <f t="shared" si="7"/>
        <v>0</v>
      </c>
      <c r="Q56" s="708">
        <f t="shared" si="7"/>
        <v>0</v>
      </c>
      <c r="R56" s="709">
        <f ca="1">SUM(R54:R55)</f>
        <v>2117.8262914753282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10585.408390041574</v>
      </c>
      <c r="D61" s="715">
        <f t="shared" ref="D61:Q61" ca="1" si="8">D46+D52+D56</f>
        <v>0</v>
      </c>
      <c r="E61" s="715">
        <f t="shared" ca="1" si="8"/>
        <v>15722.315679739382</v>
      </c>
      <c r="F61" s="715">
        <f t="shared" si="8"/>
        <v>7701.9898311369661</v>
      </c>
      <c r="G61" s="715">
        <f t="shared" ca="1" si="8"/>
        <v>6920.2849911146322</v>
      </c>
      <c r="H61" s="715">
        <f t="shared" si="8"/>
        <v>60584.31628288202</v>
      </c>
      <c r="I61" s="715">
        <f t="shared" si="8"/>
        <v>7267.5484666585216</v>
      </c>
      <c r="J61" s="715">
        <f t="shared" si="8"/>
        <v>0</v>
      </c>
      <c r="K61" s="715">
        <f t="shared" si="8"/>
        <v>476.7807914923157</v>
      </c>
      <c r="L61" s="715">
        <f t="shared" si="8"/>
        <v>0</v>
      </c>
      <c r="M61" s="715">
        <f t="shared" ca="1" si="8"/>
        <v>0</v>
      </c>
      <c r="N61" s="715">
        <f t="shared" si="8"/>
        <v>0</v>
      </c>
      <c r="O61" s="715">
        <f t="shared" ca="1" si="8"/>
        <v>0</v>
      </c>
      <c r="P61" s="715">
        <f t="shared" si="8"/>
        <v>0</v>
      </c>
      <c r="Q61" s="715">
        <f t="shared" si="8"/>
        <v>0</v>
      </c>
      <c r="R61" s="715">
        <f ca="1">R46+R52+R56</f>
        <v>109258.64443306542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0.19830098838785881</v>
      </c>
      <c r="D63" s="756">
        <f t="shared" ca="1" si="9"/>
        <v>0</v>
      </c>
      <c r="E63" s="1002">
        <f t="shared" ca="1" si="9"/>
        <v>0.20200000000000004</v>
      </c>
      <c r="F63" s="756">
        <f t="shared" si="9"/>
        <v>0.22700000000000006</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5482.7369826829809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5482.7369826829809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5482.7369826829809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5482.7369826829809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29848.655958780055</v>
      </c>
      <c r="C4" s="452">
        <f>huishoudens!C8</f>
        <v>0</v>
      </c>
      <c r="D4" s="452">
        <f>huishoudens!D8</f>
        <v>56761.9728107029</v>
      </c>
      <c r="E4" s="452">
        <f>huishoudens!E8</f>
        <v>32506.087992719924</v>
      </c>
      <c r="F4" s="452">
        <f>huishoudens!F8</f>
        <v>15913.237679278216</v>
      </c>
      <c r="G4" s="452">
        <f>huishoudens!G8</f>
        <v>0</v>
      </c>
      <c r="H4" s="452">
        <f>huishoudens!H8</f>
        <v>0</v>
      </c>
      <c r="I4" s="452">
        <f>huishoudens!I8</f>
        <v>0</v>
      </c>
      <c r="J4" s="452">
        <f>huishoudens!J8</f>
        <v>1068.7548595420565</v>
      </c>
      <c r="K4" s="452">
        <f>huishoudens!K8</f>
        <v>0</v>
      </c>
      <c r="L4" s="452">
        <f>huishoudens!L8</f>
        <v>0</v>
      </c>
      <c r="M4" s="452">
        <f>huishoudens!M8</f>
        <v>0</v>
      </c>
      <c r="N4" s="452">
        <f>huishoudens!N8</f>
        <v>30607.536861372784</v>
      </c>
      <c r="O4" s="452">
        <f>huishoudens!O8</f>
        <v>287.65333333333336</v>
      </c>
      <c r="P4" s="453">
        <f>huishoudens!P8</f>
        <v>1163.0666666666666</v>
      </c>
      <c r="Q4" s="454">
        <f>SUM(B4:P4)</f>
        <v>168156.96616239595</v>
      </c>
    </row>
    <row r="5" spans="1:17">
      <c r="A5" s="451" t="s">
        <v>155</v>
      </c>
      <c r="B5" s="452">
        <f ca="1">tertiair!B16</f>
        <v>15618.813599999999</v>
      </c>
      <c r="C5" s="452">
        <f ca="1">tertiair!C16</f>
        <v>0</v>
      </c>
      <c r="D5" s="452">
        <f ca="1">tertiair!D16</f>
        <v>16942.632641751377</v>
      </c>
      <c r="E5" s="452">
        <f>tertiair!E16</f>
        <v>192.79593088015076</v>
      </c>
      <c r="F5" s="452">
        <f ca="1">tertiair!F16</f>
        <v>2347.8833050426092</v>
      </c>
      <c r="G5" s="452">
        <f>tertiair!G16</f>
        <v>0</v>
      </c>
      <c r="H5" s="452">
        <f>tertiair!H16</f>
        <v>0</v>
      </c>
      <c r="I5" s="452">
        <f>tertiair!I16</f>
        <v>0</v>
      </c>
      <c r="J5" s="452">
        <f>tertiair!J16</f>
        <v>0</v>
      </c>
      <c r="K5" s="452">
        <f>tertiair!K16</f>
        <v>0</v>
      </c>
      <c r="L5" s="452">
        <f ca="1">tertiair!L16</f>
        <v>0</v>
      </c>
      <c r="M5" s="452">
        <f>tertiair!M16</f>
        <v>0</v>
      </c>
      <c r="N5" s="452">
        <f ca="1">tertiair!N16</f>
        <v>1228.1021968459158</v>
      </c>
      <c r="O5" s="452">
        <f>tertiair!O16</f>
        <v>9.3800000000000008</v>
      </c>
      <c r="P5" s="453">
        <f>tertiair!P16</f>
        <v>19.066666666666666</v>
      </c>
      <c r="Q5" s="451">
        <f t="shared" ref="Q5:Q14" ca="1" si="0">SUM(B5:P5)</f>
        <v>36358.674341186721</v>
      </c>
    </row>
    <row r="6" spans="1:17">
      <c r="A6" s="451" t="s">
        <v>193</v>
      </c>
      <c r="B6" s="452">
        <f>'openbare verlichting'!B8</f>
        <v>1012.116</v>
      </c>
      <c r="C6" s="452"/>
      <c r="D6" s="452"/>
      <c r="E6" s="452"/>
      <c r="F6" s="452"/>
      <c r="G6" s="452"/>
      <c r="H6" s="452"/>
      <c r="I6" s="452"/>
      <c r="J6" s="452"/>
      <c r="K6" s="452"/>
      <c r="L6" s="452"/>
      <c r="M6" s="452"/>
      <c r="N6" s="452"/>
      <c r="O6" s="452"/>
      <c r="P6" s="453"/>
      <c r="Q6" s="451">
        <f t="shared" si="0"/>
        <v>1012.116</v>
      </c>
    </row>
    <row r="7" spans="1:17">
      <c r="A7" s="451" t="s">
        <v>111</v>
      </c>
      <c r="B7" s="452">
        <f>landbouw!B8</f>
        <v>1681.8498999999999</v>
      </c>
      <c r="C7" s="452">
        <f>landbouw!C8</f>
        <v>0</v>
      </c>
      <c r="D7" s="452">
        <f>landbouw!D8</f>
        <v>336.65755151956688</v>
      </c>
      <c r="E7" s="452">
        <f>landbouw!E8</f>
        <v>15.577998197290079</v>
      </c>
      <c r="F7" s="452">
        <f>landbouw!F8</f>
        <v>4267.1735883771571</v>
      </c>
      <c r="G7" s="452">
        <f>landbouw!G8</f>
        <v>0</v>
      </c>
      <c r="H7" s="452">
        <f>landbouw!H8</f>
        <v>0</v>
      </c>
      <c r="I7" s="452">
        <f>landbouw!I8</f>
        <v>0</v>
      </c>
      <c r="J7" s="452">
        <f>landbouw!J8</f>
        <v>257.84635916966454</v>
      </c>
      <c r="K7" s="452">
        <f>landbouw!K8</f>
        <v>0</v>
      </c>
      <c r="L7" s="452">
        <f>landbouw!L8</f>
        <v>0</v>
      </c>
      <c r="M7" s="452">
        <f>landbouw!M8</f>
        <v>0</v>
      </c>
      <c r="N7" s="452">
        <f>landbouw!N8</f>
        <v>0</v>
      </c>
      <c r="O7" s="452">
        <f>landbouw!O8</f>
        <v>0</v>
      </c>
      <c r="P7" s="453">
        <f>landbouw!P8</f>
        <v>0</v>
      </c>
      <c r="Q7" s="451">
        <f t="shared" si="0"/>
        <v>6559.1053972636782</v>
      </c>
    </row>
    <row r="8" spans="1:17">
      <c r="A8" s="451" t="s">
        <v>649</v>
      </c>
      <c r="B8" s="452">
        <f>industrie!B18</f>
        <v>4257.1143999999995</v>
      </c>
      <c r="C8" s="452">
        <f>industrie!C18</f>
        <v>0</v>
      </c>
      <c r="D8" s="452">
        <f>industrie!D18</f>
        <v>2277.8141739535104</v>
      </c>
      <c r="E8" s="452">
        <f>industrie!E18</f>
        <v>697.28715785267423</v>
      </c>
      <c r="F8" s="452">
        <f>industrie!F18</f>
        <v>3390.3758060085033</v>
      </c>
      <c r="G8" s="452">
        <f>industrie!G18</f>
        <v>0</v>
      </c>
      <c r="H8" s="452">
        <f>industrie!H18</f>
        <v>0</v>
      </c>
      <c r="I8" s="452">
        <f>industrie!I18</f>
        <v>0</v>
      </c>
      <c r="J8" s="452">
        <f>industrie!J18</f>
        <v>20.237175334368533</v>
      </c>
      <c r="K8" s="452">
        <f>industrie!K18</f>
        <v>0</v>
      </c>
      <c r="L8" s="452">
        <f>industrie!L18</f>
        <v>0</v>
      </c>
      <c r="M8" s="452">
        <f>industrie!M18</f>
        <v>0</v>
      </c>
      <c r="N8" s="452">
        <f>industrie!N18</f>
        <v>608.62372474792573</v>
      </c>
      <c r="O8" s="452">
        <f>industrie!O18</f>
        <v>0</v>
      </c>
      <c r="P8" s="453">
        <f>industrie!P18</f>
        <v>0</v>
      </c>
      <c r="Q8" s="451">
        <f t="shared" si="0"/>
        <v>11251.452437896982</v>
      </c>
    </row>
    <row r="9" spans="1:17" s="457" customFormat="1">
      <c r="A9" s="455" t="s">
        <v>570</v>
      </c>
      <c r="B9" s="456">
        <f>transport!B14</f>
        <v>25.628544453016037</v>
      </c>
      <c r="C9" s="456">
        <f>transport!C14</f>
        <v>0</v>
      </c>
      <c r="D9" s="456">
        <f>transport!D14</f>
        <v>46.427047250017473</v>
      </c>
      <c r="E9" s="456">
        <f>transport!E14</f>
        <v>517.72154209870735</v>
      </c>
      <c r="F9" s="456">
        <f>transport!F14</f>
        <v>0</v>
      </c>
      <c r="G9" s="456">
        <f>transport!G14</f>
        <v>225306.41585847654</v>
      </c>
      <c r="H9" s="456">
        <f>transport!H14</f>
        <v>29186.941633166753</v>
      </c>
      <c r="I9" s="456">
        <f>transport!I14</f>
        <v>0</v>
      </c>
      <c r="J9" s="456">
        <f>transport!J14</f>
        <v>0</v>
      </c>
      <c r="K9" s="456">
        <f>transport!K14</f>
        <v>0</v>
      </c>
      <c r="L9" s="456">
        <f>transport!L14</f>
        <v>0</v>
      </c>
      <c r="M9" s="456">
        <f>transport!M14</f>
        <v>13952.909284593547</v>
      </c>
      <c r="N9" s="456">
        <f>transport!N14</f>
        <v>0</v>
      </c>
      <c r="O9" s="456">
        <f>transport!O14</f>
        <v>0</v>
      </c>
      <c r="P9" s="456">
        <f>transport!P14</f>
        <v>0</v>
      </c>
      <c r="Q9" s="455">
        <f>SUM(B9:P9)</f>
        <v>269036.0439100386</v>
      </c>
    </row>
    <row r="10" spans="1:17">
      <c r="A10" s="451" t="s">
        <v>560</v>
      </c>
      <c r="B10" s="452">
        <f>transport!B54</f>
        <v>0</v>
      </c>
      <c r="C10" s="452">
        <f>transport!C54</f>
        <v>0</v>
      </c>
      <c r="D10" s="452">
        <f>transport!D54</f>
        <v>0</v>
      </c>
      <c r="E10" s="452">
        <f>transport!E54</f>
        <v>0</v>
      </c>
      <c r="F10" s="452">
        <f>transport!F54</f>
        <v>0</v>
      </c>
      <c r="G10" s="452">
        <f>transport!G54</f>
        <v>1601.1357628044163</v>
      </c>
      <c r="H10" s="452">
        <f>transport!H54</f>
        <v>0</v>
      </c>
      <c r="I10" s="452">
        <f>transport!I54</f>
        <v>0</v>
      </c>
      <c r="J10" s="452">
        <f>transport!J54</f>
        <v>0</v>
      </c>
      <c r="K10" s="452">
        <f>transport!K54</f>
        <v>0</v>
      </c>
      <c r="L10" s="452">
        <f>transport!L54</f>
        <v>0</v>
      </c>
      <c r="M10" s="452">
        <f>transport!M54</f>
        <v>91.516046812347312</v>
      </c>
      <c r="N10" s="452">
        <f>transport!N54</f>
        <v>0</v>
      </c>
      <c r="O10" s="452">
        <f>transport!O54</f>
        <v>0</v>
      </c>
      <c r="P10" s="453">
        <f>transport!P54</f>
        <v>0</v>
      </c>
      <c r="Q10" s="451">
        <f t="shared" si="0"/>
        <v>1692.6518096167636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936.33409999999992</v>
      </c>
      <c r="C14" s="459"/>
      <c r="D14" s="459">
        <f>'SEAP template'!E25</f>
        <v>1467.74171412649</v>
      </c>
      <c r="E14" s="459"/>
      <c r="F14" s="459"/>
      <c r="G14" s="459"/>
      <c r="H14" s="459"/>
      <c r="I14" s="459"/>
      <c r="J14" s="459"/>
      <c r="K14" s="459"/>
      <c r="L14" s="459"/>
      <c r="M14" s="459"/>
      <c r="N14" s="459"/>
      <c r="O14" s="459"/>
      <c r="P14" s="460"/>
      <c r="Q14" s="451">
        <f t="shared" si="0"/>
        <v>2404.0758141264901</v>
      </c>
    </row>
    <row r="15" spans="1:17" s="461" customFormat="1">
      <c r="A15" s="1017" t="s">
        <v>564</v>
      </c>
      <c r="B15" s="957">
        <f ca="1">SUM(B4:B14)</f>
        <v>53380.512503233069</v>
      </c>
      <c r="C15" s="957">
        <f t="shared" ref="C15:Q15" ca="1" si="1">SUM(C4:C14)</f>
        <v>0</v>
      </c>
      <c r="D15" s="957">
        <f t="shared" ca="1" si="1"/>
        <v>77833.245939303859</v>
      </c>
      <c r="E15" s="957">
        <f t="shared" si="1"/>
        <v>33929.470621748747</v>
      </c>
      <c r="F15" s="957">
        <f t="shared" ca="1" si="1"/>
        <v>25918.670378706487</v>
      </c>
      <c r="G15" s="957">
        <f t="shared" si="1"/>
        <v>226907.55162128096</v>
      </c>
      <c r="H15" s="957">
        <f t="shared" si="1"/>
        <v>29186.941633166753</v>
      </c>
      <c r="I15" s="957">
        <f t="shared" si="1"/>
        <v>0</v>
      </c>
      <c r="J15" s="957">
        <f t="shared" si="1"/>
        <v>1346.8383940460894</v>
      </c>
      <c r="K15" s="957">
        <f t="shared" si="1"/>
        <v>0</v>
      </c>
      <c r="L15" s="957">
        <f t="shared" ca="1" si="1"/>
        <v>0</v>
      </c>
      <c r="M15" s="957">
        <f t="shared" si="1"/>
        <v>14044.425331405893</v>
      </c>
      <c r="N15" s="957">
        <f t="shared" ca="1" si="1"/>
        <v>32444.262782966627</v>
      </c>
      <c r="O15" s="957">
        <f t="shared" si="1"/>
        <v>297.03333333333336</v>
      </c>
      <c r="P15" s="957">
        <f t="shared" si="1"/>
        <v>1182.1333333333332</v>
      </c>
      <c r="Q15" s="957">
        <f t="shared" ca="1" si="1"/>
        <v>496471.08587252517</v>
      </c>
    </row>
    <row r="17" spans="1:17">
      <c r="A17" s="462" t="s">
        <v>565</v>
      </c>
      <c r="B17" s="761">
        <f ca="1">huishoudens!B10</f>
        <v>0.19830098838785876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5919.0179786752351</v>
      </c>
      <c r="C22" s="452">
        <f t="shared" ref="C22:C32" ca="1" si="3">C4*$C$17</f>
        <v>0</v>
      </c>
      <c r="D22" s="452">
        <f t="shared" ref="D22:D32" si="4">D4*$D$17</f>
        <v>11465.918507761986</v>
      </c>
      <c r="E22" s="452">
        <f t="shared" ref="E22:E32" si="5">E4*$E$17</f>
        <v>7378.8819743474232</v>
      </c>
      <c r="F22" s="452">
        <f t="shared" ref="F22:F32" si="6">F4*$F$17</f>
        <v>4248.834460367284</v>
      </c>
      <c r="G22" s="452">
        <f t="shared" ref="G22:G32" si="7">G4*$G$17</f>
        <v>0</v>
      </c>
      <c r="H22" s="452">
        <f t="shared" ref="H22:H32" si="8">H4*$H$17</f>
        <v>0</v>
      </c>
      <c r="I22" s="452">
        <f t="shared" ref="I22:I32" si="9">I4*$I$17</f>
        <v>0</v>
      </c>
      <c r="J22" s="452">
        <f t="shared" ref="J22:J32" si="10">J4*$J$17</f>
        <v>378.33922027788799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29390.992141429819</v>
      </c>
    </row>
    <row r="23" spans="1:17">
      <c r="A23" s="451" t="s">
        <v>155</v>
      </c>
      <c r="B23" s="452">
        <f t="shared" ca="1" si="2"/>
        <v>3097.2261743257304</v>
      </c>
      <c r="C23" s="452">
        <f t="shared" ca="1" si="3"/>
        <v>0</v>
      </c>
      <c r="D23" s="452">
        <f t="shared" ca="1" si="4"/>
        <v>3422.4117936337784</v>
      </c>
      <c r="E23" s="452">
        <f t="shared" si="5"/>
        <v>43.764676309794226</v>
      </c>
      <c r="F23" s="452">
        <f t="shared" ca="1" si="6"/>
        <v>626.88484244637664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7190.2874867156797</v>
      </c>
    </row>
    <row r="24" spans="1:17">
      <c r="A24" s="451" t="s">
        <v>193</v>
      </c>
      <c r="B24" s="452">
        <f t="shared" ca="1" si="2"/>
        <v>200.70360316316604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200.70360316316604</v>
      </c>
    </row>
    <row r="25" spans="1:17">
      <c r="A25" s="451" t="s">
        <v>111</v>
      </c>
      <c r="B25" s="452">
        <f t="shared" ca="1" si="2"/>
        <v>333.51249749002142</v>
      </c>
      <c r="C25" s="452">
        <f t="shared" ca="1" si="3"/>
        <v>0</v>
      </c>
      <c r="D25" s="452">
        <f t="shared" si="4"/>
        <v>68.00482540695252</v>
      </c>
      <c r="E25" s="452">
        <f t="shared" si="5"/>
        <v>3.536205590784848</v>
      </c>
      <c r="F25" s="452">
        <f t="shared" si="6"/>
        <v>1139.335348096701</v>
      </c>
      <c r="G25" s="452">
        <f t="shared" si="7"/>
        <v>0</v>
      </c>
      <c r="H25" s="452">
        <f t="shared" si="8"/>
        <v>0</v>
      </c>
      <c r="I25" s="452">
        <f t="shared" si="9"/>
        <v>0</v>
      </c>
      <c r="J25" s="452">
        <f t="shared" si="10"/>
        <v>91.277611146061247</v>
      </c>
      <c r="K25" s="452">
        <f t="shared" si="11"/>
        <v>0</v>
      </c>
      <c r="L25" s="452">
        <f t="shared" si="12"/>
        <v>0</v>
      </c>
      <c r="M25" s="452">
        <f t="shared" si="13"/>
        <v>0</v>
      </c>
      <c r="N25" s="452">
        <f t="shared" si="14"/>
        <v>0</v>
      </c>
      <c r="O25" s="452">
        <f t="shared" si="15"/>
        <v>0</v>
      </c>
      <c r="P25" s="453">
        <f t="shared" si="16"/>
        <v>0</v>
      </c>
      <c r="Q25" s="451">
        <f t="shared" ca="1" si="17"/>
        <v>1635.6664877305209</v>
      </c>
    </row>
    <row r="26" spans="1:17">
      <c r="A26" s="451" t="s">
        <v>649</v>
      </c>
      <c r="B26" s="452">
        <f t="shared" ca="1" si="2"/>
        <v>844.18999320018622</v>
      </c>
      <c r="C26" s="452">
        <f t="shared" ca="1" si="3"/>
        <v>0</v>
      </c>
      <c r="D26" s="452">
        <f t="shared" si="4"/>
        <v>460.11846313860912</v>
      </c>
      <c r="E26" s="452">
        <f t="shared" si="5"/>
        <v>158.28418483255706</v>
      </c>
      <c r="F26" s="452">
        <f t="shared" si="6"/>
        <v>905.23034020427042</v>
      </c>
      <c r="G26" s="452">
        <f t="shared" si="7"/>
        <v>0</v>
      </c>
      <c r="H26" s="452">
        <f t="shared" si="8"/>
        <v>0</v>
      </c>
      <c r="I26" s="452">
        <f t="shared" si="9"/>
        <v>0</v>
      </c>
      <c r="J26" s="452">
        <f t="shared" si="10"/>
        <v>7.1639600683664604</v>
      </c>
      <c r="K26" s="452">
        <f t="shared" si="11"/>
        <v>0</v>
      </c>
      <c r="L26" s="452">
        <f t="shared" si="12"/>
        <v>0</v>
      </c>
      <c r="M26" s="452">
        <f t="shared" si="13"/>
        <v>0</v>
      </c>
      <c r="N26" s="452">
        <f t="shared" si="14"/>
        <v>0</v>
      </c>
      <c r="O26" s="452">
        <f t="shared" si="15"/>
        <v>0</v>
      </c>
      <c r="P26" s="453">
        <f t="shared" si="16"/>
        <v>0</v>
      </c>
      <c r="Q26" s="451">
        <f t="shared" ca="1" si="17"/>
        <v>2374.9869414439895</v>
      </c>
    </row>
    <row r="27" spans="1:17" s="457" customFormat="1">
      <c r="A27" s="455" t="s">
        <v>570</v>
      </c>
      <c r="B27" s="755">
        <f t="shared" ca="1" si="2"/>
        <v>5.082165695975255</v>
      </c>
      <c r="C27" s="456">
        <f t="shared" ca="1" si="3"/>
        <v>0</v>
      </c>
      <c r="D27" s="456">
        <f t="shared" si="4"/>
        <v>9.3782635445035307</v>
      </c>
      <c r="E27" s="456">
        <f t="shared" si="5"/>
        <v>117.52279005640658</v>
      </c>
      <c r="F27" s="456">
        <f t="shared" si="6"/>
        <v>0</v>
      </c>
      <c r="G27" s="456">
        <f t="shared" si="7"/>
        <v>60156.813034213243</v>
      </c>
      <c r="H27" s="456">
        <f t="shared" si="8"/>
        <v>7267.5484666585216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67556.34472016865</v>
      </c>
    </row>
    <row r="28" spans="1:17">
      <c r="A28" s="451" t="s">
        <v>560</v>
      </c>
      <c r="B28" s="452">
        <f t="shared" ca="1" si="2"/>
        <v>0</v>
      </c>
      <c r="C28" s="452">
        <f t="shared" ca="1" si="3"/>
        <v>0</v>
      </c>
      <c r="D28" s="452">
        <f t="shared" si="4"/>
        <v>0</v>
      </c>
      <c r="E28" s="452">
        <f t="shared" si="5"/>
        <v>0</v>
      </c>
      <c r="F28" s="452">
        <f t="shared" si="6"/>
        <v>0</v>
      </c>
      <c r="G28" s="452">
        <f t="shared" si="7"/>
        <v>427.50324866877918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427.50324866877918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185.67597749125616</v>
      </c>
      <c r="C32" s="452">
        <f t="shared" ca="1" si="3"/>
        <v>0</v>
      </c>
      <c r="D32" s="452">
        <f t="shared" si="4"/>
        <v>296.483826253551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482.15980374480716</v>
      </c>
    </row>
    <row r="33" spans="1:17" s="461" customFormat="1">
      <c r="A33" s="1017" t="s">
        <v>564</v>
      </c>
      <c r="B33" s="957">
        <f ca="1">SUM(B22:B32)</f>
        <v>10585.408390041572</v>
      </c>
      <c r="C33" s="957">
        <f t="shared" ref="C33:Q33" ca="1" si="18">SUM(C22:C32)</f>
        <v>0</v>
      </c>
      <c r="D33" s="957">
        <f t="shared" ca="1" si="18"/>
        <v>15722.315679739382</v>
      </c>
      <c r="E33" s="957">
        <f t="shared" si="18"/>
        <v>7701.9898311369661</v>
      </c>
      <c r="F33" s="957">
        <f t="shared" ca="1" si="18"/>
        <v>6920.2849911146322</v>
      </c>
      <c r="G33" s="957">
        <f t="shared" si="18"/>
        <v>60584.31628288202</v>
      </c>
      <c r="H33" s="957">
        <f t="shared" si="18"/>
        <v>7267.5484666585216</v>
      </c>
      <c r="I33" s="957">
        <f t="shared" si="18"/>
        <v>0</v>
      </c>
      <c r="J33" s="957">
        <f t="shared" si="18"/>
        <v>476.7807914923157</v>
      </c>
      <c r="K33" s="957">
        <f t="shared" si="18"/>
        <v>0</v>
      </c>
      <c r="L33" s="957">
        <f t="shared" ca="1" si="18"/>
        <v>0</v>
      </c>
      <c r="M33" s="957">
        <f t="shared" si="18"/>
        <v>0</v>
      </c>
      <c r="N33" s="957">
        <f t="shared" ca="1" si="18"/>
        <v>0</v>
      </c>
      <c r="O33" s="957">
        <f t="shared" si="18"/>
        <v>0</v>
      </c>
      <c r="P33" s="957">
        <f t="shared" si="18"/>
        <v>0</v>
      </c>
      <c r="Q33" s="957">
        <f t="shared" ca="1" si="18"/>
        <v>109258.64443306542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5482.7369826829809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5482.7369826829809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0.19830098838785876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0.19830098838785876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2020-06-20T16:03:17Z</dcterms:modified>
</cp:coreProperties>
</file>