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<sst xmlns="http://schemas.openxmlformats.org/spreadsheetml/2006/main" count="2452" uniqueCount="926">
  <si>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</si>
  <si>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</si>
  <si>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</si>
  <si>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</si>
  <si>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</si>
  <si>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</si>
  <si>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</si>
  <si>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</si>
  <si>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</si>
  <si>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</si>
  <si>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</si>
  <si>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</si>
  <si>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</si>
  <si>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</si>
  <si>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</si>
  <si>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</si>
  <si>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</si>
  <si>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</si>
  <si>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</si>
  <si>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</si>
  <si>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</si>
  <si>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</si>
  <si>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</si>
  <si>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</si>
  <si>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</si>
  <si>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</si>
  <si>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</si>
  <si>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</si>
  <si>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</si>
  <si>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</si>
  <si>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</si>
  <si>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</si>
  <si>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</si>
  <si>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</si>
  <si>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</si>
  <si>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</si>
  <si>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</si>
  <si>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</si>
  <si>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</si>
  <si>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</si>
  <si>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</si>
  <si>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</si>
  <si>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</si>
  <si>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</si>
  <si>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</si>
  <si>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</si>
  <si>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</si>
  <si>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</si>
  <si>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</si>
  <si>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</si>
  <si>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</si>
  <si>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</si>
  <si>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</si>
  <si>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</si>
  <si>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</si>
  <si>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</si>
  <si>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</si>
  <si>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</si>
  <si>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</si>
  <si>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</si>
  <si>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</si>
  <si>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</si>
  <si>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</si>
  <si>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</si>
  <si>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</si>
  <si>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</si>
  <si>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</si>
  <si>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</si>
  <si>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</si>
  <si>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</si>
  <si>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</si>
  <si>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</si>
  <si>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</si>
  <si>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</si>
  <si>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</si>
  <si>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</si>
  <si>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</si>
  <si>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</si>
  <si>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</si>
  <si>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</si>
  <si>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</si>
  <si>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</si>
  <si>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</si>
  <si>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</si>
  <si>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</si>
  <si>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</si>
  <si>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</si>
  <si>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</si>
  <si>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</si>
  <si>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</si>
  <si>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</si>
  <si>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</si>
  <si>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</si>
  <si>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</si>
  <si>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</si>
  <si>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</si>
  <si>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</si>
  <si>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</si>
  <si>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</si>
  <si>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</si>
  <si>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</si>
  <si>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</si>
  <si>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</si>
  <si>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</si>
  <si>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</si>
  <si>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</si>
  <si>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</si>
  <si>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</si>
  <si>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</si>
  <si>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</si>
  <si>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</si>
  <si>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</si>
  <si>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</si>
  <si>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</si>
  <si>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</si>
  <si>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</si>
  <si>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</si>
  <si>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</si>
  <si>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</si>
  <si>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</si>
  <si>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</si>
  <si>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</si>
  <si>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</si>
  <si>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</si>
  <si>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</si>
  <si>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</si>
  <si>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</si>
  <si>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</si>
  <si>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</si>
  <si>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</si>
  <si>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</si>
  <si>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</si>
  <si>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</si>
  <si>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</si>
  <si>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</si>
  <si>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</si>
  <si>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</si>
  <si>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</si>
  <si>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</si>
  <si>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</si>
  <si>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</si>
  <si>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</si>
  <si>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</si>
  <si>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</si>
  <si>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</si>
  <si>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</si>
  <si>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</si>
  <si>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</si>
  <si>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</si>
  <si>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</si>
  <si>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</si>
  <si>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</si>
  <si>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</si>
  <si>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</si>
  <si>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</si>
  <si>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</si>
  <si>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</si>
  <si>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</si>
  <si>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</si>
  <si>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</si>
  <si>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</si>
  <si>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</si>
  <si>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</si>
  <si>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</si>
  <si>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</si>
  <si>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</si>
  <si>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</si>
  <si>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</si>
  <si>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</si>
  <si>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</si>
  <si>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</si>
  <si>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</si>
  <si>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</si>
  <si>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</si>
  <si>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</si>
  <si>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</si>
  <si>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</si>
  <si>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</si>
  <si>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</si>
  <si>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</si>
  <si>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</si>
  <si>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</si>
  <si>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</si>
  <si>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</si>
  <si>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</si>
  <si>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</si>
  <si>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</si>
  <si>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</si>
  <si>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</si>
  <si>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</si>
  <si>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</si>
  <si>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</si>
  <si>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</si>
  <si>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</si>
  <si>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</si>
  <si>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</si>
  <si>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</si>
  <si>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</si>
  <si>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</si>
  <si>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</si>
  <si>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</si>
  <si>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</si>
  <si>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</si>
  <si>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</si>
  <si>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</si>
  <si>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</si>
  <si>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</si>
  <si>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</si>
  <si>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</si>
  <si>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</si>
  <si>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</si>
  <si>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</si>
  <si>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</si>
  <si>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</si>
  <si>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</si>
  <si>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</si>
  <si>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</si>
  <si>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</si>
  <si>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</si>
  <si>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</si>
  <si>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</si>
  <si>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</si>
  <si>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</si>
  <si>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</si>
  <si>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</si>
  <si>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</si>
  <si>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</si>
  <si>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</si>
  <si>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</si>
  <si>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</si>
  <si>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</si>
  <si>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</si>
  <si>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</si>
  <si>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</si>
  <si>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</si>
  <si>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</si>
  <si>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</si>
  <si>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</si>
  <si>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</si>
  <si>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</si>
  <si>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</si>
  <si>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</si>
  <si>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</si>
  <si>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</si>
  <si>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</si>
  <si>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</si>
  <si>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</si>
  <si>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</si>
  <si>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</si>
  <si>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</si>
  <si>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</si>
  <si>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</si>
  <si>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</si>
  <si>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</si>
  <si>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</si>
  <si>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</si>
  <si>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</si>
  <si>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</si>
  <si>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</si>
  <si>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</si>
  <si>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</si>
  <si>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</si>
  <si>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</si>
  <si>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</si>
  <si>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</si>
  <si>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</si>
  <si>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</si>
  <si>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</si>
  <si>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</si>
  <si>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</si>
  <si>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</si>
  <si>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</si>
  <si>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</si>
  <si>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</si>
  <si>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</si>
  <si>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</si>
  <si>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</si>
  <si>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</si>
  <si>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</si>
  <si>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</si>
  <si>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</si>
  <si>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</si>
  <si>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</si>
  <si>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</si>
  <si>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</si>
  <si>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</si>
  <si>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</si>
  <si>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</si>
  <si>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</si>
  <si>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</si>
  <si>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</si>
  <si>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</si>
  <si>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</si>
  <si>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</si>
  <si>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</si>
  <si>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</si>
  <si>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</si>
  <si>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</si>
  <si>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</si>
  <si>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</si>
  <si>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</si>
  <si>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</si>
  <si>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</si>
  <si>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</si>
  <si>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</si>
  <si>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</si>
  <si>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</si>
  <si>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</si>
  <si>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</si>
  <si>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</si>
  <si>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</si>
  <si>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</si>
  <si>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</si>
  <si>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</si>
  <si>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</si>
  <si>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</si>
  <si>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</si>
  <si>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</si>
  <si>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</si>
  <si>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</si>
  <si>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</si>
  <si>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</si>
  <si>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</si>
  <si>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</si>
  <si>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</si>
  <si>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</si>
  <si>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</si>
  <si>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</si>
  <si>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</si>
  <si>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</si>
  <si>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</si>
  <si>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</si>
  <si>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</si>
  <si>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</si>
  <si>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</si>
  <si>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</si>
  <si>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</si>
  <si>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</si>
  <si>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</si>
  <si>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</si>
  <si>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</si>
  <si>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</si>
  <si>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</si>
  <si>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</si>
  <si>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</si>
  <si>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</si>
  <si>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</si>
  <si>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</si>
  <si>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</si>
  <si>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</si>
  <si>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</si>
  <si>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</si>
  <si>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</si>
  <si>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</si>
  <si>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</si>
  <si>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</si>
  <si>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</si>
  <si>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</si>
  <si>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</si>
  <si>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</si>
  <si>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</si>
  <si>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</si>
  <si>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</si>
  <si>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</si>
  <si>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</si>
  <si>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</si>
  <si>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</si>
  <si>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</si>
  <si>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</si>
  <si>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</si>
  <si>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</si>
  <si>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</si>
  <si>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</si>
  <si>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</si>
  <si>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</si>
  <si>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</si>
  <si>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</si>
  <si>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</si>
  <si>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</si>
  <si>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</si>
  <si>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</si>
  <si>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</si>
  <si>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</si>
  <si>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</si>
  <si>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</si>
  <si>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</si>
  <si>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</si>
  <si>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</si>
  <si>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</si>
  <si>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</si>
  <si>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</si>
  <si>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</si>
  <si>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</si>
  <si>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</si>
  <si>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</si>
  <si>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</si>
  <si>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</si>
  <si>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</si>
  <si>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</si>
  <si>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</si>
  <si>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</si>
  <si>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</si>
  <si>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</si>
  <si>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</si>
  <si>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</si>
  <si>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</si>
  <si>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</si>
  <si>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</si>
  <si>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</si>
  <si>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</si>
  <si>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</si>
  <si>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</si>
  <si>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</si>
  <si>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</si>
  <si>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</si>
  <si>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</si>
  <si>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</si>
  <si>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</si>
  <si>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</si>
  <si>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</si>
  <si>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</si>
  <si>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</si>
  <si>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</si>
  <si>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</si>
  <si>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</si>
  <si>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</si>
  <si>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</si>
  <si>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</si>
  <si>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</si>
  <si>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</si>
  <si>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</si>
  <si>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</si>
  <si>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</si>
  <si>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</si>
  <si>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</si>
  <si>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</si>
  <si>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</si>
  <si>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</si>
  <si>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</si>
  <si>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</si>
  <si>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</si>
  <si>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</si>
  <si>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</si>
  <si>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</si>
  <si>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</si>
  <si>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</si>
  <si>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</si>
  <si>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</si>
  <si>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</si>
  <si>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</si>
  <si>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</si>
  <si>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</si>
  <si>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</si>
  <si>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</si>
  <si>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</si>
  <si>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</si>
  <si>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</si>
  <si>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</si>
  <si>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</si>
  <si>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</si>
  <si>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</si>
  <si>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</si>
  <si>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</si>
  <si>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</si>
  <si>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</si>
  <si>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</si>
  <si>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</si>
  <si>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</si>
  <si>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</si>
  <si>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</si>
  <si>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</si>
  <si>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</si>
  <si>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</si>
  <si>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</si>
  <si>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</si>
  <si>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</si>
  <si>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</si>
  <si>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</si>
  <si>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</si>
  <si>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</si>
  <si>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</si>
  <si>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</si>
  <si>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</si>
  <si>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</si>
  <si>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</si>
  <si>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</si>
  <si>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</si>
  <si>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</si>
  <si>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</si>
  <si>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</si>
  <si>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</si>
  <si>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</si>
  <si>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</si>
  <si>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</si>
  <si>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</si>
  <si>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</si>
  <si>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</si>
  <si>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</si>
  <si>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</si>
  <si>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</si>
  <si>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</si>
  <si>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</si>
  <si>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</si>
  <si>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</si>
  <si>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</si>
  <si>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</si>
  <si>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</si>
  <si>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</si>
  <si>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</si>
  <si>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</si>
  <si>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</si>
  <si>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</si>
  <si>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</si>
  <si>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</si>
  <si>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</si>
  <si>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</si>
  <si>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</si>
  <si>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</si>
  <si>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</si>
  <si>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</si>
  <si>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</si>
  <si>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</si>
  <si>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</si>
  <si>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</si>
  <si>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</si>
  <si>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</si>
  <si>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</si>
  <si>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</si>
  <si>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</si>
  <si>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</si>
  <si>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</si>
  <si>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</si>
  <si>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</si>
  <si>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</si>
  <si>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</si>
  <si>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</si>
  <si>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</si>
  <si>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</si>
  <si>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</si>
  <si>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</si>
  <si>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</si>
  <si>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</si>
  <si>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</si>
  <si>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</si>
  <si>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</si>
  <si>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</si>
  <si>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</si>
  <si>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</si>
  <si>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</si>
  <si>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</si>
  <si>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</si>
  <si>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</si>
  <si>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</si>
  <si>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</si>
  <si>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</si>
  <si>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</si>
  <si>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</si>
  <si>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</si>
  <si>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</si>
  <si>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</si>
  <si>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</si>
  <si>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</si>
  <si>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</si>
  <si>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</si>
  <si>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</si>
  <si>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</si>
  <si>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</si>
  <si>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</si>
  <si>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</si>
  <si>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</si>
  <si>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</si>
  <si>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</si>
  <si>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</si>
  <si>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</si>
  <si>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</si>
  <si>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</si>
  <si>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</si>
  <si>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</si>
  <si>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</si>
  <si>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</si>
  <si>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</si>
  <si>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</si>
  <si>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</si>
  <si>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</si>
  <si>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</si>
  <si>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</si>
  <si>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</si>
  <si>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</si>
  <si>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</si>
  <si>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</si>
  <si>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</si>
  <si>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</si>
  <si>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</si>
  <si>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</si>
  <si>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</si>
  <si>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</si>
  <si>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</si>
  <si>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</si>
  <si>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</si>
  <si>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</si>
  <si>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</si>
  <si>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</si>
  <si>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</si>
  <si>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</si>
  <si>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</si>
  <si>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</si>
  <si>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</si>
  <si>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</si>
  <si>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</si>
  <si>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</si>
  <si>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</si>
  <si>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</si>
  <si>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</si>
  <si>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</si>
  <si>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</si>
  <si>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</si>
  <si>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</si>
  <si>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</si>
  <si>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</si>
  <si>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</si>
  <si>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</si>
  <si>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</si>
  <si>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</si>
  <si>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</si>
  <si>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</si>
  <si>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</si>
  <si>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</si>
  <si>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</si>
  <si>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</si>
  <si>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</si>
  <si>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</si>
  <si>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</si>
  <si>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</si>
  <si>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</si>
  <si>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</si>
  <si>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</si>
  <si>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</si>
  <si>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</si>
  <si>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</si>
  <si>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</si>
  <si>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</si>
  <si>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</si>
  <si>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</si>
  <si>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</si>
  <si>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</si>
  <si>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</si>
  <si>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</si>
  <si>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</si>
  <si>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</si>
  <si>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</si>
  <si>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</si>
  <si>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</si>
  <si>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</si>
  <si>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</si>
  <si>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</si>
  <si>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</si>
  <si>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</si>
  <si>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</si>
  <si>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</si>
  <si>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</si>
  <si>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</si>
  <si>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</si>
  <si>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</si>
  <si>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</si>
  <si>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</si>
  <si>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</si>
  <si>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</si>
  <si>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</si>
  <si>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</si>
  <si>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</si>
  <si>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</si>
  <si>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</si>
  <si>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</si>
  <si>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</si>
  <si>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</si>
  <si>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</si>
  <si>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</si>
  <si>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</si>
  <si>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</si>
  <si>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</si>
  <si>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</si>
  <si>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</si>
  <si>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</si>
  <si>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</si>
  <si>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</si>
  <si>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</si>
  <si>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</si>
  <si>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</si>
  <si>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</si>
  <si>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</si>
  <si>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</si>
  <si>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</si>
  <si>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</si>
  <si>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</si>
  <si>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</si>
  <si>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</si>
  <si>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</si>
  <si>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</si>
  <si>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</si>
  <si>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</si>
  <si>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</si>
  <si>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</si>
  <si>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</si>
  <si>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</si>
  <si>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</si>
  <si>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</si>
  <si>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</si>
  <si>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</si>
  <si>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</si>
  <si>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</si>
  <si>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</si>
  <si>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</si>
  <si>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</si>
  <si>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</si>
  <si>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</si>
  <si>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</si>
  <si>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</si>
  <si>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</si>
  <si>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</si>
  <si>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</si>
  <si>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</si>
  <si>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</si>
  <si>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</si>
  <si>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</si>
  <si>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</si>
  <si>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</si>
  <si>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</si>
  <si>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</si>
  <si>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</si>
  <si>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</si>
  <si>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</si>
  <si>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</si>
  <si>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</si>
  <si>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</si>
  <si>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</si>
  <si>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</si>
  <si>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</si>
  <si>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</si>
  <si>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</si>
  <si>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</si>
  <si>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</si>
  <si>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</si>
  <si>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</si>
  <si>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</si>
  <si>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</si>
  <si>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</si>
  <si>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</si>
  <si>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</si>
  <si>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</si>
  <si>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</si>
  <si>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</si>
  <si>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</si>
  <si>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</si>
  <si>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</si>
  <si>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</si>
  <si>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</si>
  <si>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</si>
  <si>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</si>
  <si>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</si>
  <si>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</si>
  <si>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</si>
  <si>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</si>
  <si>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</si>
  <si>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</si>
  <si>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</si>
  <si>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</si>
  <si>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</si>
  <si>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</si>
  <si>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</si>
  <si>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</si>
  <si>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</si>
  <si>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</si>
  <si>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</si>
  <si>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</si>
  <si>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</si>
  <si>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</si>
  <si>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</si>
  <si>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</si>
  <si>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</si>
  <si>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</si>
  <si>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</si>
  <si>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</si>
  <si>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</si>
  <si>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</si>
  <si>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</si>
  <si>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</si>
  <si>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</si>
  <si>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</si>
  <si>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</si>
  <si>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</si>
  <si>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</si>
  <si>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</si>
  <si>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</si>
  <si>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</si>
  <si>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</si>
  <si>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</si>
  <si>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</si>
  <si>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</si>
  <si>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</si>
  <si>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</si>
  <si>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</si>
  <si>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</si>
  <si>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</si>
  <si>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</si>
  <si>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</si>
  <si>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</si>
  <si>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</si>
  <si>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</si>
  <si>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</si>
  <si>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</si>
  <si>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</si>
  <si>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</si>
  <si>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</si>
  <si>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</si>
  <si>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</si>
  <si>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</si>
  <si>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</si>
  <si>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</si>
  <si>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</si>
  <si>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</si>
  <si>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</si>
  <si>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</si>
  <si>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</si>
  <si>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</si>
  <si>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</si>
  <si>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</si>
  <si>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</si>
  <si>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</si>
  <si>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</si>
  <si>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</si>
  <si>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</si>
  <si>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</si>
  <si>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</si>
  <si>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</si>
  <si>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</si>
  <si>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</si>
  <si>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</si>
  <si>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</si>
  <si>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</si>
  <si>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</si>
  <si>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</si>
  <si>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</si>
  <si>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</si>
  <si>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</si>
  <si>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</si>
  <si>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</si>
  <si>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</si>
  <si>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</si>
  <si>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</si>
  <si>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</si>
  <si>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</si>
  <si>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</si>
  <si>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</si>
  <si>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</si>
  <si>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</si>
  <si>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</si>
  <si>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</si>
  <si>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</si>
  <si>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</si>
  <si>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</si>
  <si>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</si>
  <si>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</si>
  <si>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</si>
  <si>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</si>
  <si>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</si>
  <si>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</si>
  <si>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</si>
  <si>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</si>
  <si>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</si>
  <si>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</si>
  <si>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</si>
  <si>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</si>
  <si>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</si>
  <si>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</si>
  <si>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</si>
  <si>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</si>
  <si>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</si>
  <si>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</si>
  <si>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</si>
  <si>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</si>
  <si>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</si>
  <si>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</si>
  <si>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</si>
  <si>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</si>
  <si>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</si>
  <si>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</si>
  <si>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</si>
  <si>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</si>
  <si>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</si>
  <si>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</si>
  <si>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</si>
  <si>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</si>
  <si>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</si>
  <si>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</si>
  <si>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</si>
  <si>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</si>
  <si>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</si>
  <si>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</si>
  <si>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</si>
  <si>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</si>
  <si>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</si>
  <si>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</si>
  <si>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</si>
  <si>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</si>
  <si>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</si>
  <si>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</si>
  <si>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</si>
  <si>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13017</t>
  </si>
  <si>
    <t>KASTERLEE</t>
  </si>
  <si>
    <t>Paarden&amp;pony's 200 - 600 kg</t>
  </si>
  <si>
    <t>Paarden&amp;pony's &lt; 200 kg</t>
  </si>
  <si>
    <t>Fluvius</t>
  </si>
  <si>
    <t>referentietaak LNE (2017); Jaarverslag De Lijn</t>
  </si>
  <si>
    <t>Dierckx Jan &amp; Peter VVZRL</t>
  </si>
  <si>
    <t>Hazendonk 8 , 2460 Kasterlee</t>
  </si>
  <si>
    <t>WKK-0593 Dierckx</t>
  </si>
  <si>
    <t>interne verbrandingsmotor</t>
  </si>
  <si>
    <t>WKK interne verbrandinsgmotor (gas)</t>
  </si>
  <si>
    <t>IVEKA</t>
  </si>
  <si>
    <t>Aquafin NV</t>
  </si>
  <si>
    <t>Dijkstraat 8 , 2630 Aartselaar</t>
  </si>
  <si>
    <t>BGS-0045 RWZI Lichtaart</t>
  </si>
  <si>
    <t>biogas - RWZI</t>
  </si>
  <si>
    <t>niet WKK interne verbrandingsmotor (gas)</t>
  </si>
  <si>
    <t>Hoebenschot 200 , 2460 Lichtaart</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</si>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</sst>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177989.96894291771</c:v>
                </c:pt>
                <c:pt idx="1">
                  <c:v>47479.974054894796</c:v>
                </c:pt>
                <c:pt idx="2">
                  <c:v>785.404</c:v>
                </c:pt>
                <c:pt idx="3">
                  <c:v>15184.092108025863</c:v>
                </c:pt>
                <c:pt idx="4">
                  <c:v>47887.739700405822</c:v>
                </c:pt>
                <c:pt idx="5">
                  <c:v>98496.640268690811</c:v>
                </c:pt>
                <c:pt idx="6">
                  <c:v>1489.1479107192608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177989.96894291771</c:v>
                </c:pt>
                <c:pt idx="1">
                  <c:v>47479.974054894796</c:v>
                </c:pt>
                <c:pt idx="2">
                  <c:v>785.404</c:v>
                </c:pt>
                <c:pt idx="3">
                  <c:v>15184.092108025863</c:v>
                </c:pt>
                <c:pt idx="4">
                  <c:v>47887.739700405822</c:v>
                </c:pt>
                <c:pt idx="5">
                  <c:v>98496.640268690811</c:v>
                </c:pt>
                <c:pt idx="6">
                  <c:v>1489.1479107192608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32231.63395740094</c:v>
                </c:pt>
                <c:pt idx="2">
                  <c:v>9395.4309674253964</c:v>
                </c:pt>
                <c:pt idx="3">
                  <c:v>151.88757863950525</c:v>
                </c:pt>
                <c:pt idx="4">
                  <c:v>3784.9622392640417</c:v>
                </c:pt>
                <c:pt idx="5">
                  <c:v>9854.3146137092535</c:v>
                </c:pt>
                <c:pt idx="6">
                  <c:v>24672.749932773306</c:v>
                </c:pt>
                <c:pt idx="7">
                  <c:v>376.1054494278693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32231.63395740094</c:v>
                </c:pt>
                <c:pt idx="2">
                  <c:v>9395.4309674253964</c:v>
                </c:pt>
                <c:pt idx="3">
                  <c:v>151.88757863950525</c:v>
                </c:pt>
                <c:pt idx="4">
                  <c:v>3784.9622392640417</c:v>
                </c:pt>
                <c:pt idx="5">
                  <c:v>9854.3146137092535</c:v>
                </c:pt>
                <c:pt idx="6">
                  <c:v>24672.749932773306</c:v>
                </c:pt>
                <c:pt idx="7">
                  <c:v>376.1054494278693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13017</v>
      </c>
      <c r="B6" s="391"/>
      <c r="C6" s="392"/>
    </row>
    <row r="7" spans="1:7" s="389" customFormat="1" ht="15.75" customHeight="1">
      <c r="A7" s="393" t="str">
        <f>txtMunicipality</f>
        <v>KASTERLEE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0.19338783433685752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0.19338783433685752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7243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3038</v>
      </c>
      <c r="C14" s="330"/>
      <c r="D14" s="330"/>
      <c r="E14" s="330"/>
      <c r="F14" s="330"/>
    </row>
    <row r="15" spans="1:6">
      <c r="A15" s="1305" t="s">
        <v>183</v>
      </c>
      <c r="B15" s="1306">
        <v>14140</v>
      </c>
      <c r="C15" s="330"/>
      <c r="D15" s="330"/>
      <c r="E15" s="330"/>
      <c r="F15" s="330"/>
    </row>
    <row r="16" spans="1:6">
      <c r="A16" s="1305" t="s">
        <v>6</v>
      </c>
      <c r="B16" s="1306">
        <v>2722</v>
      </c>
      <c r="C16" s="330"/>
      <c r="D16" s="330"/>
      <c r="E16" s="330"/>
      <c r="F16" s="330"/>
    </row>
    <row r="17" spans="1:6">
      <c r="A17" s="1305" t="s">
        <v>7</v>
      </c>
      <c r="B17" s="1306">
        <v>217</v>
      </c>
      <c r="C17" s="330"/>
      <c r="D17" s="330"/>
      <c r="E17" s="330"/>
      <c r="F17" s="330"/>
    </row>
    <row r="18" spans="1:6">
      <c r="A18" s="1305" t="s">
        <v>8</v>
      </c>
      <c r="B18" s="1306">
        <v>1532</v>
      </c>
      <c r="C18" s="330"/>
      <c r="D18" s="330"/>
      <c r="E18" s="330"/>
      <c r="F18" s="330"/>
    </row>
    <row r="19" spans="1:6">
      <c r="A19" s="1305" t="s">
        <v>9</v>
      </c>
      <c r="B19" s="1306">
        <v>1367</v>
      </c>
      <c r="C19" s="330"/>
      <c r="D19" s="330"/>
      <c r="E19" s="330"/>
      <c r="F19" s="330"/>
    </row>
    <row r="20" spans="1:6">
      <c r="A20" s="1305" t="s">
        <v>10</v>
      </c>
      <c r="B20" s="1306">
        <v>535</v>
      </c>
      <c r="C20" s="330"/>
      <c r="D20" s="330"/>
      <c r="E20" s="330"/>
      <c r="F20" s="330"/>
    </row>
    <row r="21" spans="1:6">
      <c r="A21" s="1305" t="s">
        <v>11</v>
      </c>
      <c r="B21" s="1306">
        <v>11625</v>
      </c>
      <c r="C21" s="330"/>
      <c r="D21" s="330"/>
      <c r="E21" s="330"/>
      <c r="F21" s="330"/>
    </row>
    <row r="22" spans="1:6">
      <c r="A22" s="1305" t="s">
        <v>12</v>
      </c>
      <c r="B22" s="1306">
        <v>26260</v>
      </c>
      <c r="C22" s="330"/>
      <c r="D22" s="330"/>
      <c r="E22" s="330"/>
      <c r="F22" s="330"/>
    </row>
    <row r="23" spans="1:6">
      <c r="A23" s="1305" t="s">
        <v>13</v>
      </c>
      <c r="B23" s="1306">
        <v>583</v>
      </c>
      <c r="C23" s="330"/>
      <c r="D23" s="330"/>
      <c r="E23" s="330"/>
      <c r="F23" s="330"/>
    </row>
    <row r="24" spans="1:6">
      <c r="A24" s="1305" t="s">
        <v>14</v>
      </c>
      <c r="B24" s="1306">
        <v>17</v>
      </c>
      <c r="C24" s="330"/>
      <c r="D24" s="330"/>
      <c r="E24" s="330"/>
      <c r="F24" s="330"/>
    </row>
    <row r="25" spans="1:6">
      <c r="A25" s="1305" t="s">
        <v>15</v>
      </c>
      <c r="B25" s="1306">
        <v>2779</v>
      </c>
      <c r="C25" s="330"/>
      <c r="D25" s="330"/>
      <c r="E25" s="330"/>
      <c r="F25" s="330"/>
    </row>
    <row r="26" spans="1:6">
      <c r="A26" s="1305" t="s">
        <v>16</v>
      </c>
      <c r="B26" s="1306">
        <v>135</v>
      </c>
      <c r="C26" s="330"/>
      <c r="D26" s="330"/>
      <c r="E26" s="330"/>
      <c r="F26" s="330"/>
    </row>
    <row r="27" spans="1:6">
      <c r="A27" s="1305" t="s">
        <v>17</v>
      </c>
      <c r="B27" s="1306">
        <v>645</v>
      </c>
      <c r="C27" s="330"/>
      <c r="D27" s="330"/>
      <c r="E27" s="330"/>
      <c r="F27" s="330"/>
    </row>
    <row r="28" spans="1:6" s="43" customFormat="1">
      <c r="A28" s="1307" t="s">
        <v>18</v>
      </c>
      <c r="B28" s="1308">
        <v>498620</v>
      </c>
      <c r="C28" s="336"/>
      <c r="D28" s="336"/>
      <c r="E28" s="336"/>
      <c r="F28" s="336"/>
    </row>
    <row r="29" spans="1:6">
      <c r="A29" s="1307" t="s">
        <v>909</v>
      </c>
      <c r="B29" s="1308">
        <v>290</v>
      </c>
      <c r="C29" s="336"/>
      <c r="D29" s="336"/>
      <c r="E29" s="336"/>
      <c r="F29" s="336"/>
    </row>
    <row r="30" spans="1:6">
      <c r="A30" s="1300" t="s">
        <v>910</v>
      </c>
      <c r="B30" s="1309">
        <v>58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12427.97</v>
      </c>
    </row>
    <row r="36" spans="1:6">
      <c r="A36" s="1305" t="s">
        <v>24</v>
      </c>
      <c r="B36" s="1305" t="s">
        <v>26</v>
      </c>
      <c r="C36" s="1306">
        <v>0</v>
      </c>
      <c r="D36" s="1306">
        <v>0</v>
      </c>
      <c r="E36" s="1306">
        <v>4</v>
      </c>
      <c r="F36" s="1306">
        <v>444783.1</v>
      </c>
    </row>
    <row r="37" spans="1:6">
      <c r="A37" s="1305" t="s">
        <v>24</v>
      </c>
      <c r="B37" s="1305" t="s">
        <v>27</v>
      </c>
      <c r="C37" s="1306">
        <v>0</v>
      </c>
      <c r="D37" s="1306">
        <v>0</v>
      </c>
      <c r="E37" s="1306">
        <v>0</v>
      </c>
      <c r="F37" s="1306">
        <v>0</v>
      </c>
    </row>
    <row r="38" spans="1:6">
      <c r="A38" s="1305" t="s">
        <v>24</v>
      </c>
      <c r="B38" s="1305" t="s">
        <v>28</v>
      </c>
      <c r="C38" s="1306">
        <v>1</v>
      </c>
      <c r="D38" s="1306">
        <v>70229.176587083406</v>
      </c>
      <c r="E38" s="1306">
        <v>2</v>
      </c>
      <c r="F38" s="1306">
        <v>16192.5</v>
      </c>
    </row>
    <row r="39" spans="1:6">
      <c r="A39" s="1305" t="s">
        <v>29</v>
      </c>
      <c r="B39" s="1305" t="s">
        <v>30</v>
      </c>
      <c r="C39" s="1306">
        <v>3940</v>
      </c>
      <c r="D39" s="1306">
        <v>64266259.314793304</v>
      </c>
      <c r="E39" s="1306">
        <v>7078</v>
      </c>
      <c r="F39" s="1306">
        <v>26969310</v>
      </c>
    </row>
    <row r="40" spans="1:6">
      <c r="A40" s="1305" t="s">
        <v>29</v>
      </c>
      <c r="B40" s="1305" t="s">
        <v>28</v>
      </c>
      <c r="C40" s="1306">
        <v>0</v>
      </c>
      <c r="D40" s="1306">
        <v>0</v>
      </c>
      <c r="E40" s="1306">
        <v>0</v>
      </c>
      <c r="F40" s="1306">
        <v>0</v>
      </c>
    </row>
    <row r="41" spans="1:6">
      <c r="A41" s="1305" t="s">
        <v>31</v>
      </c>
      <c r="B41" s="1305" t="s">
        <v>32</v>
      </c>
      <c r="C41" s="1306">
        <v>69</v>
      </c>
      <c r="D41" s="1306">
        <v>1429805.16232603</v>
      </c>
      <c r="E41" s="1306">
        <v>150</v>
      </c>
      <c r="F41" s="1306">
        <v>1396527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8</v>
      </c>
      <c r="F44" s="1306">
        <v>92850.36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98454.81</v>
      </c>
    </row>
    <row r="48" spans="1:6">
      <c r="A48" s="1305" t="s">
        <v>31</v>
      </c>
      <c r="B48" s="1305" t="s">
        <v>28</v>
      </c>
      <c r="C48" s="1306">
        <v>15</v>
      </c>
      <c r="D48" s="1306">
        <v>740127.166148155</v>
      </c>
      <c r="E48" s="1306">
        <v>21</v>
      </c>
      <c r="F48" s="1306">
        <v>361689.1</v>
      </c>
    </row>
    <row r="49" spans="1:6">
      <c r="A49" s="1305" t="s">
        <v>31</v>
      </c>
      <c r="B49" s="1305" t="s">
        <v>39</v>
      </c>
      <c r="C49" s="1306">
        <v>0</v>
      </c>
      <c r="D49" s="1306">
        <v>0</v>
      </c>
      <c r="E49" s="1306">
        <v>0</v>
      </c>
      <c r="F49" s="1306">
        <v>0</v>
      </c>
    </row>
    <row r="50" spans="1:6">
      <c r="A50" s="1305" t="s">
        <v>31</v>
      </c>
      <c r="B50" s="1305" t="s">
        <v>40</v>
      </c>
      <c r="C50" s="1306">
        <v>6</v>
      </c>
      <c r="D50" s="1306">
        <v>1562858.7443289901</v>
      </c>
      <c r="E50" s="1306">
        <v>13</v>
      </c>
      <c r="F50" s="1306">
        <v>11827953</v>
      </c>
    </row>
    <row r="51" spans="1:6">
      <c r="A51" s="1305" t="s">
        <v>41</v>
      </c>
      <c r="B51" s="1305" t="s">
        <v>42</v>
      </c>
      <c r="C51" s="1306">
        <v>3</v>
      </c>
      <c r="D51" s="1306">
        <v>40770.340099670597</v>
      </c>
      <c r="E51" s="1306">
        <v>139</v>
      </c>
      <c r="F51" s="1306">
        <v>3844993</v>
      </c>
    </row>
    <row r="52" spans="1:6">
      <c r="A52" s="1305" t="s">
        <v>41</v>
      </c>
      <c r="B52" s="1305" t="s">
        <v>28</v>
      </c>
      <c r="C52" s="1306">
        <v>5</v>
      </c>
      <c r="D52" s="1306">
        <v>65820.220614252597</v>
      </c>
      <c r="E52" s="1306">
        <v>11</v>
      </c>
      <c r="F52" s="1306">
        <v>216236.3</v>
      </c>
    </row>
    <row r="53" spans="1:6">
      <c r="A53" s="1305" t="s">
        <v>43</v>
      </c>
      <c r="B53" s="1305" t="s">
        <v>44</v>
      </c>
      <c r="C53" s="1306">
        <v>107</v>
      </c>
      <c r="D53" s="1306">
        <v>3169408.0678766598</v>
      </c>
      <c r="E53" s="1306">
        <v>359</v>
      </c>
      <c r="F53" s="1306">
        <v>1582626</v>
      </c>
    </row>
    <row r="54" spans="1:6">
      <c r="A54" s="1305" t="s">
        <v>45</v>
      </c>
      <c r="B54" s="1305" t="s">
        <v>46</v>
      </c>
      <c r="C54" s="1306">
        <v>0</v>
      </c>
      <c r="D54" s="1306">
        <v>0</v>
      </c>
      <c r="E54" s="1306">
        <v>1</v>
      </c>
      <c r="F54" s="1306">
        <v>785404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41</v>
      </c>
      <c r="D57" s="1306">
        <v>2830596.9213358099</v>
      </c>
      <c r="E57" s="1306">
        <v>99</v>
      </c>
      <c r="F57" s="1306">
        <v>6793380</v>
      </c>
    </row>
    <row r="58" spans="1:6">
      <c r="A58" s="1305" t="s">
        <v>48</v>
      </c>
      <c r="B58" s="1305" t="s">
        <v>50</v>
      </c>
      <c r="C58" s="1306">
        <v>17</v>
      </c>
      <c r="D58" s="1306">
        <v>729400.12686436402</v>
      </c>
      <c r="E58" s="1306">
        <v>38</v>
      </c>
      <c r="F58" s="1306">
        <v>363307</v>
      </c>
    </row>
    <row r="59" spans="1:6">
      <c r="A59" s="1305" t="s">
        <v>48</v>
      </c>
      <c r="B59" s="1305" t="s">
        <v>51</v>
      </c>
      <c r="C59" s="1306">
        <v>53</v>
      </c>
      <c r="D59" s="1306">
        <v>1618828.6123569801</v>
      </c>
      <c r="E59" s="1306">
        <v>153</v>
      </c>
      <c r="F59" s="1306">
        <v>4574663</v>
      </c>
    </row>
    <row r="60" spans="1:6">
      <c r="A60" s="1305" t="s">
        <v>48</v>
      </c>
      <c r="B60" s="1305" t="s">
        <v>52</v>
      </c>
      <c r="C60" s="1306">
        <v>67</v>
      </c>
      <c r="D60" s="1306">
        <v>7762622.6371430503</v>
      </c>
      <c r="E60" s="1306">
        <v>108</v>
      </c>
      <c r="F60" s="1306">
        <v>4478795</v>
      </c>
    </row>
    <row r="61" spans="1:6">
      <c r="A61" s="1305" t="s">
        <v>48</v>
      </c>
      <c r="B61" s="1305" t="s">
        <v>53</v>
      </c>
      <c r="C61" s="1306">
        <v>177</v>
      </c>
      <c r="D61" s="1306">
        <v>3226717.2225360302</v>
      </c>
      <c r="E61" s="1306">
        <v>262</v>
      </c>
      <c r="F61" s="1306">
        <v>2339359</v>
      </c>
    </row>
    <row r="62" spans="1:6">
      <c r="A62" s="1305" t="s">
        <v>48</v>
      </c>
      <c r="B62" s="1305" t="s">
        <v>54</v>
      </c>
      <c r="C62" s="1306">
        <v>6</v>
      </c>
      <c r="D62" s="1306">
        <v>438936.54764052801</v>
      </c>
      <c r="E62" s="1306">
        <v>12</v>
      </c>
      <c r="F62" s="1306">
        <v>214941.1</v>
      </c>
    </row>
    <row r="63" spans="1:6">
      <c r="A63" s="1305" t="s">
        <v>48</v>
      </c>
      <c r="B63" s="1305" t="s">
        <v>28</v>
      </c>
      <c r="C63" s="1306">
        <v>84</v>
      </c>
      <c r="D63" s="1306">
        <v>4931302.3928928403</v>
      </c>
      <c r="E63" s="1306">
        <v>100</v>
      </c>
      <c r="F63" s="1306">
        <v>2574238</v>
      </c>
    </row>
    <row r="64" spans="1:6">
      <c r="A64" s="1305" t="s">
        <v>55</v>
      </c>
      <c r="B64" s="1305" t="s">
        <v>56</v>
      </c>
      <c r="C64" s="1306">
        <v>0</v>
      </c>
      <c r="D64" s="1306">
        <v>0</v>
      </c>
      <c r="E64" s="1306">
        <v>0</v>
      </c>
      <c r="F64" s="1306">
        <v>0</v>
      </c>
    </row>
    <row r="65" spans="1:6">
      <c r="A65" s="1305" t="s">
        <v>55</v>
      </c>
      <c r="B65" s="1305" t="s">
        <v>28</v>
      </c>
      <c r="C65" s="1306">
        <v>3</v>
      </c>
      <c r="D65" s="1306">
        <v>54692.407978357303</v>
      </c>
      <c r="E65" s="1306">
        <v>1</v>
      </c>
      <c r="F65" s="1306">
        <v>5181.192</v>
      </c>
    </row>
    <row r="66" spans="1:6">
      <c r="A66" s="1305" t="s">
        <v>55</v>
      </c>
      <c r="B66" s="1305" t="s">
        <v>57</v>
      </c>
      <c r="C66" s="1306">
        <v>0</v>
      </c>
      <c r="D66" s="1306">
        <v>0</v>
      </c>
      <c r="E66" s="1306">
        <v>11</v>
      </c>
      <c r="F66" s="1306">
        <v>725349.5</v>
      </c>
    </row>
    <row r="67" spans="1:6">
      <c r="A67" s="1307" t="s">
        <v>55</v>
      </c>
      <c r="B67" s="1307" t="s">
        <v>58</v>
      </c>
      <c r="C67" s="1306">
        <v>0</v>
      </c>
      <c r="D67" s="1306">
        <v>0</v>
      </c>
      <c r="E67" s="1306">
        <v>0</v>
      </c>
      <c r="F67" s="1306">
        <v>0</v>
      </c>
    </row>
    <row r="68" spans="1:6">
      <c r="A68" s="1300" t="s">
        <v>55</v>
      </c>
      <c r="B68" s="1300" t="s">
        <v>59</v>
      </c>
      <c r="C68" s="1309">
        <v>0</v>
      </c>
      <c r="D68" s="1309">
        <v>0</v>
      </c>
      <c r="E68" s="1309">
        <v>6</v>
      </c>
      <c r="F68" s="1309">
        <v>36963.879999999997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98614746</v>
      </c>
      <c r="E73" s="450"/>
      <c r="F73" s="330"/>
    </row>
    <row r="74" spans="1:6">
      <c r="A74" s="1305" t="s">
        <v>63</v>
      </c>
      <c r="B74" s="1305" t="s">
        <v>710</v>
      </c>
      <c r="C74" s="1319" t="s">
        <v>712</v>
      </c>
      <c r="D74" s="1320">
        <v>6295181.689783291</v>
      </c>
      <c r="E74" s="450"/>
      <c r="F74" s="330"/>
    </row>
    <row r="75" spans="1:6">
      <c r="A75" s="1305" t="s">
        <v>64</v>
      </c>
      <c r="B75" s="1305" t="s">
        <v>709</v>
      </c>
      <c r="C75" s="1319" t="s">
        <v>713</v>
      </c>
      <c r="D75" s="1320">
        <v>20012166</v>
      </c>
      <c r="E75" s="450"/>
      <c r="F75" s="330"/>
    </row>
    <row r="76" spans="1:6">
      <c r="A76" s="1305" t="s">
        <v>64</v>
      </c>
      <c r="B76" s="1305" t="s">
        <v>710</v>
      </c>
      <c r="C76" s="1319" t="s">
        <v>714</v>
      </c>
      <c r="D76" s="1320">
        <v>877982.68978329096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399836.62043341796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1156.2808144590504</v>
      </c>
      <c r="C90" s="330"/>
      <c r="D90" s="330"/>
      <c r="E90" s="330"/>
      <c r="F90" s="330"/>
    </row>
    <row r="91" spans="1:6">
      <c r="A91" s="1305" t="s">
        <v>67</v>
      </c>
      <c r="B91" s="1306">
        <v>5362.1273418298761</v>
      </c>
      <c r="C91" s="330"/>
      <c r="D91" s="330"/>
      <c r="E91" s="330"/>
      <c r="F91" s="330"/>
    </row>
    <row r="92" spans="1:6">
      <c r="A92" s="1300" t="s">
        <v>68</v>
      </c>
      <c r="B92" s="1301">
        <v>1496.4823284157469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2144</v>
      </c>
      <c r="C97" s="330"/>
      <c r="D97" s="330"/>
      <c r="E97" s="330"/>
      <c r="F97" s="330"/>
    </row>
    <row r="98" spans="1:6">
      <c r="A98" s="1305" t="s">
        <v>71</v>
      </c>
      <c r="B98" s="1306">
        <v>12</v>
      </c>
      <c r="C98" s="330"/>
      <c r="D98" s="330"/>
      <c r="E98" s="330"/>
      <c r="F98" s="330"/>
    </row>
    <row r="99" spans="1:6">
      <c r="A99" s="1305" t="s">
        <v>72</v>
      </c>
      <c r="B99" s="1306">
        <v>63</v>
      </c>
      <c r="C99" s="330"/>
      <c r="D99" s="330"/>
      <c r="E99" s="330"/>
      <c r="F99" s="330"/>
    </row>
    <row r="100" spans="1:6">
      <c r="A100" s="1305" t="s">
        <v>73</v>
      </c>
      <c r="B100" s="1306">
        <v>245</v>
      </c>
      <c r="C100" s="330"/>
      <c r="D100" s="330"/>
      <c r="E100" s="330"/>
      <c r="F100" s="330"/>
    </row>
    <row r="101" spans="1:6">
      <c r="A101" s="1305" t="s">
        <v>74</v>
      </c>
      <c r="B101" s="1306">
        <v>193</v>
      </c>
      <c r="C101" s="330"/>
      <c r="D101" s="330"/>
      <c r="E101" s="330"/>
      <c r="F101" s="330"/>
    </row>
    <row r="102" spans="1:6">
      <c r="A102" s="1305" t="s">
        <v>75</v>
      </c>
      <c r="B102" s="1306">
        <v>70</v>
      </c>
      <c r="C102" s="330"/>
      <c r="D102" s="330"/>
      <c r="E102" s="330"/>
      <c r="F102" s="330"/>
    </row>
    <row r="103" spans="1:6">
      <c r="A103" s="1305" t="s">
        <v>76</v>
      </c>
      <c r="B103" s="1306">
        <v>116</v>
      </c>
      <c r="C103" s="330"/>
      <c r="D103" s="330"/>
      <c r="E103" s="330"/>
      <c r="F103" s="330"/>
    </row>
    <row r="104" spans="1:6">
      <c r="A104" s="1305" t="s">
        <v>77</v>
      </c>
      <c r="B104" s="1306">
        <v>3477</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37</v>
      </c>
      <c r="C123" s="1306">
        <v>17</v>
      </c>
      <c r="D123" s="330"/>
      <c r="E123" s="330"/>
      <c r="F123" s="330"/>
    </row>
    <row r="124" spans="1:6" s="43" customFormat="1">
      <c r="A124" s="1307" t="s">
        <v>88</v>
      </c>
      <c r="B124" s="1328">
        <v>2</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221</v>
      </c>
      <c r="C129" s="330"/>
      <c r="D129" s="330"/>
      <c r="E129" s="330"/>
      <c r="F129" s="330"/>
    </row>
    <row r="130" spans="1:6">
      <c r="A130" s="1305" t="s">
        <v>294</v>
      </c>
      <c r="B130" s="1306">
        <v>5</v>
      </c>
      <c r="C130" s="330"/>
      <c r="D130" s="330"/>
      <c r="E130" s="330"/>
      <c r="F130" s="330"/>
    </row>
    <row r="131" spans="1:6">
      <c r="A131" s="1305" t="s">
        <v>295</v>
      </c>
      <c r="B131" s="1306">
        <v>1</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75231.275679783837</v>
      </c>
      <c r="C3" s="43" t="s">
        <v>169</v>
      </c>
      <c r="D3" s="43"/>
      <c r="E3" s="154"/>
      <c r="F3" s="43"/>
      <c r="G3" s="43"/>
      <c r="H3" s="43"/>
      <c r="I3" s="43"/>
      <c r="J3" s="43"/>
      <c r="K3" s="96"/>
    </row>
    <row r="4" spans="1:11">
      <c r="A4" s="359" t="s">
        <v>170</v>
      </c>
      <c r="B4" s="49">
        <f>IF(ISERROR('SEAP template'!B78+'SEAP template'!C78),0,'SEAP template'!B78+'SEAP template'!C78)</f>
        <v>9399.5404847046739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0.19338783433685752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785.404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785.404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0.19338783433685752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151.88757863950525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26969.31</v>
      </c>
      <c r="C5" s="17">
        <f>IF(ISERROR('Eigen informatie GS &amp; warmtenet'!B57),0,'Eigen informatie GS &amp; warmtenet'!B57)</f>
        <v>0</v>
      </c>
      <c r="D5" s="30">
        <f>(SUM(HH_hh_gas_kWh,HH_rest_gas_kWh)/1000)*0.902</f>
        <v>57968.165901943561</v>
      </c>
      <c r="E5" s="17">
        <f>B46*B57</f>
        <v>13866.737515565694</v>
      </c>
      <c r="F5" s="17">
        <f>B51*B62</f>
        <v>41654.71303610727</v>
      </c>
      <c r="G5" s="18"/>
      <c r="H5" s="17"/>
      <c r="I5" s="17"/>
      <c r="J5" s="17">
        <f>B50*B61+C50*C61</f>
        <v>0</v>
      </c>
      <c r="K5" s="17"/>
      <c r="L5" s="17"/>
      <c r="M5" s="17"/>
      <c r="N5" s="17">
        <f>B48*B59+C48*C59</f>
        <v>30633.775147471286</v>
      </c>
      <c r="O5" s="17">
        <f>B69*B70*B71</f>
        <v>372.07333333333332</v>
      </c>
      <c r="P5" s="17">
        <f>B77*B78*B79/1000-B77*B78*B79/1000/B80</f>
        <v>1163.0666666666666</v>
      </c>
    </row>
    <row r="6" spans="1:16">
      <c r="A6" s="16" t="s">
        <v>630</v>
      </c>
      <c r="B6" s="763">
        <f>kWh_PV_kleiner_dan_10kW</f>
        <v>5362.1273418298761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32331.437341829878</v>
      </c>
      <c r="C8" s="21">
        <f>C5</f>
        <v>0</v>
      </c>
      <c r="D8" s="21">
        <f>D5</f>
        <v>57968.165901943561</v>
      </c>
      <c r="E8" s="21">
        <f>E5</f>
        <v>13866.737515565694</v>
      </c>
      <c r="F8" s="21">
        <f>F5</f>
        <v>41654.71303610727</v>
      </c>
      <c r="G8" s="21"/>
      <c r="H8" s="21"/>
      <c r="I8" s="21"/>
      <c r="J8" s="21">
        <f>J5</f>
        <v>0</v>
      </c>
      <c r="K8" s="21"/>
      <c r="L8" s="21">
        <f>L5</f>
        <v>0</v>
      </c>
      <c r="M8" s="21">
        <f>M5</f>
        <v>0</v>
      </c>
      <c r="N8" s="21">
        <f>N5</f>
        <v>30633.775147471286</v>
      </c>
      <c r="O8" s="21">
        <f>O5</f>
        <v>372.07333333333332</v>
      </c>
      <c r="P8" s="21">
        <f>P5</f>
        <v>1163.0666666666666</v>
      </c>
    </row>
    <row r="9" spans="1:16">
      <c r="B9" s="19"/>
      <c r="C9" s="19"/>
      <c r="D9" s="258"/>
      <c r="E9" s="19"/>
      <c r="F9" s="19"/>
      <c r="G9" s="19"/>
      <c r="H9" s="19"/>
      <c r="I9" s="19"/>
      <c r="J9" s="19"/>
      <c r="K9" s="19"/>
      <c r="L9" s="19"/>
      <c r="M9" s="19"/>
      <c r="N9" s="19"/>
      <c r="O9" s="19"/>
      <c r="P9" s="19"/>
    </row>
    <row r="10" spans="1:16">
      <c r="A10" s="24" t="s">
        <v>213</v>
      </c>
      <c r="B10" s="25">
        <f ca="1">'EF ele_warmte'!B12</f>
        <v>0.19338783433685752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6252.5066485342859</v>
      </c>
      <c r="C12" s="23">
        <f ca="1">C10*C8</f>
        <v>0</v>
      </c>
      <c r="D12" s="23">
        <f>D8*D10</f>
        <v>11709.5695121926</v>
      </c>
      <c r="E12" s="23">
        <f>E10*E8</f>
        <v>3147.7494160334127</v>
      </c>
      <c r="F12" s="23">
        <f>F10*F8</f>
        <v>11121.808380640641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2144</v>
      </c>
      <c r="C18" s="166" t="s">
        <v>110</v>
      </c>
      <c r="D18" s="228"/>
      <c r="E18" s="15"/>
    </row>
    <row r="19" spans="1:7">
      <c r="A19" s="171" t="s">
        <v>71</v>
      </c>
      <c r="B19" s="37">
        <f>aantalw2001_ander</f>
        <v>12</v>
      </c>
      <c r="C19" s="166" t="s">
        <v>110</v>
      </c>
      <c r="D19" s="229"/>
      <c r="E19" s="15"/>
    </row>
    <row r="20" spans="1:7">
      <c r="A20" s="171" t="s">
        <v>72</v>
      </c>
      <c r="B20" s="37">
        <f>aantalw2001_propaan</f>
        <v>63</v>
      </c>
      <c r="C20" s="167">
        <f>IF(ISERROR(B20/SUM($B$20,$B$21,$B$22)*100),0,B20/SUM($B$20,$B$21,$B$22)*100)</f>
        <v>12.574850299401197</v>
      </c>
      <c r="D20" s="229"/>
      <c r="E20" s="15"/>
    </row>
    <row r="21" spans="1:7">
      <c r="A21" s="171" t="s">
        <v>73</v>
      </c>
      <c r="B21" s="37">
        <f>aantalw2001_elektriciteit</f>
        <v>245</v>
      </c>
      <c r="C21" s="167">
        <f>IF(ISERROR(B21/SUM($B$20,$B$21,$B$22)*100),0,B21/SUM($B$20,$B$21,$B$22)*100)</f>
        <v>48.902195608782435</v>
      </c>
      <c r="D21" s="229"/>
      <c r="E21" s="15"/>
    </row>
    <row r="22" spans="1:7">
      <c r="A22" s="171" t="s">
        <v>74</v>
      </c>
      <c r="B22" s="37">
        <f>aantalw2001_hout</f>
        <v>193</v>
      </c>
      <c r="C22" s="167">
        <f>IF(ISERROR(B22/SUM($B$20,$B$21,$B$22)*100),0,B22/SUM($B$20,$B$21,$B$22)*100)</f>
        <v>38.522954091816366</v>
      </c>
      <c r="D22" s="229"/>
      <c r="E22" s="15"/>
    </row>
    <row r="23" spans="1:7">
      <c r="A23" s="171" t="s">
        <v>75</v>
      </c>
      <c r="B23" s="37">
        <f>aantalw2001_niet_gespec</f>
        <v>70</v>
      </c>
      <c r="C23" s="166" t="s">
        <v>110</v>
      </c>
      <c r="D23" s="228"/>
      <c r="E23" s="15"/>
    </row>
    <row r="24" spans="1:7">
      <c r="A24" s="171" t="s">
        <v>76</v>
      </c>
      <c r="B24" s="37">
        <f>aantalw2001_steenkool</f>
        <v>116</v>
      </c>
      <c r="C24" s="166" t="s">
        <v>110</v>
      </c>
      <c r="D24" s="229"/>
      <c r="E24" s="15"/>
    </row>
    <row r="25" spans="1:7">
      <c r="A25" s="171" t="s">
        <v>77</v>
      </c>
      <c r="B25" s="37">
        <f>aantalw2001_stookolie</f>
        <v>3477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7243</v>
      </c>
      <c r="C28" s="36"/>
      <c r="D28" s="228"/>
    </row>
    <row r="29" spans="1:7" s="15" customFormat="1">
      <c r="A29" s="230" t="s">
        <v>737</v>
      </c>
      <c r="B29" s="37">
        <f>SUM(HH_hh_gas_aantal,HH_rest_gas_aantal)</f>
        <v>3940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3940</v>
      </c>
      <c r="C32" s="167">
        <f>IF(ISERROR(B32/SUM($B$32,$B$34,$B$35,$B$36,$B$38,$B$39)*100),0,B32/SUM($B$32,$B$34,$B$35,$B$36,$B$38,$B$39)*100)</f>
        <v>54.859370648844333</v>
      </c>
      <c r="D32" s="233"/>
      <c r="G32" s="15"/>
    </row>
    <row r="33" spans="1:7">
      <c r="A33" s="171" t="s">
        <v>71</v>
      </c>
      <c r="B33" s="34" t="s">
        <v>110</v>
      </c>
      <c r="C33" s="167"/>
      <c r="D33" s="233"/>
      <c r="G33" s="15"/>
    </row>
    <row r="34" spans="1:7">
      <c r="A34" s="171" t="s">
        <v>72</v>
      </c>
      <c r="B34" s="33">
        <f>IF((($B$28-$B$32-$B$39-$B$77-$B$38)*C20/100)&lt;0,0,($B$28-$B$32-$B$39-$B$77-$B$38)*C20/100)</f>
        <v>173.70898203592813</v>
      </c>
      <c r="C34" s="167">
        <f>IF(ISERROR(B34/SUM($B$32,$B$34,$B$35,$B$36,$B$38,$B$39)*100),0,B34/SUM($B$32,$B$34,$B$35,$B$36,$B$38,$B$39)*100)</f>
        <v>2.4186714290716811</v>
      </c>
      <c r="D34" s="233"/>
      <c r="G34" s="15"/>
    </row>
    <row r="35" spans="1:7">
      <c r="A35" s="171" t="s">
        <v>73</v>
      </c>
      <c r="B35" s="33">
        <f>IF((($B$28-$B$32-$B$39-$B$77-$B$38)*C21/100)&lt;0,0,($B$28-$B$32-$B$39-$B$77-$B$38)*C21/100)</f>
        <v>675.5349301397207</v>
      </c>
      <c r="C35" s="167">
        <f>IF(ISERROR(B35/SUM($B$32,$B$34,$B$35,$B$36,$B$38,$B$39)*100),0,B35/SUM($B$32,$B$34,$B$35,$B$36,$B$38,$B$39)*100)</f>
        <v>9.4059444463898725</v>
      </c>
      <c r="D35" s="233"/>
      <c r="G35" s="15"/>
    </row>
    <row r="36" spans="1:7">
      <c r="A36" s="171" t="s">
        <v>74</v>
      </c>
      <c r="B36" s="33">
        <f>IF((($B$28-$B$32-$B$39-$B$77-$B$38)*C22/100)&lt;0,0,($B$28-$B$32-$B$39-$B$77-$B$38)*C22/100)</f>
        <v>532.15608782435129</v>
      </c>
      <c r="C36" s="167">
        <f>IF(ISERROR(B36/SUM($B$32,$B$34,$B$35,$B$36,$B$38,$B$39)*100),0,B36/SUM($B$32,$B$34,$B$35,$B$36,$B$38,$B$39)*100)</f>
        <v>7.4095807271561025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1860.6</v>
      </c>
      <c r="C39" s="167">
        <f>IF(ISERROR(B39/SUM($B$32,$B$34,$B$35,$B$36,$B$38,$B$39)*100),0,B39/SUM($B$32,$B$34,$B$35,$B$36,$B$38,$B$39)*100)</f>
        <v>25.906432748538009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3940</v>
      </c>
      <c r="C44" s="34" t="s">
        <v>110</v>
      </c>
      <c r="D44" s="174"/>
    </row>
    <row r="45" spans="1:7">
      <c r="A45" s="171" t="s">
        <v>71</v>
      </c>
      <c r="B45" s="33" t="str">
        <f t="shared" si="0"/>
        <v>-</v>
      </c>
      <c r="C45" s="34" t="s">
        <v>110</v>
      </c>
      <c r="D45" s="174"/>
    </row>
    <row r="46" spans="1:7">
      <c r="A46" s="171" t="s">
        <v>72</v>
      </c>
      <c r="B46" s="33">
        <f t="shared" si="0"/>
        <v>173.70898203592813</v>
      </c>
      <c r="C46" s="34" t="s">
        <v>110</v>
      </c>
      <c r="D46" s="174"/>
    </row>
    <row r="47" spans="1:7">
      <c r="A47" s="171" t="s">
        <v>73</v>
      </c>
      <c r="B47" s="33">
        <f t="shared" si="0"/>
        <v>675.5349301397207</v>
      </c>
      <c r="C47" s="34" t="s">
        <v>110</v>
      </c>
      <c r="D47" s="174"/>
    </row>
    <row r="48" spans="1:7">
      <c r="A48" s="171" t="s">
        <v>74</v>
      </c>
      <c r="B48" s="33">
        <f t="shared" si="0"/>
        <v>532.15608782435129</v>
      </c>
      <c r="C48" s="33">
        <f>B48*10</f>
        <v>5321.5608782435129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1860.6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21338.683100000002</v>
      </c>
      <c r="C5" s="17">
        <f>IF(ISERROR('Eigen informatie GS &amp; warmtenet'!B58),0,'Eigen informatie GS &amp; warmtenet'!B58)</f>
        <v>0</v>
      </c>
      <c r="D5" s="30">
        <f>SUM(D6:D12)</f>
        <v>19427.640823614183</v>
      </c>
      <c r="E5" s="17">
        <f>SUM(E6:E12)</f>
        <v>290.91359579216976</v>
      </c>
      <c r="F5" s="17">
        <f>SUM(F6:F12)</f>
        <v>3816.6117477725857</v>
      </c>
      <c r="G5" s="18"/>
      <c r="H5" s="17"/>
      <c r="I5" s="17"/>
      <c r="J5" s="17">
        <f>SUM(J6:J12)</f>
        <v>0</v>
      </c>
      <c r="K5" s="17"/>
      <c r="L5" s="17"/>
      <c r="M5" s="17"/>
      <c r="N5" s="17">
        <f>SUM(N6:N12)</f>
        <v>5069.6700258111023</v>
      </c>
      <c r="O5" s="17">
        <f>B38*B39*B40</f>
        <v>7.8166666666666664</v>
      </c>
      <c r="P5" s="17">
        <f>B46*B47*B48/1000-B46*B47*B48/1000/B49</f>
        <v>19.066666666666666</v>
      </c>
      <c r="R5" s="32"/>
    </row>
    <row r="6" spans="1:18">
      <c r="A6" s="32" t="s">
        <v>53</v>
      </c>
      <c r="B6" s="37">
        <f>B26</f>
        <v>2339.3589999999999</v>
      </c>
      <c r="C6" s="33"/>
      <c r="D6" s="37">
        <f>IF(ISERROR(TER_kantoor_gas_kWh/1000),0,TER_kantoor_gas_kWh/1000)*0.902</f>
        <v>2910.4989347274991</v>
      </c>
      <c r="E6" s="33">
        <f>$C$26*'E Balans VL '!I12/100/3.6*1000000</f>
        <v>6.7774662556331462</v>
      </c>
      <c r="F6" s="33">
        <f>$C$26*('E Balans VL '!L12+'E Balans VL '!N12)/100/3.6*1000000</f>
        <v>264.76389872520713</v>
      </c>
      <c r="G6" s="34"/>
      <c r="H6" s="33"/>
      <c r="I6" s="33"/>
      <c r="J6" s="33">
        <f>$C$26*('E Balans VL '!D12+'E Balans VL '!E12)/100/3.6*1000000</f>
        <v>0</v>
      </c>
      <c r="K6" s="33"/>
      <c r="L6" s="33"/>
      <c r="M6" s="33"/>
      <c r="N6" s="33">
        <f>$C$26*'E Balans VL '!Y12/100/3.6*1000000</f>
        <v>23.415259873326971</v>
      </c>
      <c r="O6" s="33"/>
      <c r="P6" s="33"/>
      <c r="R6" s="32"/>
    </row>
    <row r="7" spans="1:18">
      <c r="A7" s="32" t="s">
        <v>52</v>
      </c>
      <c r="B7" s="37">
        <f t="shared" ref="B7:B12" si="0">B27</f>
        <v>4478.7950000000001</v>
      </c>
      <c r="C7" s="33"/>
      <c r="D7" s="37">
        <f>IF(ISERROR(TER_horeca_gas_kWh/1000),0,TER_horeca_gas_kWh/1000)*0.902</f>
        <v>7001.8856187030315</v>
      </c>
      <c r="E7" s="33">
        <f>$C$27*'E Balans VL '!I9/100/3.6*1000000</f>
        <v>188.00730059408488</v>
      </c>
      <c r="F7" s="33">
        <f>$C$27*('E Balans VL '!L9+'E Balans VL '!N9)/100/3.6*1000000</f>
        <v>962.36095209183429</v>
      </c>
      <c r="G7" s="34"/>
      <c r="H7" s="33"/>
      <c r="I7" s="33"/>
      <c r="J7" s="33">
        <f>$C$27*('E Balans VL '!D9+'E Balans VL '!E9)/100/3.6*1000000</f>
        <v>0</v>
      </c>
      <c r="K7" s="33"/>
      <c r="L7" s="33"/>
      <c r="M7" s="33"/>
      <c r="N7" s="33">
        <f>$C$27*'E Balans VL '!Y9/100/3.6*1000000</f>
        <v>1.154146303016798</v>
      </c>
      <c r="O7" s="33"/>
      <c r="P7" s="33"/>
      <c r="R7" s="32"/>
    </row>
    <row r="8" spans="1:18">
      <c r="A8" s="6" t="s">
        <v>51</v>
      </c>
      <c r="B8" s="37">
        <f t="shared" si="0"/>
        <v>4574.6629999999996</v>
      </c>
      <c r="C8" s="33"/>
      <c r="D8" s="37">
        <f>IF(ISERROR(TER_handel_gas_kWh/1000),0,TER_handel_gas_kWh/1000)*0.902</f>
        <v>1460.183408345996</v>
      </c>
      <c r="E8" s="33">
        <f>$C$28*'E Balans VL '!I13/100/3.6*1000000</f>
        <v>49.135688003783962</v>
      </c>
      <c r="F8" s="33">
        <f>$C$28*('E Balans VL '!L13+'E Balans VL '!N13)/100/3.6*1000000</f>
        <v>592.2279021382933</v>
      </c>
      <c r="G8" s="34"/>
      <c r="H8" s="33"/>
      <c r="I8" s="33"/>
      <c r="J8" s="33">
        <f>$C$28*('E Balans VL '!D13+'E Balans VL '!E13)/100/3.6*1000000</f>
        <v>0</v>
      </c>
      <c r="K8" s="33"/>
      <c r="L8" s="33"/>
      <c r="M8" s="33"/>
      <c r="N8" s="33">
        <f>$C$28*'E Balans VL '!Y13/100/3.6*1000000</f>
        <v>37.109916043460437</v>
      </c>
      <c r="O8" s="33"/>
      <c r="P8" s="33"/>
      <c r="R8" s="32"/>
    </row>
    <row r="9" spans="1:18">
      <c r="A9" s="32" t="s">
        <v>50</v>
      </c>
      <c r="B9" s="37">
        <f t="shared" si="0"/>
        <v>363.30700000000002</v>
      </c>
      <c r="C9" s="33"/>
      <c r="D9" s="37">
        <f>IF(ISERROR(TER_gezond_gas_kWh/1000),0,TER_gezond_gas_kWh/1000)*0.902</f>
        <v>657.91891443165628</v>
      </c>
      <c r="E9" s="33">
        <f>$C$29*'E Balans VL '!I10/100/3.6*1000000</f>
        <v>0.28921587006722821</v>
      </c>
      <c r="F9" s="33">
        <f>$C$29*('E Balans VL '!L10+'E Balans VL '!N10)/100/3.6*1000000</f>
        <v>44.165216109042959</v>
      </c>
      <c r="G9" s="34"/>
      <c r="H9" s="33"/>
      <c r="I9" s="33"/>
      <c r="J9" s="33">
        <f>$C$29*('E Balans VL '!D10+'E Balans VL '!E10)/100/3.6*1000000</f>
        <v>0</v>
      </c>
      <c r="K9" s="33"/>
      <c r="L9" s="33"/>
      <c r="M9" s="33"/>
      <c r="N9" s="33">
        <f>$C$29*'E Balans VL '!Y10/100/3.6*1000000</f>
        <v>2.9346976941344547</v>
      </c>
      <c r="O9" s="33"/>
      <c r="P9" s="33"/>
      <c r="R9" s="32"/>
    </row>
    <row r="10" spans="1:18">
      <c r="A10" s="32" t="s">
        <v>49</v>
      </c>
      <c r="B10" s="37">
        <f t="shared" si="0"/>
        <v>6793.38</v>
      </c>
      <c r="C10" s="33"/>
      <c r="D10" s="37">
        <f>IF(ISERROR(TER_ander_gas_kWh/1000),0,TER_ander_gas_kWh/1000)*0.902</f>
        <v>2553.1984230449007</v>
      </c>
      <c r="E10" s="33">
        <f>$C$30*'E Balans VL '!I14/100/3.6*1000000</f>
        <v>23.281270138438398</v>
      </c>
      <c r="F10" s="33">
        <f>$C$30*('E Balans VL '!L14+'E Balans VL '!N14)/100/3.6*1000000</f>
        <v>1517.3650415545767</v>
      </c>
      <c r="G10" s="34"/>
      <c r="H10" s="33"/>
      <c r="I10" s="33"/>
      <c r="J10" s="33">
        <f>$C$30*('E Balans VL '!D14+'E Balans VL '!E14)/100/3.6*1000000</f>
        <v>0</v>
      </c>
      <c r="K10" s="33"/>
      <c r="L10" s="33"/>
      <c r="M10" s="33"/>
      <c r="N10" s="33">
        <f>$C$30*'E Balans VL '!Y14/100/3.6*1000000</f>
        <v>4785.2939835095112</v>
      </c>
      <c r="O10" s="33"/>
      <c r="P10" s="33"/>
      <c r="R10" s="32"/>
    </row>
    <row r="11" spans="1:18">
      <c r="A11" s="32" t="s">
        <v>54</v>
      </c>
      <c r="B11" s="37">
        <f t="shared" si="0"/>
        <v>214.94110000000001</v>
      </c>
      <c r="C11" s="33"/>
      <c r="D11" s="37">
        <f>IF(ISERROR(TER_onderwijs_gas_kWh/1000),0,TER_onderwijs_gas_kWh/1000)*0.902</f>
        <v>395.92076597175628</v>
      </c>
      <c r="E11" s="33">
        <f>$C$31*'E Balans VL '!I11/100/3.6*1000000</f>
        <v>0.14858216276509589</v>
      </c>
      <c r="F11" s="33">
        <f>$C$31*('E Balans VL '!L11+'E Balans VL '!N11)/100/3.6*1000000</f>
        <v>56.265336364684472</v>
      </c>
      <c r="G11" s="34"/>
      <c r="H11" s="33"/>
      <c r="I11" s="33"/>
      <c r="J11" s="33">
        <f>$C$31*('E Balans VL '!D11+'E Balans VL '!E11)/100/3.6*1000000</f>
        <v>0</v>
      </c>
      <c r="K11" s="33"/>
      <c r="L11" s="33"/>
      <c r="M11" s="33"/>
      <c r="N11" s="33">
        <f>$C$31*'E Balans VL '!Y11/100/3.6*1000000</f>
        <v>0.2139555577952191</v>
      </c>
      <c r="O11" s="33"/>
      <c r="P11" s="33"/>
      <c r="R11" s="32"/>
    </row>
    <row r="12" spans="1:18">
      <c r="A12" s="32" t="s">
        <v>259</v>
      </c>
      <c r="B12" s="37">
        <f t="shared" si="0"/>
        <v>2574.2379999999998</v>
      </c>
      <c r="C12" s="33"/>
      <c r="D12" s="37">
        <f>IF(ISERROR(TER_rest_gas_kWh/1000),0,TER_rest_gas_kWh/1000)*0.902</f>
        <v>4448.0347583893426</v>
      </c>
      <c r="E12" s="33">
        <f>$C$32*'E Balans VL '!I8/100/3.6*1000000</f>
        <v>23.274072767397076</v>
      </c>
      <c r="F12" s="33">
        <f>$C$32*('E Balans VL '!L8+'E Balans VL '!N8)/100/3.6*1000000</f>
        <v>379.46340078894696</v>
      </c>
      <c r="G12" s="34"/>
      <c r="H12" s="33"/>
      <c r="I12" s="33"/>
      <c r="J12" s="33">
        <f>$C$32*('E Balans VL '!D8+'E Balans VL '!E8)/100/3.6*1000000</f>
        <v>0</v>
      </c>
      <c r="K12" s="33"/>
      <c r="L12" s="33"/>
      <c r="M12" s="33"/>
      <c r="N12" s="33">
        <f>$C$32*'E Balans VL '!Y8/100/3.6*1000000</f>
        <v>219.54806682985662</v>
      </c>
      <c r="O12" s="33"/>
      <c r="P12" s="33"/>
      <c r="R12" s="32"/>
    </row>
    <row r="13" spans="1:18">
      <c r="A13" s="16" t="s">
        <v>493</v>
      </c>
      <c r="B13" s="247">
        <f ca="1">'lokale energieproductie'!N38+'lokale energieproductie'!N31</f>
        <v>1341</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-3831.4285714285716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22679.683100000002</v>
      </c>
      <c r="C16" s="21">
        <f t="shared" ca="1" si="1"/>
        <v>0</v>
      </c>
      <c r="D16" s="21">
        <f t="shared" ca="1" si="1"/>
        <v>19427.640823614183</v>
      </c>
      <c r="E16" s="21">
        <f t="shared" si="1"/>
        <v>290.91359579216976</v>
      </c>
      <c r="F16" s="21">
        <f t="shared" ca="1" si="1"/>
        <v>3816.6117477725857</v>
      </c>
      <c r="G16" s="21">
        <f t="shared" si="1"/>
        <v>0</v>
      </c>
      <c r="H16" s="21">
        <f t="shared" si="1"/>
        <v>0</v>
      </c>
      <c r="I16" s="21">
        <f t="shared" si="1"/>
        <v>0</v>
      </c>
      <c r="J16" s="21">
        <f t="shared" si="1"/>
        <v>0</v>
      </c>
      <c r="K16" s="21">
        <f t="shared" si="1"/>
        <v>0</v>
      </c>
      <c r="L16" s="21">
        <f t="shared" ca="1" si="1"/>
        <v>0</v>
      </c>
      <c r="M16" s="21">
        <f t="shared" si="1"/>
        <v>0</v>
      </c>
      <c r="N16" s="21">
        <f t="shared" ca="1" si="1"/>
        <v>1238.2414543825307</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0.19338783433685752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4385.9747981552273</v>
      </c>
      <c r="C20" s="23">
        <f t="shared" ref="C20:P20" ca="1" si="2">C16*C18</f>
        <v>0</v>
      </c>
      <c r="D20" s="23">
        <f t="shared" ca="1" si="2"/>
        <v>3924.3834463700655</v>
      </c>
      <c r="E20" s="23">
        <f t="shared" si="2"/>
        <v>66.037386244822542</v>
      </c>
      <c r="F20" s="23">
        <f t="shared" ca="1" si="2"/>
        <v>1019.0353366552804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2339.3589999999999</v>
      </c>
      <c r="C26" s="39">
        <f>IF(ISERROR(B26*3.6/1000000/'E Balans VL '!Z12*100),0,B26*3.6/1000000/'E Balans VL '!Z12*100)</f>
        <v>5.1386725004832164E-2</v>
      </c>
      <c r="D26" s="237" t="s">
        <v>691</v>
      </c>
      <c r="F26" s="6"/>
    </row>
    <row r="27" spans="1:18">
      <c r="A27" s="231" t="s">
        <v>52</v>
      </c>
      <c r="B27" s="33">
        <f>IF(ISERROR(TER_horeca_ele_kWh/1000),0,TER_horeca_ele_kWh/1000)</f>
        <v>4478.7950000000001</v>
      </c>
      <c r="C27" s="39">
        <f>IF(ISERROR(B27*3.6/1000000/'E Balans VL '!Z9*100),0,B27*3.6/1000000/'E Balans VL '!Z9*100)</f>
        <v>0.35991582340586753</v>
      </c>
      <c r="D27" s="237" t="s">
        <v>691</v>
      </c>
      <c r="F27" s="6"/>
    </row>
    <row r="28" spans="1:18">
      <c r="A28" s="171" t="s">
        <v>51</v>
      </c>
      <c r="B28" s="33">
        <f>IF(ISERROR(TER_handel_ele_kWh/1000),0,TER_handel_ele_kWh/1000)</f>
        <v>4574.6629999999996</v>
      </c>
      <c r="C28" s="39">
        <f>IF(ISERROR(B28*3.6/1000000/'E Balans VL '!Z13*100),0,B28*3.6/1000000/'E Balans VL '!Z13*100)</f>
        <v>0.1352695889833247</v>
      </c>
      <c r="D28" s="237" t="s">
        <v>691</v>
      </c>
      <c r="F28" s="6"/>
    </row>
    <row r="29" spans="1:18">
      <c r="A29" s="231" t="s">
        <v>50</v>
      </c>
      <c r="B29" s="33">
        <f>IF(ISERROR(TER_gezond_ele_kWh/1000),0,TER_gezond_ele_kWh/1000)</f>
        <v>363.30700000000002</v>
      </c>
      <c r="C29" s="39">
        <f>IF(ISERROR(B29*3.6/1000000/'E Balans VL '!Z10*100),0,B29*3.6/1000000/'E Balans VL '!Z10*100)</f>
        <v>4.0935319140087932E-2</v>
      </c>
      <c r="D29" s="237" t="s">
        <v>691</v>
      </c>
      <c r="F29" s="6"/>
    </row>
    <row r="30" spans="1:18">
      <c r="A30" s="231" t="s">
        <v>49</v>
      </c>
      <c r="B30" s="33">
        <f>IF(ISERROR(TER_ander_ele_kWh/1000),0,TER_ander_ele_kWh/1000)</f>
        <v>6793.38</v>
      </c>
      <c r="C30" s="39">
        <f>IF(ISERROR(B30*3.6/1000000/'E Balans VL '!Z14*100),0,B30*3.6/1000000/'E Balans VL '!Z14*100)</f>
        <v>0.51377171664143906</v>
      </c>
      <c r="D30" s="237" t="s">
        <v>691</v>
      </c>
      <c r="F30" s="6"/>
    </row>
    <row r="31" spans="1:18">
      <c r="A31" s="231" t="s">
        <v>54</v>
      </c>
      <c r="B31" s="33">
        <f>IF(ISERROR(TER_onderwijs_ele_kWh/1000),0,TER_onderwijs_ele_kWh/1000)</f>
        <v>214.94110000000001</v>
      </c>
      <c r="C31" s="39">
        <f>IF(ISERROR(B31*3.6/1000000/'E Balans VL '!Z11*100),0,B31*3.6/1000000/'E Balans VL '!Z11*100)</f>
        <v>4.4616782716571012E-2</v>
      </c>
      <c r="D31" s="237" t="s">
        <v>691</v>
      </c>
    </row>
    <row r="32" spans="1:18">
      <c r="A32" s="231" t="s">
        <v>259</v>
      </c>
      <c r="B32" s="33">
        <f>IF(ISERROR(TER_rest_ele_kWh/1000),0,TER_rest_ele_kWh/1000)</f>
        <v>2574.2379999999998</v>
      </c>
      <c r="C32" s="39">
        <f>IF(ISERROR(B32*3.6/1000000/'E Balans VL '!Z8*100),0,B32*3.6/1000000/'E Balans VL '!Z8*100)</f>
        <v>2.16864407770683E-2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13777.474269999999</v>
      </c>
      <c r="C5" s="17">
        <f>IF(ISERROR('Eigen informatie GS &amp; warmtenet'!B59),0,'Eigen informatie GS &amp; warmtenet'!B59)</f>
        <v>0</v>
      </c>
      <c r="D5" s="30">
        <f>SUM(D6:D15)</f>
        <v>3366.977547668464</v>
      </c>
      <c r="E5" s="17">
        <f>SUM(E6:E15)</f>
        <v>525.49498674069605</v>
      </c>
      <c r="F5" s="17">
        <f>SUM(F6:F15)</f>
        <v>23557.130418237452</v>
      </c>
      <c r="G5" s="18"/>
      <c r="H5" s="17"/>
      <c r="I5" s="17"/>
      <c r="J5" s="17">
        <f>SUM(J6:J15)</f>
        <v>284.59902178985379</v>
      </c>
      <c r="K5" s="17"/>
      <c r="L5" s="17"/>
      <c r="M5" s="17"/>
      <c r="N5" s="17">
        <f>SUM(N6:N15)</f>
        <v>6376.0634559693635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92.850359999999995</v>
      </c>
      <c r="C8" s="33"/>
      <c r="D8" s="37">
        <f>IF( ISERROR(IND_metaal_Gas_kWH/1000),0,IND_metaal_Gas_kWH/1000)*0.902</f>
        <v>0</v>
      </c>
      <c r="E8" s="33">
        <f>C30*'E Balans VL '!I18/100/3.6*1000000</f>
        <v>2.3237195415020135</v>
      </c>
      <c r="F8" s="33">
        <f>C30*'E Balans VL '!L18/100/3.6*1000000+C30*'E Balans VL '!N18/100/3.6*1000000</f>
        <v>29.09976468544324</v>
      </c>
      <c r="G8" s="34"/>
      <c r="H8" s="33"/>
      <c r="I8" s="33"/>
      <c r="J8" s="40">
        <f>C30*'E Balans VL '!D18/100/3.6*1000000+C30*'E Balans VL '!E18/100/3.6*1000000</f>
        <v>0</v>
      </c>
      <c r="K8" s="33"/>
      <c r="L8" s="33"/>
      <c r="M8" s="33"/>
      <c r="N8" s="33">
        <f>C30*'E Balans VL '!Y18/100/3.6*1000000</f>
        <v>2.3326420108967452</v>
      </c>
      <c r="O8" s="33"/>
      <c r="P8" s="33"/>
      <c r="R8" s="32"/>
    </row>
    <row r="9" spans="1:18">
      <c r="A9" s="6" t="s">
        <v>32</v>
      </c>
      <c r="B9" s="37">
        <f t="shared" si="0"/>
        <v>1396.527</v>
      </c>
      <c r="C9" s="33"/>
      <c r="D9" s="37">
        <f>IF( ISERROR(IND_andere_gas_kWh/1000),0,IND_andere_gas_kWh/1000)*0.902</f>
        <v>1289.684256418079</v>
      </c>
      <c r="E9" s="33">
        <f>C31*'E Balans VL '!I19/100/3.6*1000000</f>
        <v>383.98764636745625</v>
      </c>
      <c r="F9" s="33">
        <f>C31*'E Balans VL '!L19/100/3.6*1000000+C31*'E Balans VL '!N19/100/3.6*1000000</f>
        <v>1100.7062891458484</v>
      </c>
      <c r="G9" s="34"/>
      <c r="H9" s="33"/>
      <c r="I9" s="33"/>
      <c r="J9" s="40">
        <f>C31*'E Balans VL '!D19/100/3.6*1000000+C31*'E Balans VL '!E19/100/3.6*1000000</f>
        <v>0</v>
      </c>
      <c r="K9" s="33"/>
      <c r="L9" s="33"/>
      <c r="M9" s="33"/>
      <c r="N9" s="33">
        <f>C31*'E Balans VL '!Y19/100/3.6*1000000</f>
        <v>112.5050951491324</v>
      </c>
      <c r="O9" s="33"/>
      <c r="P9" s="33"/>
      <c r="R9" s="32"/>
    </row>
    <row r="10" spans="1:18">
      <c r="A10" s="6" t="s">
        <v>40</v>
      </c>
      <c r="B10" s="37">
        <f t="shared" si="0"/>
        <v>11827.953</v>
      </c>
      <c r="C10" s="33"/>
      <c r="D10" s="37">
        <f>IF( ISERROR(IND_voed_gas_kWh/1000),0,IND_voed_gas_kWh/1000)*0.902</f>
        <v>1409.6985873847491</v>
      </c>
      <c r="E10" s="33">
        <f>C32*'E Balans VL '!I20/100/3.6*1000000</f>
        <v>120.57946477851154</v>
      </c>
      <c r="F10" s="33">
        <f>C32*'E Balans VL '!L20/100/3.6*1000000+C32*'E Balans VL '!N20/100/3.6*1000000</f>
        <v>22342.92924029503</v>
      </c>
      <c r="G10" s="34"/>
      <c r="H10" s="33"/>
      <c r="I10" s="33"/>
      <c r="J10" s="40">
        <f>C32*'E Balans VL '!D20/100/3.6*1000000+C32*'E Balans VL '!E20/100/3.6*1000000</f>
        <v>283.08161652743189</v>
      </c>
      <c r="K10" s="33"/>
      <c r="L10" s="33"/>
      <c r="M10" s="33"/>
      <c r="N10" s="33">
        <f>C32*'E Balans VL '!Y20/100/3.6*1000000</f>
        <v>6234.693644121644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98.454809999999995</v>
      </c>
      <c r="C13" s="33"/>
      <c r="D13" s="37">
        <f>IF( ISERROR(IND_papier_gas_kWh/1000),0,IND_papier_gas_kWh/1000)*0.902</f>
        <v>0</v>
      </c>
      <c r="E13" s="33">
        <f>C35*'E Balans VL '!I23/100/3.6*1000000</f>
        <v>0.20390655704965327</v>
      </c>
      <c r="F13" s="33">
        <f>C35*'E Balans VL '!L23/100/3.6*1000000+C35*'E Balans VL '!N23/100/3.6*1000000</f>
        <v>1.9525699526366049</v>
      </c>
      <c r="G13" s="34"/>
      <c r="H13" s="33"/>
      <c r="I13" s="33"/>
      <c r="J13" s="40">
        <f>C35*'E Balans VL '!D23/100/3.6*1000000+C35*'E Balans VL '!E23/100/3.6*1000000</f>
        <v>0</v>
      </c>
      <c r="K13" s="33"/>
      <c r="L13" s="33"/>
      <c r="M13" s="33"/>
      <c r="N13" s="33">
        <f>C35*'E Balans VL '!Y23/100/3.6*1000000</f>
        <v>6.8283387179517732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361.6891</v>
      </c>
      <c r="C15" s="33"/>
      <c r="D15" s="37">
        <f>IF( ISERROR(IND_rest_gas_kWh/1000),0,IND_rest_gas_kWh/1000)*0.902</f>
        <v>667.59470386563578</v>
      </c>
      <c r="E15" s="33">
        <f>C37*'E Balans VL '!I15/100/3.6*1000000</f>
        <v>18.400249496176595</v>
      </c>
      <c r="F15" s="33">
        <f>C37*'E Balans VL '!L15/100/3.6*1000000+C37*'E Balans VL '!N15/100/3.6*1000000</f>
        <v>82.44255415849176</v>
      </c>
      <c r="G15" s="34"/>
      <c r="H15" s="33"/>
      <c r="I15" s="33"/>
      <c r="J15" s="40">
        <f>C37*'E Balans VL '!D15/100/3.6*1000000+C37*'E Balans VL '!E15/100/3.6*1000000</f>
        <v>1.517405262421923</v>
      </c>
      <c r="K15" s="33"/>
      <c r="L15" s="33"/>
      <c r="M15" s="33"/>
      <c r="N15" s="33">
        <f>C37*'E Balans VL '!Y15/100/3.6*1000000</f>
        <v>19.703735969738936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13777.474269999999</v>
      </c>
      <c r="C18" s="21">
        <f>C5+C16</f>
        <v>0</v>
      </c>
      <c r="D18" s="21">
        <f>MAX((D5+D16),0)</f>
        <v>3366.977547668464</v>
      </c>
      <c r="E18" s="21">
        <f>MAX((E5+E16),0)</f>
        <v>525.49498674069605</v>
      </c>
      <c r="F18" s="21">
        <f>MAX((F5+F16),0)</f>
        <v>23557.130418237452</v>
      </c>
      <c r="G18" s="21"/>
      <c r="H18" s="21"/>
      <c r="I18" s="21"/>
      <c r="J18" s="21">
        <f>MAX((J5+J16),0)</f>
        <v>284.59902178985379</v>
      </c>
      <c r="K18" s="21"/>
      <c r="L18" s="21">
        <f>MAX((L5+L16),0)</f>
        <v>0</v>
      </c>
      <c r="M18" s="21"/>
      <c r="N18" s="21">
        <f>MAX((N5+N16),0)</f>
        <v>6376.0634559693635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0.19338783433685752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2664.3959117070767</v>
      </c>
      <c r="C22" s="23">
        <f ca="1">C18*C20</f>
        <v>0</v>
      </c>
      <c r="D22" s="23">
        <f>D18*D20</f>
        <v>680.12946462902983</v>
      </c>
      <c r="E22" s="23">
        <f>E18*E20</f>
        <v>119.28736199013801</v>
      </c>
      <c r="F22" s="23">
        <f>F18*F20</f>
        <v>6289.7538216694002</v>
      </c>
      <c r="G22" s="23"/>
      <c r="H22" s="23"/>
      <c r="I22" s="23"/>
      <c r="J22" s="23">
        <f>J18*J20</f>
        <v>100.74805371360824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92.850359999999995</v>
      </c>
      <c r="C30" s="39">
        <f>IF(ISERROR(B30*3.6/1000000/'E Balans VL '!Z18*100),0,B30*3.6/1000000/'E Balans VL '!Z18*100)</f>
        <v>1.299595612756963E-2</v>
      </c>
      <c r="D30" s="237" t="s">
        <v>691</v>
      </c>
    </row>
    <row r="31" spans="1:18">
      <c r="A31" s="6" t="s">
        <v>32</v>
      </c>
      <c r="B31" s="37">
        <f>IF( ISERROR(IND_ander_ele_kWh/1000),0,IND_ander_ele_kWh/1000)</f>
        <v>1396.527</v>
      </c>
      <c r="C31" s="39">
        <f>IF(ISERROR(B31*3.6/1000000/'E Balans VL '!Z19*100),0,B31*3.6/1000000/'E Balans VL '!Z19*100)</f>
        <v>6.1125760241133829E-2</v>
      </c>
      <c r="D31" s="237" t="s">
        <v>691</v>
      </c>
    </row>
    <row r="32" spans="1:18">
      <c r="A32" s="171" t="s">
        <v>40</v>
      </c>
      <c r="B32" s="37">
        <f>IF( ISERROR(IND_voed_ele_kWh/1000),0,IND_voed_ele_kWh/1000)</f>
        <v>11827.953</v>
      </c>
      <c r="C32" s="39">
        <f>IF(ISERROR(B32*3.6/1000000/'E Balans VL '!Z20*100),0,B32*3.6/1000000/'E Balans VL '!Z20*100)</f>
        <v>2.9282083758552746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98.454809999999995</v>
      </c>
      <c r="C35" s="39">
        <f>IF(ISERROR(B35*3.6/1000000/'E Balans VL '!Z22*100),0,B35*3.6/1000000/'E Balans VL '!Z22*100)</f>
        <v>2.7937458337629526E-3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361.6891</v>
      </c>
      <c r="C37" s="39">
        <f>IF(ISERROR(B37*3.6/1000000/'E Balans VL '!Z15*100),0,B37*3.6/1000000/'E Balans VL '!Z15*100)</f>
        <v>2.6818627527056852E-3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4061.2293</v>
      </c>
      <c r="C5" s="17">
        <f>'Eigen informatie GS &amp; warmtenet'!B60</f>
        <v>0</v>
      </c>
      <c r="D5" s="30">
        <f>IF(ISERROR(SUM(LB_lb_gas_kWh,LB_rest_gas_kWh)/1000),0,SUM(LB_lb_gas_kWh,LB_rest_gas_kWh)/1000)*0.902</f>
        <v>96.144685763958719</v>
      </c>
      <c r="E5" s="17">
        <f>B17*'E Balans VL '!I25/3.6*1000000/100</f>
        <v>37.616806775789961</v>
      </c>
      <c r="F5" s="17">
        <f>B17*('E Balans VL '!L25/3.6*1000000+'E Balans VL '!N25/3.6*1000000)/100</f>
        <v>10304.112397487703</v>
      </c>
      <c r="G5" s="18"/>
      <c r="H5" s="17"/>
      <c r="I5" s="17"/>
      <c r="J5" s="17">
        <f>('E Balans VL '!D25+'E Balans VL '!E25)/3.6*1000000*landbouw!B17/100</f>
        <v>622.63177514126892</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4061.2293</v>
      </c>
      <c r="C8" s="21">
        <f>C5+C6</f>
        <v>62.357142857142847</v>
      </c>
      <c r="D8" s="21">
        <f>MAX((D5+D6),0)</f>
        <v>96.144685763958719</v>
      </c>
      <c r="E8" s="21">
        <f>MAX((E5+E6),0)</f>
        <v>37.616806775789961</v>
      </c>
      <c r="F8" s="21">
        <f>MAX((F5+F6),0)</f>
        <v>10304.112397487703</v>
      </c>
      <c r="G8" s="21"/>
      <c r="H8" s="21"/>
      <c r="I8" s="21"/>
      <c r="J8" s="21">
        <f>MAX((J5+J6),0)</f>
        <v>622.63177514126892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0.19338783433685752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785.39233907239179</v>
      </c>
      <c r="C12" s="23">
        <f ca="1">C8*C10</f>
        <v>0</v>
      </c>
      <c r="D12" s="23">
        <f>D8*D10</f>
        <v>19.421226524319664</v>
      </c>
      <c r="E12" s="23">
        <f>E8*E10</f>
        <v>8.5390151381043218</v>
      </c>
      <c r="F12" s="23">
        <f>F8*F10</f>
        <v>2751.198010129217</v>
      </c>
      <c r="G12" s="23"/>
      <c r="H12" s="23"/>
      <c r="I12" s="23"/>
      <c r="J12" s="23">
        <f>J8*J10</f>
        <v>220.4116484000092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0.57742069351429748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680.61820365416474</v>
      </c>
      <c r="C26" s="247">
        <f>B26*'GWP N2O_CH4'!B5</f>
        <v>14292.982276737459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372.68721771932439</v>
      </c>
      <c r="C27" s="247">
        <f>B27*'GWP N2O_CH4'!B5</f>
        <v>7826.4315721058119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20.461326384066602</v>
      </c>
      <c r="C28" s="247">
        <f>B28*'GWP N2O_CH4'!B4</f>
        <v>6343.011179060647</v>
      </c>
      <c r="D28" s="50"/>
    </row>
    <row r="29" spans="1:4">
      <c r="A29" s="41" t="s">
        <v>276</v>
      </c>
      <c r="B29" s="247">
        <f>B34*'ha_N2O bodem landbouw'!B4</f>
        <v>20.110913354376532</v>
      </c>
      <c r="C29" s="247">
        <f>B29*'GWP N2O_CH4'!B4</f>
        <v>6234.3831398567245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4.510523565184341E-3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4.83180046342128E-5</v>
      </c>
      <c r="C5" s="438" t="s">
        <v>210</v>
      </c>
      <c r="D5" s="423">
        <f>SUM(D6:D11)</f>
        <v>9.44466176839076E-5</v>
      </c>
      <c r="E5" s="423">
        <f>SUM(E6:E11)</f>
        <v>9.0210683607603779E-4</v>
      </c>
      <c r="F5" s="436" t="s">
        <v>210</v>
      </c>
      <c r="G5" s="423">
        <f>SUM(G6:G11)</f>
        <v>0.27833154503102814</v>
      </c>
      <c r="H5" s="423">
        <f>SUM(H6:H11)</f>
        <v>5.732601065004931E-2</v>
      </c>
      <c r="I5" s="438" t="s">
        <v>210</v>
      </c>
      <c r="J5" s="438" t="s">
        <v>210</v>
      </c>
      <c r="K5" s="438" t="s">
        <v>210</v>
      </c>
      <c r="L5" s="438" t="s">
        <v>210</v>
      </c>
      <c r="M5" s="423">
        <f>SUM(M6:M11)</f>
        <v>1.788547782781531E-2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4.0166836292844899E-5</v>
      </c>
      <c r="C6" s="424"/>
      <c r="D6" s="866">
        <f>vkm_GW_PW*SUMIFS(TableVerdeelsleutelVkm[CNG],TableVerdeelsleutelVkm[Voertuigtype],"Lichte voertuigen")*SUMIFS(TableECFTransport[EnergieConsumptieFactor (PJ per km)],TableECFTransport[Index],CONCATENATE($A6,"_CNG_CNG"))</f>
        <v>7.0090506236700198E-5</v>
      </c>
      <c r="E6" s="866">
        <f>vkm_GW_PW*SUMIFS(TableVerdeelsleutelVkm[LPG],TableVerdeelsleutelVkm[Voertuigtype],"Lichte voertuigen")*SUMIFS(TableECFTransport[EnergieConsumptieFactor (PJ per km)],TableECFTransport[Index],CONCATENATE($A6,"_LPG_LPG"))</f>
        <v>6.7886100744907066E-4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0.15954401786641825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4.2923022109398898E-2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1.0559183112244696E-2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5.8921886516670581E-2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1.1426826690415095E-6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3.4161577720816386E-3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8.1511683413678997E-6</v>
      </c>
      <c r="C8" s="424"/>
      <c r="D8" s="426">
        <f>vkm_NGW_PW*SUMIFS(TableVerdeelsleutelVkm[CNG],TableVerdeelsleutelVkm[Voertuigtype],"Lichte voertuigen")*SUMIFS(TableECFTransport[EnergieConsumptieFactor (PJ per km)],TableECFTransport[Index],CONCATENATE($A8,"_CNG_CNG"))</f>
        <v>2.4356111447207405E-5</v>
      </c>
      <c r="E8" s="426">
        <f>vkm_NGW_PW*SUMIFS(TableVerdeelsleutelVkm[LPG],TableVerdeelsleutelVkm[Voertuigtype],"Lichte voertuigen")*SUMIFS(TableECFTransport[EnergieConsumptieFactor (PJ per km)],TableECFTransport[Index],CONCATENATE($A8,"_LPG_LPG"))</f>
        <v>2.2324582862696713E-4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4.9248432488250962E-2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1.4401590813678663E-2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3.2945737183337838E-3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1.0617208159688377E-2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2.5504430270159985E-7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6.1556322515519154E-4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13.421667953947999</v>
      </c>
      <c r="C14" s="21"/>
      <c r="D14" s="21">
        <f t="shared" ref="D14:M14" si="0">((D5)*10^9/3600)+D12</f>
        <v>26.23517157886322</v>
      </c>
      <c r="E14" s="21">
        <f t="shared" si="0"/>
        <v>250.58523224334385</v>
      </c>
      <c r="F14" s="21"/>
      <c r="G14" s="21">
        <f t="shared" si="0"/>
        <v>77314.318064174484</v>
      </c>
      <c r="H14" s="21">
        <f t="shared" si="0"/>
        <v>15923.891847235918</v>
      </c>
      <c r="I14" s="21"/>
      <c r="J14" s="21"/>
      <c r="K14" s="21"/>
      <c r="L14" s="21"/>
      <c r="M14" s="21">
        <f t="shared" si="0"/>
        <v>4968.1882855042522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0.19338783433685752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2.5955872988024051</v>
      </c>
      <c r="C18" s="23"/>
      <c r="D18" s="23">
        <f t="shared" ref="D18:M18" si="1">D14*D16</f>
        <v>5.2995046589303705</v>
      </c>
      <c r="E18" s="23">
        <f t="shared" si="1"/>
        <v>56.882847719239059</v>
      </c>
      <c r="F18" s="23"/>
      <c r="G18" s="23">
        <f t="shared" si="1"/>
        <v>20642.922923134589</v>
      </c>
      <c r="H18" s="23">
        <f t="shared" si="1"/>
        <v>3965.0490699617435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5.0710847113870023E-3</v>
      </c>
      <c r="H50" s="319">
        <f t="shared" si="2"/>
        <v>0</v>
      </c>
      <c r="I50" s="319">
        <f t="shared" si="2"/>
        <v>0</v>
      </c>
      <c r="J50" s="319">
        <f t="shared" si="2"/>
        <v>0</v>
      </c>
      <c r="K50" s="319">
        <f t="shared" si="2"/>
        <v>0</v>
      </c>
      <c r="L50" s="319">
        <f t="shared" si="2"/>
        <v>0</v>
      </c>
      <c r="M50" s="319">
        <f t="shared" si="2"/>
        <v>2.898477672023375E-4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5.0710847113870023E-3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2.898477672023375E-4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1408.6346420519449</v>
      </c>
      <c r="H54" s="21">
        <f t="shared" si="3"/>
        <v>0</v>
      </c>
      <c r="I54" s="21">
        <f t="shared" si="3"/>
        <v>0</v>
      </c>
      <c r="J54" s="21">
        <f t="shared" si="3"/>
        <v>0</v>
      </c>
      <c r="K54" s="21">
        <f t="shared" si="3"/>
        <v>0</v>
      </c>
      <c r="L54" s="21">
        <f t="shared" si="3"/>
        <v>0</v>
      </c>
      <c r="M54" s="21">
        <f t="shared" si="3"/>
        <v>80.51326866731597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0.19338783433685752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376.1054494278693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23465.087100000001</v>
      </c>
      <c r="D10" s="991">
        <f ca="1">tertiair!C16</f>
        <v>0</v>
      </c>
      <c r="E10" s="991">
        <f ca="1">tertiair!D16</f>
        <v>19427.640823614183</v>
      </c>
      <c r="F10" s="991">
        <f>tertiair!E16</f>
        <v>290.91359579216976</v>
      </c>
      <c r="G10" s="991">
        <f ca="1">tertiair!F16</f>
        <v>3816.6117477725857</v>
      </c>
      <c r="H10" s="991">
        <f>tertiair!G16</f>
        <v>0</v>
      </c>
      <c r="I10" s="991">
        <f>tertiair!H16</f>
        <v>0</v>
      </c>
      <c r="J10" s="991">
        <f>tertiair!I16</f>
        <v>0</v>
      </c>
      <c r="K10" s="991">
        <f>tertiair!J16</f>
        <v>0</v>
      </c>
      <c r="L10" s="991">
        <f>tertiair!K16</f>
        <v>0</v>
      </c>
      <c r="M10" s="991">
        <f ca="1">tertiair!L16</f>
        <v>0</v>
      </c>
      <c r="N10" s="991">
        <f>tertiair!M16</f>
        <v>0</v>
      </c>
      <c r="O10" s="991">
        <f ca="1">tertiair!N16</f>
        <v>1238.2414543825307</v>
      </c>
      <c r="P10" s="991">
        <f>tertiair!O16</f>
        <v>7.8166666666666664</v>
      </c>
      <c r="Q10" s="992">
        <f>tertiair!P16</f>
        <v>19.066666666666666</v>
      </c>
      <c r="R10" s="675">
        <f ca="1">SUM(C10:Q10)</f>
        <v>48265.378054894798</v>
      </c>
      <c r="S10" s="67"/>
    </row>
    <row r="11" spans="1:19" s="448" customFormat="1">
      <c r="A11" s="784" t="s">
        <v>224</v>
      </c>
      <c r="B11" s="789"/>
      <c r="C11" s="991">
        <f>huishoudens!B8</f>
        <v>32331.437341829878</v>
      </c>
      <c r="D11" s="991">
        <f>huishoudens!C8</f>
        <v>0</v>
      </c>
      <c r="E11" s="991">
        <f>huishoudens!D8</f>
        <v>57968.165901943561</v>
      </c>
      <c r="F11" s="991">
        <f>huishoudens!E8</f>
        <v>13866.737515565694</v>
      </c>
      <c r="G11" s="991">
        <f>huishoudens!F8</f>
        <v>41654.71303610727</v>
      </c>
      <c r="H11" s="991">
        <f>huishoudens!G8</f>
        <v>0</v>
      </c>
      <c r="I11" s="991">
        <f>huishoudens!H8</f>
        <v>0</v>
      </c>
      <c r="J11" s="991">
        <f>huishoudens!I8</f>
        <v>0</v>
      </c>
      <c r="K11" s="991">
        <f>huishoudens!J8</f>
        <v>0</v>
      </c>
      <c r="L11" s="991">
        <f>huishoudens!K8</f>
        <v>0</v>
      </c>
      <c r="M11" s="991">
        <f>huishoudens!L8</f>
        <v>0</v>
      </c>
      <c r="N11" s="991">
        <f>huishoudens!M8</f>
        <v>0</v>
      </c>
      <c r="O11" s="991">
        <f>huishoudens!N8</f>
        <v>30633.775147471286</v>
      </c>
      <c r="P11" s="991">
        <f>huishoudens!O8</f>
        <v>372.07333333333332</v>
      </c>
      <c r="Q11" s="992">
        <f>huishoudens!P8</f>
        <v>1163.0666666666666</v>
      </c>
      <c r="R11" s="675">
        <f>SUM(C11:Q11)</f>
        <v>177989.96894291771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13777.474269999999</v>
      </c>
      <c r="D13" s="991">
        <f>industrie!C18</f>
        <v>0</v>
      </c>
      <c r="E13" s="991">
        <f>industrie!D18</f>
        <v>3366.977547668464</v>
      </c>
      <c r="F13" s="991">
        <f>industrie!E18</f>
        <v>525.49498674069605</v>
      </c>
      <c r="G13" s="991">
        <f>industrie!F18</f>
        <v>23557.130418237452</v>
      </c>
      <c r="H13" s="991">
        <f>industrie!G18</f>
        <v>0</v>
      </c>
      <c r="I13" s="991">
        <f>industrie!H18</f>
        <v>0</v>
      </c>
      <c r="J13" s="991">
        <f>industrie!I18</f>
        <v>0</v>
      </c>
      <c r="K13" s="991">
        <f>industrie!J18</f>
        <v>284.59902178985379</v>
      </c>
      <c r="L13" s="991">
        <f>industrie!K18</f>
        <v>0</v>
      </c>
      <c r="M13" s="991">
        <f>industrie!L18</f>
        <v>0</v>
      </c>
      <c r="N13" s="991">
        <f>industrie!M18</f>
        <v>0</v>
      </c>
      <c r="O13" s="991">
        <f>industrie!N18</f>
        <v>6376.0634559693635</v>
      </c>
      <c r="P13" s="991">
        <f>industrie!O18</f>
        <v>0</v>
      </c>
      <c r="Q13" s="992">
        <f>industrie!P18</f>
        <v>0</v>
      </c>
      <c r="R13" s="675">
        <f>SUM(C13:Q13)</f>
        <v>47887.739700405822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69573.998711829889</v>
      </c>
      <c r="D16" s="707">
        <f t="shared" ref="D16:R16" ca="1" si="0">SUM(D9:D15)</f>
        <v>0</v>
      </c>
      <c r="E16" s="707">
        <f t="shared" ca="1" si="0"/>
        <v>80762.784273226207</v>
      </c>
      <c r="F16" s="707">
        <f t="shared" si="0"/>
        <v>14683.146098098559</v>
      </c>
      <c r="G16" s="707">
        <f t="shared" ca="1" si="0"/>
        <v>69028.4552021173</v>
      </c>
      <c r="H16" s="707">
        <f t="shared" si="0"/>
        <v>0</v>
      </c>
      <c r="I16" s="707">
        <f t="shared" si="0"/>
        <v>0</v>
      </c>
      <c r="J16" s="707">
        <f t="shared" si="0"/>
        <v>0</v>
      </c>
      <c r="K16" s="707">
        <f t="shared" si="0"/>
        <v>284.59902178985379</v>
      </c>
      <c r="L16" s="707">
        <f t="shared" si="0"/>
        <v>0</v>
      </c>
      <c r="M16" s="707">
        <f t="shared" ca="1" si="0"/>
        <v>0</v>
      </c>
      <c r="N16" s="707">
        <f t="shared" si="0"/>
        <v>0</v>
      </c>
      <c r="O16" s="707">
        <f t="shared" ca="1" si="0"/>
        <v>38248.080057823179</v>
      </c>
      <c r="P16" s="707">
        <f t="shared" si="0"/>
        <v>379.89</v>
      </c>
      <c r="Q16" s="707">
        <f t="shared" si="0"/>
        <v>1182.1333333333332</v>
      </c>
      <c r="R16" s="707">
        <f t="shared" ca="1" si="0"/>
        <v>274143.08669821831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1408.6346420519449</v>
      </c>
      <c r="I19" s="991">
        <f>transport!H54</f>
        <v>0</v>
      </c>
      <c r="J19" s="991">
        <f>transport!I54</f>
        <v>0</v>
      </c>
      <c r="K19" s="991">
        <f>transport!J54</f>
        <v>0</v>
      </c>
      <c r="L19" s="991">
        <f>transport!K54</f>
        <v>0</v>
      </c>
      <c r="M19" s="991">
        <f>transport!L54</f>
        <v>0</v>
      </c>
      <c r="N19" s="991">
        <f>transport!M54</f>
        <v>80.51326866731597</v>
      </c>
      <c r="O19" s="991">
        <f>transport!N54</f>
        <v>0</v>
      </c>
      <c r="P19" s="991">
        <f>transport!O54</f>
        <v>0</v>
      </c>
      <c r="Q19" s="992">
        <f>transport!P54</f>
        <v>0</v>
      </c>
      <c r="R19" s="675">
        <f>SUM(C19:Q19)</f>
        <v>1489.1479107192608</v>
      </c>
      <c r="S19" s="67"/>
    </row>
    <row r="20" spans="1:19" s="448" customFormat="1">
      <c r="A20" s="784" t="s">
        <v>306</v>
      </c>
      <c r="B20" s="789"/>
      <c r="C20" s="991">
        <f>transport!B14</f>
        <v>13.421667953947999</v>
      </c>
      <c r="D20" s="991">
        <f>transport!C14</f>
        <v>0</v>
      </c>
      <c r="E20" s="991">
        <f>transport!D14</f>
        <v>26.23517157886322</v>
      </c>
      <c r="F20" s="991">
        <f>transport!E14</f>
        <v>250.58523224334385</v>
      </c>
      <c r="G20" s="991">
        <f>transport!F14</f>
        <v>0</v>
      </c>
      <c r="H20" s="991">
        <f>transport!G14</f>
        <v>77314.318064174484</v>
      </c>
      <c r="I20" s="991">
        <f>transport!H14</f>
        <v>15923.891847235918</v>
      </c>
      <c r="J20" s="991">
        <f>transport!I14</f>
        <v>0</v>
      </c>
      <c r="K20" s="991">
        <f>transport!J14</f>
        <v>0</v>
      </c>
      <c r="L20" s="991">
        <f>transport!K14</f>
        <v>0</v>
      </c>
      <c r="M20" s="991">
        <f>transport!L14</f>
        <v>0</v>
      </c>
      <c r="N20" s="991">
        <f>transport!M14</f>
        <v>4968.1882855042522</v>
      </c>
      <c r="O20" s="991">
        <f>transport!N14</f>
        <v>0</v>
      </c>
      <c r="P20" s="991">
        <f>transport!O14</f>
        <v>0</v>
      </c>
      <c r="Q20" s="992">
        <f>transport!P14</f>
        <v>0</v>
      </c>
      <c r="R20" s="675">
        <f>SUM(C20:Q20)</f>
        <v>98496.640268690811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13.421667953947999</v>
      </c>
      <c r="D22" s="787">
        <f t="shared" ref="D22:R22" si="1">SUM(D18:D21)</f>
        <v>0</v>
      </c>
      <c r="E22" s="787">
        <f t="shared" si="1"/>
        <v>26.23517157886322</v>
      </c>
      <c r="F22" s="787">
        <f t="shared" si="1"/>
        <v>250.58523224334385</v>
      </c>
      <c r="G22" s="787">
        <f t="shared" si="1"/>
        <v>0</v>
      </c>
      <c r="H22" s="787">
        <f t="shared" si="1"/>
        <v>78722.952706226424</v>
      </c>
      <c r="I22" s="787">
        <f t="shared" si="1"/>
        <v>15923.891847235918</v>
      </c>
      <c r="J22" s="787">
        <f t="shared" si="1"/>
        <v>0</v>
      </c>
      <c r="K22" s="787">
        <f t="shared" si="1"/>
        <v>0</v>
      </c>
      <c r="L22" s="787">
        <f t="shared" si="1"/>
        <v>0</v>
      </c>
      <c r="M22" s="787">
        <f t="shared" si="1"/>
        <v>0</v>
      </c>
      <c r="N22" s="787">
        <f t="shared" si="1"/>
        <v>5048.7015541715682</v>
      </c>
      <c r="O22" s="787">
        <f t="shared" si="1"/>
        <v>0</v>
      </c>
      <c r="P22" s="787">
        <f t="shared" si="1"/>
        <v>0</v>
      </c>
      <c r="Q22" s="787">
        <f t="shared" si="1"/>
        <v>0</v>
      </c>
      <c r="R22" s="787">
        <f t="shared" si="1"/>
        <v>99985.788179410069</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4061.2293</v>
      </c>
      <c r="D24" s="991">
        <f>+landbouw!C8</f>
        <v>62.357142857142847</v>
      </c>
      <c r="E24" s="991">
        <f>+landbouw!D8</f>
        <v>96.144685763958719</v>
      </c>
      <c r="F24" s="991">
        <f>+landbouw!E8</f>
        <v>37.616806775789961</v>
      </c>
      <c r="G24" s="991">
        <f>+landbouw!F8</f>
        <v>10304.112397487703</v>
      </c>
      <c r="H24" s="991">
        <f>+landbouw!G8</f>
        <v>0</v>
      </c>
      <c r="I24" s="991">
        <f>+landbouw!H8</f>
        <v>0</v>
      </c>
      <c r="J24" s="991">
        <f>+landbouw!I8</f>
        <v>0</v>
      </c>
      <c r="K24" s="991">
        <f>+landbouw!J8</f>
        <v>622.63177514126892</v>
      </c>
      <c r="L24" s="991">
        <f>+landbouw!K8</f>
        <v>0</v>
      </c>
      <c r="M24" s="991">
        <f>+landbouw!L8</f>
        <v>0</v>
      </c>
      <c r="N24" s="991">
        <f>+landbouw!M8</f>
        <v>0</v>
      </c>
      <c r="O24" s="991">
        <f>+landbouw!N8</f>
        <v>0</v>
      </c>
      <c r="P24" s="991">
        <f>+landbouw!O8</f>
        <v>0</v>
      </c>
      <c r="Q24" s="992">
        <f>+landbouw!P8</f>
        <v>0</v>
      </c>
      <c r="R24" s="675">
        <f>SUM(C24:Q24)</f>
        <v>15184.092108025863</v>
      </c>
      <c r="S24" s="67"/>
    </row>
    <row r="25" spans="1:19" s="448" customFormat="1" ht="15" thickBot="1">
      <c r="A25" s="806" t="s">
        <v>849</v>
      </c>
      <c r="B25" s="994"/>
      <c r="C25" s="995">
        <f>IF(Onbekend_ele_kWh="---",0,Onbekend_ele_kWh)/1000+IF(REST_rest_ele_kWh="---",0,REST_rest_ele_kWh)/1000</f>
        <v>1582.626</v>
      </c>
      <c r="D25" s="995"/>
      <c r="E25" s="995">
        <f>IF(onbekend_gas_kWh="---",0,onbekend_gas_kWh)/1000+IF(REST_rest_gas_kWh="---",0,REST_rest_gas_kWh)/1000</f>
        <v>3169.40806787666</v>
      </c>
      <c r="F25" s="995"/>
      <c r="G25" s="995"/>
      <c r="H25" s="995"/>
      <c r="I25" s="995"/>
      <c r="J25" s="995"/>
      <c r="K25" s="995"/>
      <c r="L25" s="995"/>
      <c r="M25" s="995"/>
      <c r="N25" s="995"/>
      <c r="O25" s="995"/>
      <c r="P25" s="995"/>
      <c r="Q25" s="996"/>
      <c r="R25" s="675">
        <f>SUM(C25:Q25)</f>
        <v>4752.0340678766597</v>
      </c>
      <c r="S25" s="67"/>
    </row>
    <row r="26" spans="1:19" s="448" customFormat="1" ht="15.75" thickBot="1">
      <c r="A26" s="680" t="s">
        <v>850</v>
      </c>
      <c r="B26" s="792"/>
      <c r="C26" s="787">
        <f>SUM(C24:C25)</f>
        <v>5643.8553000000002</v>
      </c>
      <c r="D26" s="787">
        <f t="shared" ref="D26:R26" si="2">SUM(D24:D25)</f>
        <v>62.357142857142847</v>
      </c>
      <c r="E26" s="787">
        <f t="shared" si="2"/>
        <v>3265.5527536406189</v>
      </c>
      <c r="F26" s="787">
        <f t="shared" si="2"/>
        <v>37.616806775789961</v>
      </c>
      <c r="G26" s="787">
        <f t="shared" si="2"/>
        <v>10304.112397487703</v>
      </c>
      <c r="H26" s="787">
        <f t="shared" si="2"/>
        <v>0</v>
      </c>
      <c r="I26" s="787">
        <f t="shared" si="2"/>
        <v>0</v>
      </c>
      <c r="J26" s="787">
        <f t="shared" si="2"/>
        <v>0</v>
      </c>
      <c r="K26" s="787">
        <f t="shared" si="2"/>
        <v>622.63177514126892</v>
      </c>
      <c r="L26" s="787">
        <f t="shared" si="2"/>
        <v>0</v>
      </c>
      <c r="M26" s="787">
        <f t="shared" si="2"/>
        <v>0</v>
      </c>
      <c r="N26" s="787">
        <f t="shared" si="2"/>
        <v>0</v>
      </c>
      <c r="O26" s="787">
        <f t="shared" si="2"/>
        <v>0</v>
      </c>
      <c r="P26" s="787">
        <f t="shared" si="2"/>
        <v>0</v>
      </c>
      <c r="Q26" s="787">
        <f t="shared" si="2"/>
        <v>0</v>
      </c>
      <c r="R26" s="787">
        <f t="shared" si="2"/>
        <v>19936.126175902522</v>
      </c>
      <c r="S26" s="67"/>
    </row>
    <row r="27" spans="1:19" s="448" customFormat="1" ht="17.25" thickTop="1" thickBot="1">
      <c r="A27" s="681" t="s">
        <v>115</v>
      </c>
      <c r="B27" s="780"/>
      <c r="C27" s="682">
        <f ca="1">C22+C16+C26</f>
        <v>75231.275679783837</v>
      </c>
      <c r="D27" s="682">
        <f t="shared" ref="D27:R27" ca="1" si="3">D22+D16+D26</f>
        <v>62.357142857142847</v>
      </c>
      <c r="E27" s="682">
        <f t="shared" ca="1" si="3"/>
        <v>84054.57219844569</v>
      </c>
      <c r="F27" s="682">
        <f t="shared" si="3"/>
        <v>14971.348137117693</v>
      </c>
      <c r="G27" s="682">
        <f t="shared" ca="1" si="3"/>
        <v>79332.567599604998</v>
      </c>
      <c r="H27" s="682">
        <f t="shared" si="3"/>
        <v>78722.952706226424</v>
      </c>
      <c r="I27" s="682">
        <f t="shared" si="3"/>
        <v>15923.891847235918</v>
      </c>
      <c r="J27" s="682">
        <f t="shared" si="3"/>
        <v>0</v>
      </c>
      <c r="K27" s="682">
        <f t="shared" si="3"/>
        <v>907.23079693112277</v>
      </c>
      <c r="L27" s="682">
        <f t="shared" si="3"/>
        <v>0</v>
      </c>
      <c r="M27" s="682">
        <f t="shared" ca="1" si="3"/>
        <v>0</v>
      </c>
      <c r="N27" s="682">
        <f t="shared" si="3"/>
        <v>5048.7015541715682</v>
      </c>
      <c r="O27" s="682">
        <f t="shared" ca="1" si="3"/>
        <v>38248.080057823179</v>
      </c>
      <c r="P27" s="682">
        <f t="shared" si="3"/>
        <v>379.89</v>
      </c>
      <c r="Q27" s="682">
        <f t="shared" si="3"/>
        <v>1182.1333333333332</v>
      </c>
      <c r="R27" s="682">
        <f t="shared" ca="1" si="3"/>
        <v>394065.00105353096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4537.8623767947329</v>
      </c>
      <c r="D40" s="991">
        <f ca="1">tertiair!C20</f>
        <v>0</v>
      </c>
      <c r="E40" s="991">
        <f ca="1">tertiair!D20</f>
        <v>3924.3834463700655</v>
      </c>
      <c r="F40" s="991">
        <f>tertiair!E20</f>
        <v>66.037386244822542</v>
      </c>
      <c r="G40" s="991">
        <f ca="1">tertiair!F20</f>
        <v>1019.0353366552804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9547.318546064902</v>
      </c>
    </row>
    <row r="41" spans="1:18">
      <c r="A41" s="797" t="s">
        <v>224</v>
      </c>
      <c r="B41" s="804"/>
      <c r="C41" s="991">
        <f ca="1">huishoudens!B12</f>
        <v>6252.5066485342859</v>
      </c>
      <c r="D41" s="991">
        <f ca="1">huishoudens!C12</f>
        <v>0</v>
      </c>
      <c r="E41" s="991">
        <f>huishoudens!D12</f>
        <v>11709.5695121926</v>
      </c>
      <c r="F41" s="991">
        <f>huishoudens!E12</f>
        <v>3147.7494160334127</v>
      </c>
      <c r="G41" s="991">
        <f>huishoudens!F12</f>
        <v>11121.808380640641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32231.63395740094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2664.3959117070767</v>
      </c>
      <c r="D43" s="991">
        <f ca="1">industrie!C22</f>
        <v>0</v>
      </c>
      <c r="E43" s="991">
        <f>industrie!D22</f>
        <v>680.12946462902983</v>
      </c>
      <c r="F43" s="991">
        <f>industrie!E22</f>
        <v>119.28736199013801</v>
      </c>
      <c r="G43" s="991">
        <f>industrie!F22</f>
        <v>6289.7538216694002</v>
      </c>
      <c r="H43" s="991">
        <f>industrie!G22</f>
        <v>0</v>
      </c>
      <c r="I43" s="991">
        <f>industrie!H22</f>
        <v>0</v>
      </c>
      <c r="J43" s="991">
        <f>industrie!I22</f>
        <v>0</v>
      </c>
      <c r="K43" s="991">
        <f>industrie!J22</f>
        <v>100.74805371360824</v>
      </c>
      <c r="L43" s="991">
        <f>industrie!K22</f>
        <v>0</v>
      </c>
      <c r="M43" s="991">
        <f>industrie!L22</f>
        <v>0</v>
      </c>
      <c r="N43" s="991">
        <f>industrie!M22</f>
        <v>0</v>
      </c>
      <c r="O43" s="991">
        <f>industrie!N22</f>
        <v>0</v>
      </c>
      <c r="P43" s="991">
        <f>industrie!O22</f>
        <v>0</v>
      </c>
      <c r="Q43" s="749">
        <f>industrie!P22</f>
        <v>0</v>
      </c>
      <c r="R43" s="824">
        <f t="shared" ca="1" si="4"/>
        <v>9854.3146137092535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13454.764937036096</v>
      </c>
      <c r="D46" s="707">
        <f t="shared" ref="D46:Q46" ca="1" si="5">SUM(D39:D45)</f>
        <v>0</v>
      </c>
      <c r="E46" s="707">
        <f t="shared" ca="1" si="5"/>
        <v>16314.082423191696</v>
      </c>
      <c r="F46" s="707">
        <f t="shared" si="5"/>
        <v>3333.0741642683734</v>
      </c>
      <c r="G46" s="707">
        <f t="shared" ca="1" si="5"/>
        <v>18430.597538965321</v>
      </c>
      <c r="H46" s="707">
        <f t="shared" si="5"/>
        <v>0</v>
      </c>
      <c r="I46" s="707">
        <f t="shared" si="5"/>
        <v>0</v>
      </c>
      <c r="J46" s="707">
        <f t="shared" si="5"/>
        <v>0</v>
      </c>
      <c r="K46" s="707">
        <f t="shared" si="5"/>
        <v>100.74805371360824</v>
      </c>
      <c r="L46" s="707">
        <f t="shared" si="5"/>
        <v>0</v>
      </c>
      <c r="M46" s="707">
        <f t="shared" ca="1" si="5"/>
        <v>0</v>
      </c>
      <c r="N46" s="707">
        <f t="shared" si="5"/>
        <v>0</v>
      </c>
      <c r="O46" s="707">
        <f t="shared" ca="1" si="5"/>
        <v>0</v>
      </c>
      <c r="P46" s="707">
        <f t="shared" si="5"/>
        <v>0</v>
      </c>
      <c r="Q46" s="707">
        <f t="shared" si="5"/>
        <v>0</v>
      </c>
      <c r="R46" s="707">
        <f ca="1">SUM(R39:R45)</f>
        <v>51633.267117175099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376.1054494278693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376.1054494278693</v>
      </c>
    </row>
    <row r="50" spans="1:18">
      <c r="A50" s="800" t="s">
        <v>306</v>
      </c>
      <c r="B50" s="810"/>
      <c r="C50" s="678">
        <f ca="1">transport!B18</f>
        <v>2.5955872988024051</v>
      </c>
      <c r="D50" s="678">
        <f>transport!C18</f>
        <v>0</v>
      </c>
      <c r="E50" s="678">
        <f>transport!D18</f>
        <v>5.2995046589303705</v>
      </c>
      <c r="F50" s="678">
        <f>transport!E18</f>
        <v>56.882847719239059</v>
      </c>
      <c r="G50" s="678">
        <f>transport!F18</f>
        <v>0</v>
      </c>
      <c r="H50" s="678">
        <f>transport!G18</f>
        <v>20642.922923134589</v>
      </c>
      <c r="I50" s="678">
        <f>transport!H18</f>
        <v>3965.0490699617435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24672.749932773306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2.5955872988024051</v>
      </c>
      <c r="D52" s="707">
        <f t="shared" ref="D52:Q52" ca="1" si="6">SUM(D48:D51)</f>
        <v>0</v>
      </c>
      <c r="E52" s="707">
        <f t="shared" si="6"/>
        <v>5.2995046589303705</v>
      </c>
      <c r="F52" s="707">
        <f t="shared" si="6"/>
        <v>56.882847719239059</v>
      </c>
      <c r="G52" s="707">
        <f t="shared" si="6"/>
        <v>0</v>
      </c>
      <c r="H52" s="707">
        <f t="shared" si="6"/>
        <v>21019.028372562458</v>
      </c>
      <c r="I52" s="707">
        <f t="shared" si="6"/>
        <v>3965.0490699617435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25048.855382201175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785.39233907239179</v>
      </c>
      <c r="D54" s="678">
        <f ca="1">+landbouw!C12</f>
        <v>0</v>
      </c>
      <c r="E54" s="678">
        <f>+landbouw!D12</f>
        <v>19.421226524319664</v>
      </c>
      <c r="F54" s="678">
        <f>+landbouw!E12</f>
        <v>8.5390151381043218</v>
      </c>
      <c r="G54" s="678">
        <f>+landbouw!F12</f>
        <v>2751.198010129217</v>
      </c>
      <c r="H54" s="678">
        <f>+landbouw!G12</f>
        <v>0</v>
      </c>
      <c r="I54" s="678">
        <f>+landbouw!H12</f>
        <v>0</v>
      </c>
      <c r="J54" s="678">
        <f>+landbouw!I12</f>
        <v>0</v>
      </c>
      <c r="K54" s="678">
        <f>+landbouw!J12</f>
        <v>220.4116484000092</v>
      </c>
      <c r="L54" s="678">
        <f>+landbouw!K12</f>
        <v>0</v>
      </c>
      <c r="M54" s="678">
        <f>+landbouw!L12</f>
        <v>0</v>
      </c>
      <c r="N54" s="678">
        <f>+landbouw!M12</f>
        <v>0</v>
      </c>
      <c r="O54" s="678">
        <f>+landbouw!N12</f>
        <v>0</v>
      </c>
      <c r="P54" s="678">
        <f>+landbouw!O12</f>
        <v>0</v>
      </c>
      <c r="Q54" s="679">
        <f>+landbouw!P12</f>
        <v>0</v>
      </c>
      <c r="R54" s="706">
        <f ca="1">SUM(C54:Q54)</f>
        <v>3784.9622392640417</v>
      </c>
    </row>
    <row r="55" spans="1:18" ht="15" thickBot="1">
      <c r="A55" s="800" t="s">
        <v>849</v>
      </c>
      <c r="B55" s="810"/>
      <c r="C55" s="678">
        <f ca="1">C25*'EF ele_warmte'!B12</f>
        <v>306.06061470520348</v>
      </c>
      <c r="D55" s="678"/>
      <c r="E55" s="678">
        <f>E25*EF_CO2_aardgas</f>
        <v>640.22042971108533</v>
      </c>
      <c r="F55" s="678"/>
      <c r="G55" s="678"/>
      <c r="H55" s="678"/>
      <c r="I55" s="678"/>
      <c r="J55" s="678"/>
      <c r="K55" s="678"/>
      <c r="L55" s="678"/>
      <c r="M55" s="678"/>
      <c r="N55" s="678"/>
      <c r="O55" s="678"/>
      <c r="P55" s="678"/>
      <c r="Q55" s="679"/>
      <c r="R55" s="706">
        <f ca="1">SUM(C55:Q55)</f>
        <v>946.28104441628875</v>
      </c>
    </row>
    <row r="56" spans="1:18" ht="15.75" thickBot="1">
      <c r="A56" s="798" t="s">
        <v>850</v>
      </c>
      <c r="B56" s="811"/>
      <c r="C56" s="707">
        <f ca="1">SUM(C54:C55)</f>
        <v>1091.4529537775952</v>
      </c>
      <c r="D56" s="707">
        <f t="shared" ref="D56:Q56" ca="1" si="7">SUM(D54:D55)</f>
        <v>0</v>
      </c>
      <c r="E56" s="707">
        <f t="shared" si="7"/>
        <v>659.64165623540498</v>
      </c>
      <c r="F56" s="707">
        <f t="shared" si="7"/>
        <v>8.5390151381043218</v>
      </c>
      <c r="G56" s="707">
        <f t="shared" si="7"/>
        <v>2751.198010129217</v>
      </c>
      <c r="H56" s="707">
        <f t="shared" si="7"/>
        <v>0</v>
      </c>
      <c r="I56" s="707">
        <f t="shared" si="7"/>
        <v>0</v>
      </c>
      <c r="J56" s="707">
        <f t="shared" si="7"/>
        <v>0</v>
      </c>
      <c r="K56" s="707">
        <f t="shared" si="7"/>
        <v>220.4116484000092</v>
      </c>
      <c r="L56" s="707">
        <f t="shared" si="7"/>
        <v>0</v>
      </c>
      <c r="M56" s="707">
        <f t="shared" si="7"/>
        <v>0</v>
      </c>
      <c r="N56" s="707">
        <f t="shared" si="7"/>
        <v>0</v>
      </c>
      <c r="O56" s="707">
        <f t="shared" si="7"/>
        <v>0</v>
      </c>
      <c r="P56" s="707">
        <f t="shared" si="7"/>
        <v>0</v>
      </c>
      <c r="Q56" s="708">
        <f t="shared" si="7"/>
        <v>0</v>
      </c>
      <c r="R56" s="709">
        <f ca="1">SUM(R54:R55)</f>
        <v>4731.2432836803309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14548.813478112494</v>
      </c>
      <c r="D61" s="715">
        <f t="shared" ref="D61:Q61" ca="1" si="8">D46+D52+D56</f>
        <v>0</v>
      </c>
      <c r="E61" s="715">
        <f t="shared" ca="1" si="8"/>
        <v>16979.023584086033</v>
      </c>
      <c r="F61" s="715">
        <f t="shared" si="8"/>
        <v>3398.4960271257169</v>
      </c>
      <c r="G61" s="715">
        <f t="shared" ca="1" si="8"/>
        <v>21181.795549094539</v>
      </c>
      <c r="H61" s="715">
        <f t="shared" si="8"/>
        <v>21019.028372562458</v>
      </c>
      <c r="I61" s="715">
        <f t="shared" si="8"/>
        <v>3965.0490699617435</v>
      </c>
      <c r="J61" s="715">
        <f t="shared" si="8"/>
        <v>0</v>
      </c>
      <c r="K61" s="715">
        <f t="shared" si="8"/>
        <v>321.15970211361741</v>
      </c>
      <c r="L61" s="715">
        <f t="shared" si="8"/>
        <v>0</v>
      </c>
      <c r="M61" s="715">
        <f t="shared" ca="1" si="8"/>
        <v>0</v>
      </c>
      <c r="N61" s="715">
        <f t="shared" si="8"/>
        <v>0</v>
      </c>
      <c r="O61" s="715">
        <f t="shared" ca="1" si="8"/>
        <v>0</v>
      </c>
      <c r="P61" s="715">
        <f t="shared" si="8"/>
        <v>0</v>
      </c>
      <c r="Q61" s="715">
        <f t="shared" si="8"/>
        <v>0</v>
      </c>
      <c r="R61" s="715">
        <f ca="1">R46+R52+R56</f>
        <v>81413.365783056608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0.19338783433685749</v>
      </c>
      <c r="D63" s="756">
        <f t="shared" ca="1" si="9"/>
        <v>0</v>
      </c>
      <c r="E63" s="1002">
        <f t="shared" ca="1" si="9"/>
        <v>0.20200000000000004</v>
      </c>
      <c r="F63" s="756">
        <f t="shared" si="9"/>
        <v>0.22700000000000004</v>
      </c>
      <c r="G63" s="756">
        <f t="shared" ca="1" si="9"/>
        <v>0.26700000000000007</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1156.2808144590504</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6858.6096702456234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1341</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3831.4285714285716</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9399.5404847046739</v>
      </c>
      <c r="C78" s="730">
        <f>SUM(C72:C77)</f>
        <v>0</v>
      </c>
      <c r="D78" s="731">
        <f t="shared" ref="D78:H78" si="10">SUM(D76:D77)</f>
        <v>0</v>
      </c>
      <c r="E78" s="731">
        <f t="shared" si="10"/>
        <v>0</v>
      </c>
      <c r="F78" s="731">
        <f t="shared" si="10"/>
        <v>0</v>
      </c>
      <c r="G78" s="731">
        <f t="shared" si="10"/>
        <v>0</v>
      </c>
      <c r="H78" s="731">
        <f t="shared" si="10"/>
        <v>0</v>
      </c>
      <c r="I78" s="731">
        <f>SUM(I76:I77)</f>
        <v>0</v>
      </c>
      <c r="J78" s="731">
        <f>SUM(J76:J77)</f>
        <v>3882.7815126050423</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1156.2808144590504</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6858.6096702456234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1341</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9399.5404847046739</v>
      </c>
      <c r="C10" s="558">
        <f t="shared" ref="C10:L10" si="0">SUM(C8:C9)</f>
        <v>0</v>
      </c>
      <c r="D10" s="558">
        <f t="shared" si="0"/>
        <v>0</v>
      </c>
      <c r="E10" s="558">
        <f t="shared" si="0"/>
        <v>0</v>
      </c>
      <c r="F10" s="558">
        <f t="shared" si="0"/>
        <v>0</v>
      </c>
      <c r="G10" s="558">
        <f t="shared" si="0"/>
        <v>0</v>
      </c>
      <c r="H10" s="558">
        <f t="shared" si="0"/>
        <v>0</v>
      </c>
      <c r="I10" s="558">
        <f t="shared" si="0"/>
        <v>0</v>
      </c>
      <c r="J10" s="558">
        <f t="shared" si="0"/>
        <v>3882.7815126050423</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13017</v>
      </c>
      <c r="C28" s="771">
        <v>2460</v>
      </c>
      <c r="D28" s="628" t="s">
        <v>913</v>
      </c>
      <c r="E28" s="627" t="s">
        <v>914</v>
      </c>
      <c r="F28" s="627" t="s">
        <v>915</v>
      </c>
      <c r="G28" s="627" t="s">
        <v>916</v>
      </c>
      <c r="H28" s="627" t="s">
        <v>917</v>
      </c>
      <c r="I28" s="627" t="s">
        <v>914</v>
      </c>
      <c r="J28" s="770">
        <v>41586</v>
      </c>
      <c r="K28" s="770">
        <v>41586</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63.75">
      <c r="A35" s="582"/>
      <c r="B35" s="771">
        <v>13017</v>
      </c>
      <c r="C35" s="771">
        <v>2460</v>
      </c>
      <c r="D35" s="630" t="s">
        <v>919</v>
      </c>
      <c r="E35" s="630" t="s">
        <v>920</v>
      </c>
      <c r="F35" s="630" t="s">
        <v>921</v>
      </c>
      <c r="G35" s="630" t="s">
        <v>922</v>
      </c>
      <c r="H35" s="630" t="s">
        <v>923</v>
      </c>
      <c r="I35" s="630" t="s">
        <v>924</v>
      </c>
      <c r="J35" s="770">
        <v>38768</v>
      </c>
      <c r="K35" s="770">
        <v>39052</v>
      </c>
      <c r="L35" s="630" t="s">
        <v>925</v>
      </c>
      <c r="M35" s="630">
        <v>298</v>
      </c>
      <c r="N35" s="630">
        <v>1341</v>
      </c>
      <c r="O35" s="630">
        <v>0</v>
      </c>
      <c r="P35" s="630">
        <v>0</v>
      </c>
      <c r="Q35" s="630">
        <v>3831.4285714285716</v>
      </c>
      <c r="R35" s="630">
        <v>0</v>
      </c>
      <c r="S35" s="630">
        <v>0</v>
      </c>
      <c r="T35" s="630">
        <v>0</v>
      </c>
      <c r="U35" s="630">
        <v>0</v>
      </c>
      <c r="V35" s="630">
        <v>0</v>
      </c>
      <c r="W35" s="630">
        <v>0</v>
      </c>
      <c r="X35" s="630">
        <v>1600</v>
      </c>
      <c r="Y35" s="630" t="s">
        <v>49</v>
      </c>
      <c r="Z35" s="631" t="s">
        <v>155</v>
      </c>
    </row>
    <row r="36" spans="1:27" s="565" customFormat="1">
      <c r="A36" s="583" t="s">
        <v>279</v>
      </c>
      <c r="B36" s="584"/>
      <c r="C36" s="584"/>
      <c r="D36" s="584"/>
      <c r="E36" s="584"/>
      <c r="F36" s="584"/>
      <c r="G36" s="584"/>
      <c r="H36" s="584"/>
      <c r="I36" s="584"/>
      <c r="J36" s="584"/>
      <c r="K36" s="584"/>
      <c r="L36" s="585"/>
      <c r="M36" s="585">
        <f>SUM(M35:M35)</f>
        <v>298</v>
      </c>
      <c r="N36" s="585">
        <f>SUM(N35:N35)</f>
        <v>1341</v>
      </c>
      <c r="O36" s="585">
        <f>SUM(O35:O35)</f>
        <v>0</v>
      </c>
      <c r="P36" s="585">
        <f>SUM(P35:P35)</f>
        <v>0</v>
      </c>
      <c r="Q36" s="585">
        <f>SUM(Q35:Q35)</f>
        <v>3831.4285714285716</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298</v>
      </c>
      <c r="N38" s="585">
        <f>SUMIF($Z$35:$Z$36,"tertiair",N35:N36)</f>
        <v>1341</v>
      </c>
      <c r="O38" s="585">
        <f>SUMIF($Z$35:$Z$36,"tertiair",O35:O36)</f>
        <v>0</v>
      </c>
      <c r="P38" s="585">
        <f>SUMIF($Z$35:$Z$36,"tertiair",P35:P36)</f>
        <v>0</v>
      </c>
      <c r="Q38" s="585">
        <f>SUMIF($Z$35:$Z$36,"tertiair",Q35:Q36)</f>
        <v>3831.4285714285716</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32331.437341829878</v>
      </c>
      <c r="C4" s="452">
        <f>huishoudens!C8</f>
        <v>0</v>
      </c>
      <c r="D4" s="452">
        <f>huishoudens!D8</f>
        <v>57968.165901943561</v>
      </c>
      <c r="E4" s="452">
        <f>huishoudens!E8</f>
        <v>13866.737515565694</v>
      </c>
      <c r="F4" s="452">
        <f>huishoudens!F8</f>
        <v>41654.71303610727</v>
      </c>
      <c r="G4" s="452">
        <f>huishoudens!G8</f>
        <v>0</v>
      </c>
      <c r="H4" s="452">
        <f>huishoudens!H8</f>
        <v>0</v>
      </c>
      <c r="I4" s="452">
        <f>huishoudens!I8</f>
        <v>0</v>
      </c>
      <c r="J4" s="452">
        <f>huishoudens!J8</f>
        <v>0</v>
      </c>
      <c r="K4" s="452">
        <f>huishoudens!K8</f>
        <v>0</v>
      </c>
      <c r="L4" s="452">
        <f>huishoudens!L8</f>
        <v>0</v>
      </c>
      <c r="M4" s="452">
        <f>huishoudens!M8</f>
        <v>0</v>
      </c>
      <c r="N4" s="452">
        <f>huishoudens!N8</f>
        <v>30633.775147471286</v>
      </c>
      <c r="O4" s="452">
        <f>huishoudens!O8</f>
        <v>372.07333333333332</v>
      </c>
      <c r="P4" s="453">
        <f>huishoudens!P8</f>
        <v>1163.0666666666666</v>
      </c>
      <c r="Q4" s="454">
        <f>SUM(B4:P4)</f>
        <v>177989.96894291771</v>
      </c>
    </row>
    <row r="5" spans="1:17">
      <c r="A5" s="451" t="s">
        <v>155</v>
      </c>
      <c r="B5" s="452">
        <f ca="1">tertiair!B16</f>
        <v>22679.683100000002</v>
      </c>
      <c r="C5" s="452">
        <f ca="1">tertiair!C16</f>
        <v>0</v>
      </c>
      <c r="D5" s="452">
        <f ca="1">tertiair!D16</f>
        <v>19427.640823614183</v>
      </c>
      <c r="E5" s="452">
        <f>tertiair!E16</f>
        <v>290.91359579216976</v>
      </c>
      <c r="F5" s="452">
        <f ca="1">tertiair!F16</f>
        <v>3816.6117477725857</v>
      </c>
      <c r="G5" s="452">
        <f>tertiair!G16</f>
        <v>0</v>
      </c>
      <c r="H5" s="452">
        <f>tertiair!H16</f>
        <v>0</v>
      </c>
      <c r="I5" s="452">
        <f>tertiair!I16</f>
        <v>0</v>
      </c>
      <c r="J5" s="452">
        <f>tertiair!J16</f>
        <v>0</v>
      </c>
      <c r="K5" s="452">
        <f>tertiair!K16</f>
        <v>0</v>
      </c>
      <c r="L5" s="452">
        <f ca="1">tertiair!L16</f>
        <v>0</v>
      </c>
      <c r="M5" s="452">
        <f>tertiair!M16</f>
        <v>0</v>
      </c>
      <c r="N5" s="452">
        <f ca="1">tertiair!N16</f>
        <v>1238.2414543825307</v>
      </c>
      <c r="O5" s="452">
        <f>tertiair!O16</f>
        <v>7.8166666666666664</v>
      </c>
      <c r="P5" s="453">
        <f>tertiair!P16</f>
        <v>19.066666666666666</v>
      </c>
      <c r="Q5" s="451">
        <f t="shared" ref="Q5:Q14" ca="1" si="0">SUM(B5:P5)</f>
        <v>47479.974054894796</v>
      </c>
    </row>
    <row r="6" spans="1:17">
      <c r="A6" s="451" t="s">
        <v>193</v>
      </c>
      <c r="B6" s="452">
        <f>'openbare verlichting'!B8</f>
        <v>785.404</v>
      </c>
      <c r="C6" s="452"/>
      <c r="D6" s="452"/>
      <c r="E6" s="452"/>
      <c r="F6" s="452"/>
      <c r="G6" s="452"/>
      <c r="H6" s="452"/>
      <c r="I6" s="452"/>
      <c r="J6" s="452"/>
      <c r="K6" s="452"/>
      <c r="L6" s="452"/>
      <c r="M6" s="452"/>
      <c r="N6" s="452"/>
      <c r="O6" s="452"/>
      <c r="P6" s="453"/>
      <c r="Q6" s="451">
        <f t="shared" si="0"/>
        <v>785.404</v>
      </c>
    </row>
    <row r="7" spans="1:17">
      <c r="A7" s="451" t="s">
        <v>111</v>
      </c>
      <c r="B7" s="452">
        <f>landbouw!B8</f>
        <v>4061.2293</v>
      </c>
      <c r="C7" s="452">
        <f>landbouw!C8</f>
        <v>62.357142857142847</v>
      </c>
      <c r="D7" s="452">
        <f>landbouw!D8</f>
        <v>96.144685763958719</v>
      </c>
      <c r="E7" s="452">
        <f>landbouw!E8</f>
        <v>37.616806775789961</v>
      </c>
      <c r="F7" s="452">
        <f>landbouw!F8</f>
        <v>10304.112397487703</v>
      </c>
      <c r="G7" s="452">
        <f>landbouw!G8</f>
        <v>0</v>
      </c>
      <c r="H7" s="452">
        <f>landbouw!H8</f>
        <v>0</v>
      </c>
      <c r="I7" s="452">
        <f>landbouw!I8</f>
        <v>0</v>
      </c>
      <c r="J7" s="452">
        <f>landbouw!J8</f>
        <v>622.63177514126892</v>
      </c>
      <c r="K7" s="452">
        <f>landbouw!K8</f>
        <v>0</v>
      </c>
      <c r="L7" s="452">
        <f>landbouw!L8</f>
        <v>0</v>
      </c>
      <c r="M7" s="452">
        <f>landbouw!M8</f>
        <v>0</v>
      </c>
      <c r="N7" s="452">
        <f>landbouw!N8</f>
        <v>0</v>
      </c>
      <c r="O7" s="452">
        <f>landbouw!O8</f>
        <v>0</v>
      </c>
      <c r="P7" s="453">
        <f>landbouw!P8</f>
        <v>0</v>
      </c>
      <c r="Q7" s="451">
        <f t="shared" si="0"/>
        <v>15184.092108025863</v>
      </c>
    </row>
    <row r="8" spans="1:17">
      <c r="A8" s="451" t="s">
        <v>649</v>
      </c>
      <c r="B8" s="452">
        <f>industrie!B18</f>
        <v>13777.474269999999</v>
      </c>
      <c r="C8" s="452">
        <f>industrie!C18</f>
        <v>0</v>
      </c>
      <c r="D8" s="452">
        <f>industrie!D18</f>
        <v>3366.977547668464</v>
      </c>
      <c r="E8" s="452">
        <f>industrie!E18</f>
        <v>525.49498674069605</v>
      </c>
      <c r="F8" s="452">
        <f>industrie!F18</f>
        <v>23557.130418237452</v>
      </c>
      <c r="G8" s="452">
        <f>industrie!G18</f>
        <v>0</v>
      </c>
      <c r="H8" s="452">
        <f>industrie!H18</f>
        <v>0</v>
      </c>
      <c r="I8" s="452">
        <f>industrie!I18</f>
        <v>0</v>
      </c>
      <c r="J8" s="452">
        <f>industrie!J18</f>
        <v>284.59902178985379</v>
      </c>
      <c r="K8" s="452">
        <f>industrie!K18</f>
        <v>0</v>
      </c>
      <c r="L8" s="452">
        <f>industrie!L18</f>
        <v>0</v>
      </c>
      <c r="M8" s="452">
        <f>industrie!M18</f>
        <v>0</v>
      </c>
      <c r="N8" s="452">
        <f>industrie!N18</f>
        <v>6376.0634559693635</v>
      </c>
      <c r="O8" s="452">
        <f>industrie!O18</f>
        <v>0</v>
      </c>
      <c r="P8" s="453">
        <f>industrie!P18</f>
        <v>0</v>
      </c>
      <c r="Q8" s="451">
        <f t="shared" si="0"/>
        <v>47887.739700405822</v>
      </c>
    </row>
    <row r="9" spans="1:17" s="457" customFormat="1">
      <c r="A9" s="455" t="s">
        <v>570</v>
      </c>
      <c r="B9" s="456">
        <f>transport!B14</f>
        <v>13.421667953947999</v>
      </c>
      <c r="C9" s="456">
        <f>transport!C14</f>
        <v>0</v>
      </c>
      <c r="D9" s="456">
        <f>transport!D14</f>
        <v>26.23517157886322</v>
      </c>
      <c r="E9" s="456">
        <f>transport!E14</f>
        <v>250.58523224334385</v>
      </c>
      <c r="F9" s="456">
        <f>transport!F14</f>
        <v>0</v>
      </c>
      <c r="G9" s="456">
        <f>transport!G14</f>
        <v>77314.318064174484</v>
      </c>
      <c r="H9" s="456">
        <f>transport!H14</f>
        <v>15923.891847235918</v>
      </c>
      <c r="I9" s="456">
        <f>transport!I14</f>
        <v>0</v>
      </c>
      <c r="J9" s="456">
        <f>transport!J14</f>
        <v>0</v>
      </c>
      <c r="K9" s="456">
        <f>transport!K14</f>
        <v>0</v>
      </c>
      <c r="L9" s="456">
        <f>transport!L14</f>
        <v>0</v>
      </c>
      <c r="M9" s="456">
        <f>transport!M14</f>
        <v>4968.1882855042522</v>
      </c>
      <c r="N9" s="456">
        <f>transport!N14</f>
        <v>0</v>
      </c>
      <c r="O9" s="456">
        <f>transport!O14</f>
        <v>0</v>
      </c>
      <c r="P9" s="456">
        <f>transport!P14</f>
        <v>0</v>
      </c>
      <c r="Q9" s="455">
        <f>SUM(B9:P9)</f>
        <v>98496.640268690811</v>
      </c>
    </row>
    <row r="10" spans="1:17">
      <c r="A10" s="451" t="s">
        <v>560</v>
      </c>
      <c r="B10" s="452">
        <f>transport!B54</f>
        <v>0</v>
      </c>
      <c r="C10" s="452">
        <f>transport!C54</f>
        <v>0</v>
      </c>
      <c r="D10" s="452">
        <f>transport!D54</f>
        <v>0</v>
      </c>
      <c r="E10" s="452">
        <f>transport!E54</f>
        <v>0</v>
      </c>
      <c r="F10" s="452">
        <f>transport!F54</f>
        <v>0</v>
      </c>
      <c r="G10" s="452">
        <f>transport!G54</f>
        <v>1408.6346420519449</v>
      </c>
      <c r="H10" s="452">
        <f>transport!H54</f>
        <v>0</v>
      </c>
      <c r="I10" s="452">
        <f>transport!I54</f>
        <v>0</v>
      </c>
      <c r="J10" s="452">
        <f>transport!J54</f>
        <v>0</v>
      </c>
      <c r="K10" s="452">
        <f>transport!K54</f>
        <v>0</v>
      </c>
      <c r="L10" s="452">
        <f>transport!L54</f>
        <v>0</v>
      </c>
      <c r="M10" s="452">
        <f>transport!M54</f>
        <v>80.51326866731597</v>
      </c>
      <c r="N10" s="452">
        <f>transport!N54</f>
        <v>0</v>
      </c>
      <c r="O10" s="452">
        <f>transport!O54</f>
        <v>0</v>
      </c>
      <c r="P10" s="453">
        <f>transport!P54</f>
        <v>0</v>
      </c>
      <c r="Q10" s="451">
        <f t="shared" si="0"/>
        <v>1489.1479107192608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1582.626</v>
      </c>
      <c r="C14" s="459"/>
      <c r="D14" s="459">
        <f>'SEAP template'!E25</f>
        <v>3169.40806787666</v>
      </c>
      <c r="E14" s="459"/>
      <c r="F14" s="459"/>
      <c r="G14" s="459"/>
      <c r="H14" s="459"/>
      <c r="I14" s="459"/>
      <c r="J14" s="459"/>
      <c r="K14" s="459"/>
      <c r="L14" s="459"/>
      <c r="M14" s="459"/>
      <c r="N14" s="459"/>
      <c r="O14" s="459"/>
      <c r="P14" s="460"/>
      <c r="Q14" s="451">
        <f t="shared" si="0"/>
        <v>4752.0340678766597</v>
      </c>
    </row>
    <row r="15" spans="1:17" s="461" customFormat="1">
      <c r="A15" s="1017" t="s">
        <v>564</v>
      </c>
      <c r="B15" s="957">
        <f ca="1">SUM(B4:B14)</f>
        <v>75231.275679783837</v>
      </c>
      <c r="C15" s="957">
        <f t="shared" ref="C15:Q15" ca="1" si="1">SUM(C4:C14)</f>
        <v>62.357142857142847</v>
      </c>
      <c r="D15" s="957">
        <f t="shared" ca="1" si="1"/>
        <v>84054.57219844569</v>
      </c>
      <c r="E15" s="957">
        <f t="shared" si="1"/>
        <v>14971.348137117693</v>
      </c>
      <c r="F15" s="957">
        <f t="shared" ca="1" si="1"/>
        <v>79332.567599605012</v>
      </c>
      <c r="G15" s="957">
        <f t="shared" si="1"/>
        <v>78722.952706226424</v>
      </c>
      <c r="H15" s="957">
        <f t="shared" si="1"/>
        <v>15923.891847235918</v>
      </c>
      <c r="I15" s="957">
        <f t="shared" si="1"/>
        <v>0</v>
      </c>
      <c r="J15" s="957">
        <f t="shared" si="1"/>
        <v>907.23079693112277</v>
      </c>
      <c r="K15" s="957">
        <f t="shared" si="1"/>
        <v>0</v>
      </c>
      <c r="L15" s="957">
        <f t="shared" ca="1" si="1"/>
        <v>0</v>
      </c>
      <c r="M15" s="957">
        <f t="shared" si="1"/>
        <v>5048.7015541715682</v>
      </c>
      <c r="N15" s="957">
        <f t="shared" ca="1" si="1"/>
        <v>38248.080057823179</v>
      </c>
      <c r="O15" s="957">
        <f t="shared" si="1"/>
        <v>379.89</v>
      </c>
      <c r="P15" s="957">
        <f t="shared" si="1"/>
        <v>1182.1333333333332</v>
      </c>
      <c r="Q15" s="957">
        <f t="shared" ca="1" si="1"/>
        <v>394065.0010535309</v>
      </c>
    </row>
    <row r="17" spans="1:17">
      <c r="A17" s="462" t="s">
        <v>565</v>
      </c>
      <c r="B17" s="761">
        <f ca="1">huishoudens!B10</f>
        <v>0.19338783433685752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6252.5066485342859</v>
      </c>
      <c r="C22" s="452">
        <f t="shared" ref="C22:C32" ca="1" si="3">C4*$C$17</f>
        <v>0</v>
      </c>
      <c r="D22" s="452">
        <f t="shared" ref="D22:D32" si="4">D4*$D$17</f>
        <v>11709.5695121926</v>
      </c>
      <c r="E22" s="452">
        <f t="shared" ref="E22:E32" si="5">E4*$E$17</f>
        <v>3147.7494160334127</v>
      </c>
      <c r="F22" s="452">
        <f t="shared" ref="F22:F32" si="6">F4*$F$17</f>
        <v>11121.808380640641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32231.63395740094</v>
      </c>
    </row>
    <row r="23" spans="1:17">
      <c r="A23" s="451" t="s">
        <v>155</v>
      </c>
      <c r="B23" s="452">
        <f t="shared" ca="1" si="2"/>
        <v>4385.9747981552273</v>
      </c>
      <c r="C23" s="452">
        <f t="shared" ca="1" si="3"/>
        <v>0</v>
      </c>
      <c r="D23" s="452">
        <f t="shared" ca="1" si="4"/>
        <v>3924.3834463700655</v>
      </c>
      <c r="E23" s="452">
        <f t="shared" si="5"/>
        <v>66.037386244822542</v>
      </c>
      <c r="F23" s="452">
        <f t="shared" ca="1" si="6"/>
        <v>1019.0353366552804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9395.4309674253964</v>
      </c>
    </row>
    <row r="24" spans="1:17">
      <c r="A24" s="451" t="s">
        <v>193</v>
      </c>
      <c r="B24" s="452">
        <f t="shared" ca="1" si="2"/>
        <v>151.88757863950525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151.88757863950525</v>
      </c>
    </row>
    <row r="25" spans="1:17">
      <c r="A25" s="451" t="s">
        <v>111</v>
      </c>
      <c r="B25" s="452">
        <f t="shared" ca="1" si="2"/>
        <v>785.39233907239179</v>
      </c>
      <c r="C25" s="452">
        <f t="shared" ca="1" si="3"/>
        <v>0</v>
      </c>
      <c r="D25" s="452">
        <f t="shared" si="4"/>
        <v>19.421226524319664</v>
      </c>
      <c r="E25" s="452">
        <f t="shared" si="5"/>
        <v>8.5390151381043218</v>
      </c>
      <c r="F25" s="452">
        <f t="shared" si="6"/>
        <v>2751.198010129217</v>
      </c>
      <c r="G25" s="452">
        <f t="shared" si="7"/>
        <v>0</v>
      </c>
      <c r="H25" s="452">
        <f t="shared" si="8"/>
        <v>0</v>
      </c>
      <c r="I25" s="452">
        <f t="shared" si="9"/>
        <v>0</v>
      </c>
      <c r="J25" s="452">
        <f t="shared" si="10"/>
        <v>220.4116484000092</v>
      </c>
      <c r="K25" s="452">
        <f t="shared" si="11"/>
        <v>0</v>
      </c>
      <c r="L25" s="452">
        <f t="shared" si="12"/>
        <v>0</v>
      </c>
      <c r="M25" s="452">
        <f t="shared" si="13"/>
        <v>0</v>
      </c>
      <c r="N25" s="452">
        <f t="shared" si="14"/>
        <v>0</v>
      </c>
      <c r="O25" s="452">
        <f t="shared" si="15"/>
        <v>0</v>
      </c>
      <c r="P25" s="453">
        <f t="shared" si="16"/>
        <v>0</v>
      </c>
      <c r="Q25" s="451">
        <f t="shared" ca="1" si="17"/>
        <v>3784.9622392640417</v>
      </c>
    </row>
    <row r="26" spans="1:17">
      <c r="A26" s="451" t="s">
        <v>649</v>
      </c>
      <c r="B26" s="452">
        <f t="shared" ca="1" si="2"/>
        <v>2664.3959117070767</v>
      </c>
      <c r="C26" s="452">
        <f t="shared" ca="1" si="3"/>
        <v>0</v>
      </c>
      <c r="D26" s="452">
        <f t="shared" si="4"/>
        <v>680.12946462902983</v>
      </c>
      <c r="E26" s="452">
        <f t="shared" si="5"/>
        <v>119.28736199013801</v>
      </c>
      <c r="F26" s="452">
        <f t="shared" si="6"/>
        <v>6289.7538216694002</v>
      </c>
      <c r="G26" s="452">
        <f t="shared" si="7"/>
        <v>0</v>
      </c>
      <c r="H26" s="452">
        <f t="shared" si="8"/>
        <v>0</v>
      </c>
      <c r="I26" s="452">
        <f t="shared" si="9"/>
        <v>0</v>
      </c>
      <c r="J26" s="452">
        <f t="shared" si="10"/>
        <v>100.74805371360824</v>
      </c>
      <c r="K26" s="452">
        <f t="shared" si="11"/>
        <v>0</v>
      </c>
      <c r="L26" s="452">
        <f t="shared" si="12"/>
        <v>0</v>
      </c>
      <c r="M26" s="452">
        <f t="shared" si="13"/>
        <v>0</v>
      </c>
      <c r="N26" s="452">
        <f t="shared" si="14"/>
        <v>0</v>
      </c>
      <c r="O26" s="452">
        <f t="shared" si="15"/>
        <v>0</v>
      </c>
      <c r="P26" s="453">
        <f t="shared" si="16"/>
        <v>0</v>
      </c>
      <c r="Q26" s="451">
        <f t="shared" ca="1" si="17"/>
        <v>9854.3146137092535</v>
      </c>
    </row>
    <row r="27" spans="1:17" s="457" customFormat="1">
      <c r="A27" s="455" t="s">
        <v>570</v>
      </c>
      <c r="B27" s="755">
        <f t="shared" ca="1" si="2"/>
        <v>2.5955872988024051</v>
      </c>
      <c r="C27" s="456">
        <f t="shared" ca="1" si="3"/>
        <v>0</v>
      </c>
      <c r="D27" s="456">
        <f t="shared" si="4"/>
        <v>5.2995046589303705</v>
      </c>
      <c r="E27" s="456">
        <f t="shared" si="5"/>
        <v>56.882847719239059</v>
      </c>
      <c r="F27" s="456">
        <f t="shared" si="6"/>
        <v>0</v>
      </c>
      <c r="G27" s="456">
        <f t="shared" si="7"/>
        <v>20642.922923134589</v>
      </c>
      <c r="H27" s="456">
        <f t="shared" si="8"/>
        <v>3965.0490699617435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24672.749932773306</v>
      </c>
    </row>
    <row r="28" spans="1:17">
      <c r="A28" s="451" t="s">
        <v>560</v>
      </c>
      <c r="B28" s="452">
        <f t="shared" ca="1" si="2"/>
        <v>0</v>
      </c>
      <c r="C28" s="452">
        <f t="shared" ca="1" si="3"/>
        <v>0</v>
      </c>
      <c r="D28" s="452">
        <f t="shared" si="4"/>
        <v>0</v>
      </c>
      <c r="E28" s="452">
        <f t="shared" si="5"/>
        <v>0</v>
      </c>
      <c r="F28" s="452">
        <f t="shared" si="6"/>
        <v>0</v>
      </c>
      <c r="G28" s="452">
        <f t="shared" si="7"/>
        <v>376.1054494278693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376.1054494278693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306.06061470520348</v>
      </c>
      <c r="C32" s="452">
        <f t="shared" ca="1" si="3"/>
        <v>0</v>
      </c>
      <c r="D32" s="452">
        <f t="shared" si="4"/>
        <v>640.22042971108533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946.28104441628875</v>
      </c>
    </row>
    <row r="33" spans="1:17" s="461" customFormat="1">
      <c r="A33" s="1017" t="s">
        <v>564</v>
      </c>
      <c r="B33" s="957">
        <f ca="1">SUM(B22:B32)</f>
        <v>14548.813478112494</v>
      </c>
      <c r="C33" s="957">
        <f t="shared" ref="C33:Q33" ca="1" si="18">SUM(C22:C32)</f>
        <v>0</v>
      </c>
      <c r="D33" s="957">
        <f t="shared" ca="1" si="18"/>
        <v>16979.023584086033</v>
      </c>
      <c r="E33" s="957">
        <f t="shared" si="18"/>
        <v>3398.4960271257169</v>
      </c>
      <c r="F33" s="957">
        <f t="shared" ca="1" si="18"/>
        <v>21181.795549094539</v>
      </c>
      <c r="G33" s="957">
        <f t="shared" si="18"/>
        <v>21019.028372562458</v>
      </c>
      <c r="H33" s="957">
        <f t="shared" si="18"/>
        <v>3965.0490699617435</v>
      </c>
      <c r="I33" s="957">
        <f t="shared" si="18"/>
        <v>0</v>
      </c>
      <c r="J33" s="957">
        <f t="shared" si="18"/>
        <v>321.15970211361741</v>
      </c>
      <c r="K33" s="957">
        <f t="shared" si="18"/>
        <v>0</v>
      </c>
      <c r="L33" s="957">
        <f t="shared" ca="1" si="18"/>
        <v>0</v>
      </c>
      <c r="M33" s="957">
        <f t="shared" si="18"/>
        <v>0</v>
      </c>
      <c r="N33" s="957">
        <f t="shared" ca="1" si="18"/>
        <v>0</v>
      </c>
      <c r="O33" s="957">
        <f t="shared" si="18"/>
        <v>0</v>
      </c>
      <c r="P33" s="957">
        <f t="shared" si="18"/>
        <v>0</v>
      </c>
      <c r="Q33" s="957">
        <f t="shared" ca="1" si="18"/>
        <v>81413.365783056608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1156.2808144590504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6858.6096702456234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1341</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3831.4285714285716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9399.5404847046739</v>
      </c>
      <c r="C10" s="1038">
        <f>SUM(C4:C9)</f>
        <v>0</v>
      </c>
      <c r="D10" s="1038">
        <f t="shared" ref="D10:H10" si="0">SUM(D8:D9)</f>
        <v>0</v>
      </c>
      <c r="E10" s="1038">
        <f t="shared" si="0"/>
        <v>0</v>
      </c>
      <c r="F10" s="1038">
        <f t="shared" si="0"/>
        <v>0</v>
      </c>
      <c r="G10" s="1038">
        <f t="shared" si="0"/>
        <v>0</v>
      </c>
      <c r="H10" s="1038">
        <f t="shared" si="0"/>
        <v>0</v>
      </c>
      <c r="I10" s="1038">
        <f>SUM(I8:I9)</f>
        <v>0</v>
      </c>
      <c r="J10" s="1038">
        <f>SUM(J8:J9)</f>
        <v>3882.7815126050423</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0.19338783433685752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0.19338783433685752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2020-06-20T16:03:14Z</dcterms:modified>
</cp:coreProperties>
</file>