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22" i="16"/>
  <c r="P43" i="14" s="1"/>
  <c r="P46" i="14" s="1"/>
  <c r="P61" i="14" s="1"/>
  <c r="O8" i="48"/>
  <c r="O26" i="48" s="1"/>
  <c r="P13" i="14"/>
  <c r="P16" i="14" s="1"/>
  <c r="P27" i="14" s="1"/>
  <c r="Q63" i="14"/>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O33" i="48"/>
  <c r="N22" i="14"/>
  <c r="N27" i="14" s="1"/>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H18" i="22"/>
  <c r="I50" i="14" s="1"/>
  <c r="I52" i="14" s="1"/>
  <c r="I61" i="14" s="1"/>
  <c r="J22" i="16" l="1"/>
  <c r="K43" i="14" s="1"/>
  <c r="K46" i="14" s="1"/>
  <c r="K61" i="14" s="1"/>
  <c r="K13" i="14"/>
  <c r="K16" i="14" s="1"/>
  <c r="K27" i="14" s="1"/>
  <c r="J8" i="48"/>
  <c r="J26" i="48" s="1"/>
  <c r="J33" i="48" s="1"/>
  <c r="J15" i="48"/>
  <c r="E8" i="48"/>
  <c r="E26" i="48" s="1"/>
  <c r="F13" i="14"/>
  <c r="F16" i="14" s="1"/>
  <c r="F27" i="14" s="1"/>
  <c r="F63" i="14" s="1"/>
  <c r="E33" i="48"/>
  <c r="E15" i="48"/>
  <c r="E22" i="16"/>
  <c r="F43" i="14" s="1"/>
  <c r="F46" i="14" s="1"/>
  <c r="F61" i="14" s="1"/>
  <c r="G33" i="48"/>
  <c r="I22" i="14"/>
  <c r="I27" i="14" s="1"/>
  <c r="I63" i="14" s="1"/>
  <c r="R20" i="14"/>
  <c r="R22" i="14" s="1"/>
  <c r="H27" i="48"/>
  <c r="H33" i="48" s="1"/>
  <c r="H15" i="48"/>
  <c r="O13" i="14"/>
  <c r="N8" i="48"/>
  <c r="N26" i="48" s="1"/>
  <c r="F8" i="48"/>
  <c r="G13" i="14"/>
  <c r="K63" i="14"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<sst xmlns="http://schemas.openxmlformats.org/spreadsheetml/2006/main" count="2452" uniqueCount="922">
  <si>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</si>
  <si>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</si>
  <si>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</si>
  <si>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</si>
  <si>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</si>
  <si>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</si>
  <si>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</si>
  <si>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</si>
  <si>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</si>
  <si>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</si>
  <si>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</si>
  <si>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</si>
  <si>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</si>
  <si>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</si>
  <si>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</si>
  <si>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</si>
  <si>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</si>
  <si>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</si>
  <si>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</si>
  <si>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</si>
  <si>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</si>
  <si>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</si>
  <si>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</si>
  <si>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</si>
  <si>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</si>
  <si>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</si>
  <si>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</si>
  <si>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</si>
  <si>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</si>
  <si>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</si>
  <si>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</si>
  <si>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</si>
  <si>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</si>
  <si>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</si>
  <si>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</si>
  <si>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</si>
  <si>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</si>
  <si>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</si>
  <si>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</si>
  <si>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</si>
  <si>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</si>
  <si>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</si>
  <si>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</si>
  <si>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</si>
  <si>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</si>
  <si>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</si>
  <si>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</si>
  <si>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</si>
  <si>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</si>
  <si>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</si>
  <si>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</si>
  <si>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</si>
  <si>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</si>
  <si>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</si>
  <si>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</si>
  <si>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</si>
  <si>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</si>
  <si>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</si>
  <si>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</si>
  <si>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</si>
  <si>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</si>
  <si>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</si>
  <si>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</si>
  <si>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</si>
  <si>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</si>
  <si>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</si>
  <si>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</si>
  <si>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</si>
  <si>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</si>
  <si>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</si>
  <si>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</si>
  <si>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</si>
  <si>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</si>
  <si>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</si>
  <si>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</si>
  <si>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</si>
  <si>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</si>
  <si>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</si>
  <si>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</si>
  <si>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</si>
  <si>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</si>
  <si>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</si>
  <si>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</si>
  <si>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</si>
  <si>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</si>
  <si>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</si>
  <si>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</si>
  <si>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</si>
  <si>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</si>
  <si>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</si>
  <si>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</si>
  <si>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</si>
  <si>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</si>
  <si>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</si>
  <si>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</si>
  <si>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</si>
  <si>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</si>
  <si>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</si>
  <si>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</si>
  <si>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</si>
  <si>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</si>
  <si>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</si>
  <si>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</si>
  <si>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</si>
  <si>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</si>
  <si>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</si>
  <si>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</si>
  <si>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</si>
  <si>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</si>
  <si>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</si>
  <si>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</si>
  <si>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</si>
  <si>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</si>
  <si>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</si>
  <si>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</si>
  <si>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</si>
  <si>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</si>
  <si>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</si>
  <si>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</si>
  <si>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</si>
  <si>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</si>
  <si>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</si>
  <si>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</si>
  <si>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</si>
  <si>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</si>
  <si>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</si>
  <si>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</si>
  <si>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</si>
  <si>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</si>
  <si>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</si>
  <si>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</si>
  <si>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</si>
  <si>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</si>
  <si>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</si>
  <si>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</si>
  <si>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</si>
  <si>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</si>
  <si>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</si>
  <si>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</si>
  <si>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</si>
  <si>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</si>
  <si>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</si>
  <si>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</si>
  <si>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</si>
  <si>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</si>
  <si>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</si>
  <si>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</si>
  <si>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</si>
  <si>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</si>
  <si>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</si>
  <si>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</si>
  <si>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</si>
  <si>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</si>
  <si>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</si>
  <si>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</si>
  <si>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</si>
  <si>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</si>
  <si>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</si>
  <si>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</si>
  <si>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</si>
  <si>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</si>
  <si>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</si>
  <si>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</si>
  <si>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</si>
  <si>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</si>
  <si>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</si>
  <si>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</si>
  <si>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</si>
  <si>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</si>
  <si>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</si>
  <si>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</si>
  <si>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</si>
  <si>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</si>
  <si>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</si>
  <si>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</si>
  <si>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</si>
  <si>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</si>
  <si>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</si>
  <si>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</si>
  <si>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</si>
  <si>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</si>
  <si>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</si>
  <si>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</si>
  <si>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</si>
  <si>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</si>
  <si>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</si>
  <si>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</si>
  <si>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</si>
  <si>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</si>
  <si>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</si>
  <si>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</si>
  <si>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</si>
  <si>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</si>
  <si>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</si>
  <si>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</si>
  <si>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</si>
  <si>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</si>
  <si>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</si>
  <si>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</si>
  <si>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</si>
  <si>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</si>
  <si>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</si>
  <si>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</si>
  <si>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</si>
  <si>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</si>
  <si>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</si>
  <si>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</si>
  <si>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</si>
  <si>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</si>
  <si>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</si>
  <si>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</si>
  <si>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</si>
  <si>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</si>
  <si>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</si>
  <si>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</si>
  <si>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</si>
  <si>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</si>
  <si>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</si>
  <si>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</si>
  <si>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</si>
  <si>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</si>
  <si>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</si>
  <si>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</si>
  <si>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</si>
  <si>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</si>
  <si>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</si>
  <si>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</si>
  <si>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</si>
  <si>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</si>
  <si>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</si>
  <si>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</si>
  <si>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</si>
  <si>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</si>
  <si>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</si>
  <si>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</si>
  <si>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</si>
  <si>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</si>
  <si>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</si>
  <si>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</si>
  <si>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</si>
  <si>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</si>
  <si>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</si>
  <si>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</si>
  <si>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</si>
  <si>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</si>
  <si>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</si>
  <si>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</si>
  <si>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</si>
  <si>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</si>
  <si>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</si>
  <si>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</si>
  <si>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</si>
  <si>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</si>
  <si>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</si>
  <si>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</si>
  <si>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</si>
  <si>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</si>
  <si>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</si>
  <si>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</si>
  <si>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</si>
  <si>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</si>
  <si>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</si>
  <si>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</si>
  <si>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</si>
  <si>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</si>
  <si>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</si>
  <si>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</si>
  <si>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</si>
  <si>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</si>
  <si>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</si>
  <si>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</si>
  <si>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</si>
  <si>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</si>
  <si>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</si>
  <si>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</si>
  <si>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</si>
  <si>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</si>
  <si>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</si>
  <si>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</si>
  <si>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</si>
  <si>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</si>
  <si>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</si>
  <si>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</si>
  <si>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</si>
  <si>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</si>
  <si>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</si>
  <si>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</si>
  <si>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</si>
  <si>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</si>
  <si>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</si>
  <si>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</si>
  <si>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</si>
  <si>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</si>
  <si>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</si>
  <si>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</si>
  <si>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</si>
  <si>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</si>
  <si>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</si>
  <si>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</si>
  <si>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</si>
  <si>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</si>
  <si>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</si>
  <si>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</si>
  <si>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</si>
  <si>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</si>
  <si>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</si>
  <si>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</si>
  <si>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</si>
  <si>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</si>
  <si>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</si>
  <si>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</si>
  <si>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</si>
  <si>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</si>
  <si>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</si>
  <si>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</si>
  <si>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</si>
  <si>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</si>
  <si>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</si>
  <si>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</si>
  <si>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</si>
  <si>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</si>
  <si>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</si>
  <si>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</si>
  <si>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</si>
  <si>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</si>
  <si>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</si>
  <si>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</si>
  <si>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</si>
  <si>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</si>
  <si>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</si>
  <si>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</si>
  <si>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</si>
  <si>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</si>
  <si>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</si>
  <si>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</si>
  <si>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</si>
  <si>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</si>
  <si>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</si>
  <si>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</si>
  <si>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</si>
  <si>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</si>
  <si>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</si>
  <si>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</si>
  <si>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</si>
  <si>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</si>
  <si>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</si>
  <si>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</si>
  <si>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</si>
  <si>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</si>
  <si>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</si>
  <si>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</si>
  <si>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</si>
  <si>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</si>
  <si>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</si>
  <si>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</si>
  <si>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</si>
  <si>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</si>
  <si>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</si>
  <si>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</si>
  <si>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</si>
  <si>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</si>
  <si>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</si>
  <si>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</si>
  <si>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</si>
  <si>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</si>
  <si>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</si>
  <si>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</si>
  <si>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</si>
  <si>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</si>
  <si>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</si>
  <si>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</si>
  <si>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</si>
  <si>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</si>
  <si>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</si>
  <si>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</si>
  <si>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</si>
  <si>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</si>
  <si>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</si>
  <si>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</si>
  <si>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</si>
  <si>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</si>
  <si>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</si>
  <si>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</si>
  <si>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</si>
  <si>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</si>
  <si>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</si>
  <si>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</si>
  <si>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</si>
  <si>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</si>
  <si>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</si>
  <si>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</si>
  <si>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</si>
  <si>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</si>
  <si>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</si>
  <si>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</si>
  <si>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</si>
  <si>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</si>
  <si>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</si>
  <si>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</si>
  <si>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</si>
  <si>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</si>
  <si>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</si>
  <si>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</si>
  <si>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</si>
  <si>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</si>
  <si>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</si>
  <si>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</si>
  <si>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</si>
  <si>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</si>
  <si>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</si>
  <si>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</si>
  <si>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</si>
  <si>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</si>
  <si>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</si>
  <si>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</si>
  <si>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</si>
  <si>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</si>
  <si>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</si>
  <si>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</si>
  <si>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</si>
  <si>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</si>
  <si>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</si>
  <si>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</si>
  <si>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</si>
  <si>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</si>
  <si>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</si>
  <si>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</si>
  <si>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</si>
  <si>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</si>
  <si>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</si>
  <si>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</si>
  <si>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</si>
  <si>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</si>
  <si>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</si>
  <si>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</si>
  <si>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</si>
  <si>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</si>
  <si>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</si>
  <si>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</si>
  <si>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</si>
  <si>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</si>
  <si>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</si>
  <si>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</si>
  <si>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</si>
  <si>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</si>
  <si>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</si>
  <si>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</si>
  <si>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</si>
  <si>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</si>
  <si>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</si>
  <si>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</si>
  <si>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</si>
  <si>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</si>
  <si>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</si>
  <si>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</si>
  <si>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</si>
  <si>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</si>
  <si>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</si>
  <si>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</si>
  <si>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</si>
  <si>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</si>
  <si>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</si>
  <si>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</si>
  <si>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</si>
  <si>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</si>
  <si>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</si>
  <si>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</si>
  <si>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</si>
  <si>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</si>
  <si>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</si>
  <si>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</si>
  <si>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</si>
  <si>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</si>
  <si>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</si>
  <si>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</si>
  <si>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</si>
  <si>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</si>
  <si>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</si>
  <si>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</si>
  <si>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</si>
  <si>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</si>
  <si>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</si>
  <si>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</si>
  <si>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</si>
  <si>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</si>
  <si>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</si>
  <si>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</si>
  <si>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</si>
  <si>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</si>
  <si>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</si>
  <si>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</si>
  <si>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</si>
  <si>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</si>
  <si>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</si>
  <si>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</si>
  <si>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</si>
  <si>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</si>
  <si>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</si>
  <si>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</si>
  <si>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</si>
  <si>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</si>
  <si>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</si>
  <si>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</si>
  <si>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</si>
  <si>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</si>
  <si>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</si>
  <si>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</si>
  <si>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</si>
  <si>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</si>
  <si>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</si>
  <si>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</si>
  <si>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</si>
  <si>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</si>
  <si>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</si>
  <si>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</si>
  <si>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</si>
  <si>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</si>
  <si>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</si>
  <si>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</si>
  <si>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</si>
  <si>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</si>
  <si>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</si>
  <si>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</si>
  <si>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</si>
  <si>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</si>
  <si>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</si>
  <si>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</si>
  <si>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</si>
  <si>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</si>
  <si>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</si>
  <si>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</si>
  <si>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</si>
  <si>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</si>
  <si>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</si>
  <si>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</si>
  <si>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</si>
  <si>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</si>
  <si>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</si>
  <si>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</si>
  <si>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</si>
  <si>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</si>
  <si>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</si>
  <si>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</si>
  <si>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</si>
  <si>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</si>
  <si>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</si>
  <si>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</si>
  <si>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</si>
  <si>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</si>
  <si>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</si>
  <si>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</si>
  <si>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</si>
  <si>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</si>
  <si>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</si>
  <si>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</si>
  <si>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</si>
  <si>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</si>
  <si>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</si>
  <si>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</si>
  <si>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</si>
  <si>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</si>
  <si>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</si>
  <si>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</si>
  <si>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</si>
  <si>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</si>
  <si>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</si>
  <si>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</si>
  <si>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</si>
  <si>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</si>
  <si>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</si>
  <si>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</si>
  <si>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</si>
  <si>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</si>
  <si>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</si>
  <si>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</si>
  <si>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</si>
  <si>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</si>
  <si>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</si>
  <si>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</si>
  <si>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</si>
  <si>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</si>
  <si>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</si>
  <si>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</si>
  <si>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</si>
  <si>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</si>
  <si>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</si>
  <si>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</si>
  <si>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</si>
  <si>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</si>
  <si>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</si>
  <si>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</si>
  <si>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</si>
  <si>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</si>
  <si>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</si>
  <si>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</si>
  <si>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</si>
  <si>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</si>
  <si>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</si>
  <si>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</si>
  <si>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</si>
  <si>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</si>
  <si>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</si>
  <si>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</si>
  <si>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</si>
  <si>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</si>
  <si>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</si>
  <si>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</si>
  <si>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</si>
  <si>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</si>
  <si>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</si>
  <si>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</si>
  <si>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</si>
  <si>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</si>
  <si>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</si>
  <si>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</si>
  <si>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</si>
  <si>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</si>
  <si>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</si>
  <si>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</si>
  <si>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</si>
  <si>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</si>
  <si>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</si>
  <si>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</si>
  <si>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</si>
  <si>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</si>
  <si>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</si>
  <si>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</si>
  <si>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</si>
  <si>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</si>
  <si>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</si>
  <si>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</si>
  <si>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</si>
  <si>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</si>
  <si>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</si>
  <si>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</si>
  <si>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</si>
  <si>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</si>
  <si>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</si>
  <si>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</si>
  <si>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</si>
  <si>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</si>
  <si>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</si>
  <si>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</si>
  <si>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</si>
  <si>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</si>
  <si>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</si>
  <si>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</si>
  <si>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</si>
  <si>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</si>
  <si>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</si>
  <si>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</si>
  <si>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</si>
  <si>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</si>
  <si>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</si>
  <si>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</si>
  <si>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</si>
  <si>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</si>
  <si>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</si>
  <si>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</si>
  <si>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</si>
  <si>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</si>
  <si>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</si>
  <si>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</si>
  <si>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</si>
  <si>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</si>
  <si>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</si>
  <si>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</si>
  <si>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</si>
  <si>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</si>
  <si>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</si>
  <si>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</si>
  <si>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</si>
  <si>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</si>
  <si>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</si>
  <si>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</si>
  <si>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</si>
  <si>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</si>
  <si>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</si>
  <si>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</si>
  <si>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</si>
  <si>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</si>
  <si>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</si>
  <si>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</si>
  <si>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</si>
  <si>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</si>
  <si>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</si>
  <si>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</si>
  <si>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</si>
  <si>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</si>
  <si>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</si>
  <si>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</si>
  <si>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</si>
  <si>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</si>
  <si>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</si>
  <si>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</si>
  <si>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</si>
  <si>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</si>
  <si>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</si>
  <si>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</si>
  <si>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</si>
  <si>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</si>
  <si>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</si>
  <si>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</si>
  <si>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</si>
  <si>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</si>
  <si>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</si>
  <si>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</si>
  <si>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</si>
  <si>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</si>
  <si>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</si>
  <si>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</si>
  <si>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</si>
  <si>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</si>
  <si>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</si>
  <si>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</si>
  <si>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</si>
  <si>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</si>
  <si>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</si>
  <si>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</si>
  <si>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</si>
  <si>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</si>
  <si>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</si>
  <si>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</si>
  <si>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</si>
  <si>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</si>
  <si>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</si>
  <si>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</si>
  <si>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</si>
  <si>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</si>
  <si>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</si>
  <si>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</si>
  <si>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</si>
  <si>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</si>
  <si>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</si>
  <si>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</si>
  <si>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</si>
  <si>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</si>
  <si>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</si>
  <si>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</si>
  <si>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</si>
  <si>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</si>
  <si>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</si>
  <si>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</si>
  <si>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</si>
  <si>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</si>
  <si>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</si>
  <si>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</si>
  <si>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</si>
  <si>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</si>
  <si>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</si>
  <si>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</si>
  <si>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</si>
  <si>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</si>
  <si>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</si>
  <si>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</si>
  <si>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</si>
  <si>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</si>
  <si>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</si>
  <si>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</si>
  <si>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</si>
  <si>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</si>
  <si>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</si>
  <si>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</si>
  <si>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</si>
  <si>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</si>
  <si>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</si>
  <si>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</si>
  <si>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</si>
  <si>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</si>
  <si>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</si>
  <si>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</si>
  <si>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</si>
  <si>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</si>
  <si>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</si>
  <si>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</si>
  <si>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</si>
  <si>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</si>
  <si>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</si>
  <si>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</si>
  <si>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</si>
  <si>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</si>
  <si>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</si>
  <si>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</si>
  <si>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</si>
  <si>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</si>
  <si>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</si>
  <si>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</si>
  <si>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</si>
  <si>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</si>
  <si>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</si>
  <si>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</si>
  <si>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</si>
  <si>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</si>
  <si>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</si>
  <si>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</si>
  <si>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</si>
  <si>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</si>
  <si>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</si>
  <si>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</si>
  <si>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</si>
  <si>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</si>
  <si>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</si>
  <si>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</si>
  <si>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</si>
  <si>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</si>
  <si>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</si>
  <si>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</si>
  <si>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</si>
  <si>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</si>
  <si>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</si>
  <si>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</si>
  <si>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</si>
  <si>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</si>
  <si>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</si>
  <si>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</si>
  <si>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</si>
  <si>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</si>
  <si>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</si>
  <si>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</si>
  <si>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</si>
  <si>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</si>
  <si>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</si>
  <si>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</si>
  <si>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</si>
  <si>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</si>
  <si>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</si>
  <si>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</si>
  <si>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</si>
  <si>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</si>
  <si>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</si>
  <si>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</si>
  <si>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</si>
  <si>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</si>
  <si>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</si>
  <si>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</si>
  <si>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</si>
  <si>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</si>
  <si>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</si>
  <si>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</si>
  <si>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</si>
  <si>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</si>
  <si>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</si>
  <si>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</si>
  <si>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</si>
  <si>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</si>
  <si>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</si>
  <si>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</si>
  <si>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</si>
  <si>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</si>
  <si>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</si>
  <si>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</si>
  <si>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</si>
  <si>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</si>
  <si>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</si>
  <si>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</si>
  <si>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</si>
  <si>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</si>
  <si>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</si>
  <si>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</si>
  <si>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</si>
  <si>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</si>
  <si>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</si>
  <si>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</si>
  <si>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</si>
  <si>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</si>
  <si>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</si>
  <si>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</si>
  <si>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</si>
  <si>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</si>
  <si>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</si>
  <si>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</si>
  <si>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</si>
  <si>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</si>
  <si>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</si>
  <si>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</si>
  <si>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</si>
  <si>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</si>
  <si>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</si>
  <si>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</si>
  <si>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</si>
  <si>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</si>
  <si>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</si>
  <si>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</si>
  <si>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</si>
  <si>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</si>
  <si>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</si>
  <si>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</si>
  <si>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</si>
  <si>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</si>
  <si>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</si>
  <si>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</si>
  <si>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</si>
  <si>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</si>
  <si>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</si>
  <si>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</si>
  <si>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</si>
  <si>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</si>
  <si>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</si>
  <si>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</si>
  <si>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</si>
  <si>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</si>
  <si>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</si>
  <si>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</si>
  <si>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</si>
  <si>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</si>
  <si>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</si>
  <si>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</si>
  <si>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13008</t>
  </si>
  <si>
    <t>GEEL</t>
  </si>
  <si>
    <t>Paarden&amp;pony's 200 - 600 kg</t>
  </si>
  <si>
    <t>Paarden&amp;pony's &lt; 200 kg</t>
  </si>
  <si>
    <t>Fluvius</t>
  </si>
  <si>
    <t>referentietaak LNE (2017); Jaarverslag De Lijn</t>
  </si>
  <si>
    <t>Agrogas bvba</t>
  </si>
  <si>
    <t>Rendersvensedijk 12 , 2440 Geel</t>
  </si>
  <si>
    <t>WKK-0432 Agrogas</t>
  </si>
  <si>
    <t>interne verbrandingsmotor</t>
  </si>
  <si>
    <t>WKK interne verbrandinsgmotor (gas)</t>
  </si>
  <si>
    <t>IVEKA</t>
  </si>
  <si>
    <t>AZ St.-Dimpna</t>
  </si>
  <si>
    <t>J.B.-Stessensstraat 2 , 2440 Geel</t>
  </si>
  <si>
    <t>WKK-0318 AZ St-Dimpna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</si>
</sst>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340019.36317368463</c:v>
                </c:pt>
                <c:pt idx="1">
                  <c:v>194169.96976490752</c:v>
                </c:pt>
                <c:pt idx="2">
                  <c:v>1652.2</c:v>
                </c:pt>
                <c:pt idx="3">
                  <c:v>43128.028514008467</c:v>
                </c:pt>
                <c:pt idx="4">
                  <c:v>240541.77842058221</c:v>
                </c:pt>
                <c:pt idx="5">
                  <c:v>372753.70626568614</c:v>
                </c:pt>
                <c:pt idx="6">
                  <c:v>3749.967029113564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340019.36317368463</c:v>
                </c:pt>
                <c:pt idx="1">
                  <c:v>194169.96976490752</c:v>
                </c:pt>
                <c:pt idx="2">
                  <c:v>1652.2</c:v>
                </c:pt>
                <c:pt idx="3">
                  <c:v>43128.028514008467</c:v>
                </c:pt>
                <c:pt idx="4">
                  <c:v>240541.77842058221</c:v>
                </c:pt>
                <c:pt idx="5">
                  <c:v>372753.70626568614</c:v>
                </c:pt>
                <c:pt idx="6">
                  <c:v>3749.967029113564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61778.983835606996</c:v>
                </c:pt>
                <c:pt idx="2">
                  <c:v>35175.796080849461</c:v>
                </c:pt>
                <c:pt idx="3">
                  <c:v>286.44711151067884</c:v>
                </c:pt>
                <c:pt idx="4">
                  <c:v>3517.2764825960226</c:v>
                </c:pt>
                <c:pt idx="5">
                  <c:v>45806.921270662235</c:v>
                </c:pt>
                <c:pt idx="6">
                  <c:v>93469.472127326255</c:v>
                </c:pt>
                <c:pt idx="7">
                  <c:v>947.10741939881007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61778.983835606996</c:v>
                </c:pt>
                <c:pt idx="2">
                  <c:v>35175.796080849461</c:v>
                </c:pt>
                <c:pt idx="3">
                  <c:v>286.44711151067884</c:v>
                </c:pt>
                <c:pt idx="4">
                  <c:v>3517.2764825960226</c:v>
                </c:pt>
                <c:pt idx="5">
                  <c:v>45806.921270662235</c:v>
                </c:pt>
                <c:pt idx="6">
                  <c:v>93469.472127326255</c:v>
                </c:pt>
                <c:pt idx="7">
                  <c:v>947.10741939881007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13008</v>
      </c>
      <c r="B6" s="391"/>
      <c r="C6" s="392"/>
    </row>
    <row r="7" spans="1:7" s="389" customFormat="1" ht="15.75" customHeight="1">
      <c r="A7" s="393" t="str">
        <f>txtMunicipality</f>
        <v>GEEL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89492.903000000006</v>
      </c>
      <c r="D10" s="991">
        <f ca="1">tertiair!C16</f>
        <v>0</v>
      </c>
      <c r="E10" s="991">
        <f ca="1">tertiair!D16</f>
        <v>80457.767506475328</v>
      </c>
      <c r="F10" s="991">
        <f>tertiair!E16</f>
        <v>666.51222958731273</v>
      </c>
      <c r="G10" s="991">
        <f ca="1">tertiair!F16</f>
        <v>13268.950408137176</v>
      </c>
      <c r="H10" s="991">
        <f>tertiair!G16</f>
        <v>0</v>
      </c>
      <c r="I10" s="991">
        <f>tertiair!H16</f>
        <v>0</v>
      </c>
      <c r="J10" s="991">
        <f>tertiair!I16</f>
        <v>0</v>
      </c>
      <c r="K10" s="991">
        <f>tertiair!J16</f>
        <v>0</v>
      </c>
      <c r="L10" s="991">
        <f>tertiair!K16</f>
        <v>0</v>
      </c>
      <c r="M10" s="991">
        <f ca="1">tertiair!L16</f>
        <v>0</v>
      </c>
      <c r="N10" s="991">
        <f>tertiair!M16</f>
        <v>0</v>
      </c>
      <c r="O10" s="991">
        <f ca="1">tertiair!N16</f>
        <v>11818.509954041054</v>
      </c>
      <c r="P10" s="991">
        <f>tertiair!O16</f>
        <v>3.1266666666666669</v>
      </c>
      <c r="Q10" s="992">
        <f>tertiair!P16</f>
        <v>114.4</v>
      </c>
      <c r="R10" s="675">
        <f ca="1">SUM(C10:Q10)</f>
        <v>195822.16976490751</v>
      </c>
      <c r="S10" s="67"/>
    </row>
    <row r="11" spans="1:19" s="448" customFormat="1">
      <c r="A11" s="784" t="s">
        <v>224</v>
      </c>
      <c r="B11" s="789"/>
      <c r="C11" s="991">
        <f>huishoudens!B8</f>
        <v>66936.343399259204</v>
      </c>
      <c r="D11" s="991">
        <f>huishoudens!C8</f>
        <v>0</v>
      </c>
      <c r="E11" s="991">
        <f>huishoudens!D8</f>
        <v>137871.33235221115</v>
      </c>
      <c r="F11" s="991">
        <f>huishoudens!E8</f>
        <v>50304.786554685277</v>
      </c>
      <c r="G11" s="991">
        <f>huishoudens!F8</f>
        <v>40842.036435435082</v>
      </c>
      <c r="H11" s="991">
        <f>huishoudens!G8</f>
        <v>0</v>
      </c>
      <c r="I11" s="991">
        <f>huishoudens!H8</f>
        <v>0</v>
      </c>
      <c r="J11" s="991">
        <f>huishoudens!I8</f>
        <v>0</v>
      </c>
      <c r="K11" s="991">
        <f>huishoudens!J8</f>
        <v>0</v>
      </c>
      <c r="L11" s="991">
        <f>huishoudens!K8</f>
        <v>0</v>
      </c>
      <c r="M11" s="991">
        <f>huishoudens!L8</f>
        <v>0</v>
      </c>
      <c r="N11" s="991">
        <f>huishoudens!M8</f>
        <v>0</v>
      </c>
      <c r="O11" s="991">
        <f>huishoudens!N8</f>
        <v>40996.791098760586</v>
      </c>
      <c r="P11" s="991">
        <f>huishoudens!O8</f>
        <v>684.74000000000012</v>
      </c>
      <c r="Q11" s="992">
        <f>huishoudens!P8</f>
        <v>2383.3333333333335</v>
      </c>
      <c r="R11" s="675">
        <f>SUM(C11:Q11)</f>
        <v>340019.36317368463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105325.85401</v>
      </c>
      <c r="D13" s="991">
        <f>industrie!C18</f>
        <v>0</v>
      </c>
      <c r="E13" s="991">
        <f>industrie!D18</f>
        <v>115175.43293971191</v>
      </c>
      <c r="F13" s="991">
        <f>industrie!E18</f>
        <v>3116.9553065710315</v>
      </c>
      <c r="G13" s="991">
        <f>industrie!F18</f>
        <v>13195.547262885117</v>
      </c>
      <c r="H13" s="991">
        <f>industrie!G18</f>
        <v>0</v>
      </c>
      <c r="I13" s="991">
        <f>industrie!H18</f>
        <v>0</v>
      </c>
      <c r="J13" s="991">
        <f>industrie!I18</f>
        <v>0</v>
      </c>
      <c r="K13" s="991">
        <f>industrie!J18</f>
        <v>141.38191526394613</v>
      </c>
      <c r="L13" s="991">
        <f>industrie!K18</f>
        <v>0</v>
      </c>
      <c r="M13" s="991">
        <f>industrie!L18</f>
        <v>0</v>
      </c>
      <c r="N13" s="991">
        <f>industrie!M18</f>
        <v>0</v>
      </c>
      <c r="O13" s="991">
        <f>industrie!N18</f>
        <v>3586.6069861501983</v>
      </c>
      <c r="P13" s="991">
        <f>industrie!O18</f>
        <v>0</v>
      </c>
      <c r="Q13" s="992">
        <f>industrie!P18</f>
        <v>0</v>
      </c>
      <c r="R13" s="675">
        <f>SUM(C13:Q13)</f>
        <v>240541.77842058221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261755.1004092592</v>
      </c>
      <c r="D16" s="707">
        <f t="shared" ref="D16:R16" ca="1" si="0">SUM(D9:D15)</f>
        <v>0</v>
      </c>
      <c r="E16" s="707">
        <f t="shared" ca="1" si="0"/>
        <v>333504.5327983984</v>
      </c>
      <c r="F16" s="707">
        <f t="shared" si="0"/>
        <v>54088.25409084362</v>
      </c>
      <c r="G16" s="707">
        <f t="shared" ca="1" si="0"/>
        <v>67306.534106457373</v>
      </c>
      <c r="H16" s="707">
        <f t="shared" si="0"/>
        <v>0</v>
      </c>
      <c r="I16" s="707">
        <f t="shared" si="0"/>
        <v>0</v>
      </c>
      <c r="J16" s="707">
        <f t="shared" si="0"/>
        <v>0</v>
      </c>
      <c r="K16" s="707">
        <f t="shared" si="0"/>
        <v>141.38191526394613</v>
      </c>
      <c r="L16" s="707">
        <f t="shared" si="0"/>
        <v>0</v>
      </c>
      <c r="M16" s="707">
        <f t="shared" ca="1" si="0"/>
        <v>0</v>
      </c>
      <c r="N16" s="707">
        <f t="shared" si="0"/>
        <v>0</v>
      </c>
      <c r="O16" s="707">
        <f t="shared" ca="1" si="0"/>
        <v>56401.908038951835</v>
      </c>
      <c r="P16" s="707">
        <f t="shared" si="0"/>
        <v>687.86666666666679</v>
      </c>
      <c r="Q16" s="707">
        <f t="shared" si="0"/>
        <v>2497.7333333333336</v>
      </c>
      <c r="R16" s="707">
        <f t="shared" ca="1" si="0"/>
        <v>776383.31135917432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3547.2187992464796</v>
      </c>
      <c r="I19" s="991">
        <f>transport!H54</f>
        <v>0</v>
      </c>
      <c r="J19" s="991">
        <f>transport!I54</f>
        <v>0</v>
      </c>
      <c r="K19" s="991">
        <f>transport!J54</f>
        <v>0</v>
      </c>
      <c r="L19" s="991">
        <f>transport!K54</f>
        <v>0</v>
      </c>
      <c r="M19" s="991">
        <f>transport!L54</f>
        <v>0</v>
      </c>
      <c r="N19" s="991">
        <f>transport!M54</f>
        <v>202.74822986708432</v>
      </c>
      <c r="O19" s="991">
        <f>transport!N54</f>
        <v>0</v>
      </c>
      <c r="P19" s="991">
        <f>transport!O54</f>
        <v>0</v>
      </c>
      <c r="Q19" s="992">
        <f>transport!P54</f>
        <v>0</v>
      </c>
      <c r="R19" s="675">
        <f>SUM(C19:Q19)</f>
        <v>3749.967029113564</v>
      </c>
      <c r="S19" s="67"/>
    </row>
    <row r="20" spans="1:19" s="448" customFormat="1">
      <c r="A20" s="784" t="s">
        <v>306</v>
      </c>
      <c r="B20" s="789"/>
      <c r="C20" s="991">
        <f>transport!B14</f>
        <v>43.834147723145172</v>
      </c>
      <c r="D20" s="991">
        <f>transport!C14</f>
        <v>0</v>
      </c>
      <c r="E20" s="991">
        <f>transport!D14</f>
        <v>84.438535609604372</v>
      </c>
      <c r="F20" s="991">
        <f>transport!E14</f>
        <v>844.49857852261482</v>
      </c>
      <c r="G20" s="991">
        <f>transport!F14</f>
        <v>0</v>
      </c>
      <c r="H20" s="991">
        <f>transport!G14</f>
        <v>301004.6812901072</v>
      </c>
      <c r="I20" s="991">
        <f>transport!H14</f>
        <v>51746.444968936121</v>
      </c>
      <c r="J20" s="991">
        <f>transport!I14</f>
        <v>0</v>
      </c>
      <c r="K20" s="991">
        <f>transport!J14</f>
        <v>0</v>
      </c>
      <c r="L20" s="991">
        <f>transport!K14</f>
        <v>0</v>
      </c>
      <c r="M20" s="991">
        <f>transport!L14</f>
        <v>0</v>
      </c>
      <c r="N20" s="991">
        <f>transport!M14</f>
        <v>19029.808744787428</v>
      </c>
      <c r="O20" s="991">
        <f>transport!N14</f>
        <v>0</v>
      </c>
      <c r="P20" s="991">
        <f>transport!O14</f>
        <v>0</v>
      </c>
      <c r="Q20" s="992">
        <f>transport!P14</f>
        <v>0</v>
      </c>
      <c r="R20" s="675">
        <f>SUM(C20:Q20)</f>
        <v>372753.70626568614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43.834147723145172</v>
      </c>
      <c r="D22" s="787">
        <f t="shared" ref="D22:R22" si="1">SUM(D18:D21)</f>
        <v>0</v>
      </c>
      <c r="E22" s="787">
        <f t="shared" si="1"/>
        <v>84.438535609604372</v>
      </c>
      <c r="F22" s="787">
        <f t="shared" si="1"/>
        <v>844.49857852261482</v>
      </c>
      <c r="G22" s="787">
        <f t="shared" si="1"/>
        <v>0</v>
      </c>
      <c r="H22" s="787">
        <f t="shared" si="1"/>
        <v>304551.90008935367</v>
      </c>
      <c r="I22" s="787">
        <f t="shared" si="1"/>
        <v>51746.444968936121</v>
      </c>
      <c r="J22" s="787">
        <f t="shared" si="1"/>
        <v>0</v>
      </c>
      <c r="K22" s="787">
        <f t="shared" si="1"/>
        <v>0</v>
      </c>
      <c r="L22" s="787">
        <f t="shared" si="1"/>
        <v>0</v>
      </c>
      <c r="M22" s="787">
        <f t="shared" si="1"/>
        <v>0</v>
      </c>
      <c r="N22" s="787">
        <f t="shared" si="1"/>
        <v>19232.556974654512</v>
      </c>
      <c r="O22" s="787">
        <f t="shared" si="1"/>
        <v>0</v>
      </c>
      <c r="P22" s="787">
        <f t="shared" si="1"/>
        <v>0</v>
      </c>
      <c r="Q22" s="787">
        <f t="shared" si="1"/>
        <v>0</v>
      </c>
      <c r="R22" s="787">
        <f t="shared" si="1"/>
        <v>376503.67329479969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3776.2221</v>
      </c>
      <c r="D24" s="991">
        <f>+landbouw!C8</f>
        <v>28703.571428571428</v>
      </c>
      <c r="E24" s="991">
        <f>+landbouw!D8</f>
        <v>453.32620675618841</v>
      </c>
      <c r="F24" s="991">
        <f>+landbouw!E8</f>
        <v>34.976950717401699</v>
      </c>
      <c r="G24" s="991">
        <f>+landbouw!F8</f>
        <v>9580.9948372718191</v>
      </c>
      <c r="H24" s="991">
        <f>+landbouw!G8</f>
        <v>0</v>
      </c>
      <c r="I24" s="991">
        <f>+landbouw!H8</f>
        <v>0</v>
      </c>
      <c r="J24" s="991">
        <f>+landbouw!I8</f>
        <v>0</v>
      </c>
      <c r="K24" s="991">
        <f>+landbouw!J8</f>
        <v>578.9369906916337</v>
      </c>
      <c r="L24" s="991">
        <f>+landbouw!K8</f>
        <v>0</v>
      </c>
      <c r="M24" s="991">
        <f>+landbouw!L8</f>
        <v>0</v>
      </c>
      <c r="N24" s="991">
        <f>+landbouw!M8</f>
        <v>0</v>
      </c>
      <c r="O24" s="991">
        <f>+landbouw!N8</f>
        <v>0</v>
      </c>
      <c r="P24" s="991">
        <f>+landbouw!O8</f>
        <v>0</v>
      </c>
      <c r="Q24" s="992">
        <f>+landbouw!P8</f>
        <v>0</v>
      </c>
      <c r="R24" s="675">
        <f>SUM(C24:Q24)</f>
        <v>43128.028514008467</v>
      </c>
      <c r="S24" s="67"/>
    </row>
    <row r="25" spans="1:19" s="448" customFormat="1" ht="15" thickBot="1">
      <c r="A25" s="806" t="s">
        <v>849</v>
      </c>
      <c r="B25" s="994"/>
      <c r="C25" s="995">
        <f>IF(Onbekend_ele_kWh="---",0,Onbekend_ele_kWh)/1000+IF(REST_rest_ele_kWh="---",0,REST_rest_ele_kWh)/1000</f>
        <v>3386.5079999999998</v>
      </c>
      <c r="D25" s="995"/>
      <c r="E25" s="995">
        <f>IF(onbekend_gas_kWh="---",0,onbekend_gas_kWh)/1000+IF(REST_rest_gas_kWh="---",0,REST_rest_gas_kWh)/1000</f>
        <v>6000.9299792494503</v>
      </c>
      <c r="F25" s="995"/>
      <c r="G25" s="995"/>
      <c r="H25" s="995"/>
      <c r="I25" s="995"/>
      <c r="J25" s="995"/>
      <c r="K25" s="995"/>
      <c r="L25" s="995"/>
      <c r="M25" s="995"/>
      <c r="N25" s="995"/>
      <c r="O25" s="995"/>
      <c r="P25" s="995"/>
      <c r="Q25" s="996"/>
      <c r="R25" s="675">
        <f>SUM(C25:Q25)</f>
        <v>9387.437979249451</v>
      </c>
      <c r="S25" s="67"/>
    </row>
    <row r="26" spans="1:19" s="448" customFormat="1" ht="15.75" thickBot="1">
      <c r="A26" s="680" t="s">
        <v>850</v>
      </c>
      <c r="B26" s="792"/>
      <c r="C26" s="787">
        <f>SUM(C24:C25)</f>
        <v>7162.7300999999998</v>
      </c>
      <c r="D26" s="787">
        <f t="shared" ref="D26:R26" si="2">SUM(D24:D25)</f>
        <v>28703.571428571428</v>
      </c>
      <c r="E26" s="787">
        <f t="shared" si="2"/>
        <v>6454.2561860056385</v>
      </c>
      <c r="F26" s="787">
        <f t="shared" si="2"/>
        <v>34.976950717401699</v>
      </c>
      <c r="G26" s="787">
        <f t="shared" si="2"/>
        <v>9580.9948372718191</v>
      </c>
      <c r="H26" s="787">
        <f t="shared" si="2"/>
        <v>0</v>
      </c>
      <c r="I26" s="787">
        <f t="shared" si="2"/>
        <v>0</v>
      </c>
      <c r="J26" s="787">
        <f t="shared" si="2"/>
        <v>0</v>
      </c>
      <c r="K26" s="787">
        <f t="shared" si="2"/>
        <v>578.9369906916337</v>
      </c>
      <c r="L26" s="787">
        <f t="shared" si="2"/>
        <v>0</v>
      </c>
      <c r="M26" s="787">
        <f t="shared" si="2"/>
        <v>0</v>
      </c>
      <c r="N26" s="787">
        <f t="shared" si="2"/>
        <v>0</v>
      </c>
      <c r="O26" s="787">
        <f t="shared" si="2"/>
        <v>0</v>
      </c>
      <c r="P26" s="787">
        <f t="shared" si="2"/>
        <v>0</v>
      </c>
      <c r="Q26" s="787">
        <f t="shared" si="2"/>
        <v>0</v>
      </c>
      <c r="R26" s="787">
        <f t="shared" si="2"/>
        <v>52515.466493257918</v>
      </c>
      <c r="S26" s="67"/>
    </row>
    <row r="27" spans="1:19" s="448" customFormat="1" ht="17.25" thickTop="1" thickBot="1">
      <c r="A27" s="681" t="s">
        <v>115</v>
      </c>
      <c r="B27" s="780"/>
      <c r="C27" s="682">
        <f ca="1">C22+C16+C26</f>
        <v>268961.66465698235</v>
      </c>
      <c r="D27" s="682">
        <f t="shared" ref="D27:R27" ca="1" si="3">D22+D16+D26</f>
        <v>28703.571428571428</v>
      </c>
      <c r="E27" s="682">
        <f t="shared" ca="1" si="3"/>
        <v>340043.22752001369</v>
      </c>
      <c r="F27" s="682">
        <f t="shared" si="3"/>
        <v>54967.729620083635</v>
      </c>
      <c r="G27" s="682">
        <f t="shared" ca="1" si="3"/>
        <v>76887.528943729194</v>
      </c>
      <c r="H27" s="682">
        <f t="shared" si="3"/>
        <v>304551.90008935367</v>
      </c>
      <c r="I27" s="682">
        <f t="shared" si="3"/>
        <v>51746.444968936121</v>
      </c>
      <c r="J27" s="682">
        <f t="shared" si="3"/>
        <v>0</v>
      </c>
      <c r="K27" s="682">
        <f t="shared" si="3"/>
        <v>720.31890595557979</v>
      </c>
      <c r="L27" s="682">
        <f t="shared" si="3"/>
        <v>0</v>
      </c>
      <c r="M27" s="682">
        <f t="shared" ca="1" si="3"/>
        <v>0</v>
      </c>
      <c r="N27" s="682">
        <f t="shared" si="3"/>
        <v>19232.556974654512</v>
      </c>
      <c r="O27" s="682">
        <f t="shared" ca="1" si="3"/>
        <v>56401.908038951835</v>
      </c>
      <c r="P27" s="682">
        <f t="shared" si="3"/>
        <v>687.86666666666679</v>
      </c>
      <c r="Q27" s="682">
        <f t="shared" si="3"/>
        <v>2497.7333333333336</v>
      </c>
      <c r="R27" s="682">
        <f t="shared" ca="1" si="3"/>
        <v>1205402.451147232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15515.666120963178</v>
      </c>
      <c r="D40" s="991">
        <f ca="1">tertiair!C20</f>
        <v>0</v>
      </c>
      <c r="E40" s="991">
        <f ca="1">tertiair!D20</f>
        <v>16252.469036308017</v>
      </c>
      <c r="F40" s="991">
        <f>tertiair!E20</f>
        <v>151.29827611631998</v>
      </c>
      <c r="G40" s="991">
        <f ca="1">tertiair!F20</f>
        <v>3542.8097589726262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35462.24319236014</v>
      </c>
    </row>
    <row r="41" spans="1:18">
      <c r="A41" s="797" t="s">
        <v>224</v>
      </c>
      <c r="B41" s="804"/>
      <c r="C41" s="991">
        <f ca="1">huishoudens!B12</f>
        <v>11604.964424285614</v>
      </c>
      <c r="D41" s="991">
        <f ca="1">huishoudens!C12</f>
        <v>0</v>
      </c>
      <c r="E41" s="991">
        <f>huishoudens!D12</f>
        <v>27850.009135146654</v>
      </c>
      <c r="F41" s="991">
        <f>huishoudens!E12</f>
        <v>11419.186547913558</v>
      </c>
      <c r="G41" s="991">
        <f>huishoudens!F12</f>
        <v>10904.823728261168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61778.983835606996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18260.674645055045</v>
      </c>
      <c r="D43" s="991">
        <f ca="1">industrie!C22</f>
        <v>0</v>
      </c>
      <c r="E43" s="991">
        <f>industrie!D22</f>
        <v>23265.437453821807</v>
      </c>
      <c r="F43" s="991">
        <f>industrie!E22</f>
        <v>707.54885459162415</v>
      </c>
      <c r="G43" s="991">
        <f>industrie!F22</f>
        <v>3523.2111191903264</v>
      </c>
      <c r="H43" s="991">
        <f>industrie!G22</f>
        <v>0</v>
      </c>
      <c r="I43" s="991">
        <f>industrie!H22</f>
        <v>0</v>
      </c>
      <c r="J43" s="991">
        <f>industrie!I22</f>
        <v>0</v>
      </c>
      <c r="K43" s="991">
        <f>industrie!J22</f>
        <v>50.049198003436928</v>
      </c>
      <c r="L43" s="991">
        <f>industrie!K22</f>
        <v>0</v>
      </c>
      <c r="M43" s="991">
        <f>industrie!L22</f>
        <v>0</v>
      </c>
      <c r="N43" s="991">
        <f>industrie!M22</f>
        <v>0</v>
      </c>
      <c r="O43" s="991">
        <f>industrie!N22</f>
        <v>0</v>
      </c>
      <c r="P43" s="991">
        <f>industrie!O22</f>
        <v>0</v>
      </c>
      <c r="Q43" s="749">
        <f>industrie!P22</f>
        <v>0</v>
      </c>
      <c r="R43" s="824">
        <f t="shared" ca="1" si="4"/>
        <v>45806.921270662235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45381.305190303843</v>
      </c>
      <c r="D46" s="707">
        <f t="shared" ref="D46:Q46" ca="1" si="5">SUM(D39:D45)</f>
        <v>0</v>
      </c>
      <c r="E46" s="707">
        <f t="shared" ca="1" si="5"/>
        <v>67367.915625276481</v>
      </c>
      <c r="F46" s="707">
        <f t="shared" si="5"/>
        <v>12278.033678621501</v>
      </c>
      <c r="G46" s="707">
        <f t="shared" ca="1" si="5"/>
        <v>17970.844606424122</v>
      </c>
      <c r="H46" s="707">
        <f t="shared" si="5"/>
        <v>0</v>
      </c>
      <c r="I46" s="707">
        <f t="shared" si="5"/>
        <v>0</v>
      </c>
      <c r="J46" s="707">
        <f t="shared" si="5"/>
        <v>0</v>
      </c>
      <c r="K46" s="707">
        <f t="shared" si="5"/>
        <v>50.049198003436928</v>
      </c>
      <c r="L46" s="707">
        <f t="shared" si="5"/>
        <v>0</v>
      </c>
      <c r="M46" s="707">
        <f t="shared" ca="1" si="5"/>
        <v>0</v>
      </c>
      <c r="N46" s="707">
        <f t="shared" si="5"/>
        <v>0</v>
      </c>
      <c r="O46" s="707">
        <f t="shared" ca="1" si="5"/>
        <v>0</v>
      </c>
      <c r="P46" s="707">
        <f t="shared" si="5"/>
        <v>0</v>
      </c>
      <c r="Q46" s="707">
        <f t="shared" si="5"/>
        <v>0</v>
      </c>
      <c r="R46" s="707">
        <f ca="1">SUM(R39:R45)</f>
        <v>143048.14829862938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947.10741939881007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947.10741939881007</v>
      </c>
    </row>
    <row r="50" spans="1:18">
      <c r="A50" s="800" t="s">
        <v>306</v>
      </c>
      <c r="B50" s="810"/>
      <c r="C50" s="678">
        <f ca="1">transport!B18</f>
        <v>7.5996640847520469</v>
      </c>
      <c r="D50" s="678">
        <f>transport!C18</f>
        <v>0</v>
      </c>
      <c r="E50" s="678">
        <f>transport!D18</f>
        <v>17.056584193140083</v>
      </c>
      <c r="F50" s="678">
        <f>transport!E18</f>
        <v>191.70117732463356</v>
      </c>
      <c r="G50" s="678">
        <f>transport!F18</f>
        <v>0</v>
      </c>
      <c r="H50" s="678">
        <f>transport!G18</f>
        <v>80368.249904458629</v>
      </c>
      <c r="I50" s="678">
        <f>transport!H18</f>
        <v>12884.864797265094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93469.472127326255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7.5996640847520469</v>
      </c>
      <c r="D52" s="707">
        <f t="shared" ref="D52:Q52" ca="1" si="6">SUM(D48:D51)</f>
        <v>0</v>
      </c>
      <c r="E52" s="707">
        <f t="shared" si="6"/>
        <v>17.056584193140083</v>
      </c>
      <c r="F52" s="707">
        <f t="shared" si="6"/>
        <v>191.70117732463356</v>
      </c>
      <c r="G52" s="707">
        <f t="shared" si="6"/>
        <v>0</v>
      </c>
      <c r="H52" s="707">
        <f t="shared" si="6"/>
        <v>81315.357323857446</v>
      </c>
      <c r="I52" s="707">
        <f t="shared" si="6"/>
        <v>12884.864797265094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94416.579546725072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654.695504762008</v>
      </c>
      <c r="D54" s="678">
        <f ca="1">+landbouw!C12</f>
        <v>0</v>
      </c>
      <c r="E54" s="678">
        <f>+landbouw!D12</f>
        <v>91.571893764750058</v>
      </c>
      <c r="F54" s="678">
        <f>+landbouw!E12</f>
        <v>7.9397678128501861</v>
      </c>
      <c r="G54" s="678">
        <f>+landbouw!F12</f>
        <v>2558.1256215515759</v>
      </c>
      <c r="H54" s="678">
        <f>+landbouw!G12</f>
        <v>0</v>
      </c>
      <c r="I54" s="678">
        <f>+landbouw!H12</f>
        <v>0</v>
      </c>
      <c r="J54" s="678">
        <f>+landbouw!I12</f>
        <v>0</v>
      </c>
      <c r="K54" s="678">
        <f>+landbouw!J12</f>
        <v>204.94369470483832</v>
      </c>
      <c r="L54" s="678">
        <f>+landbouw!K12</f>
        <v>0</v>
      </c>
      <c r="M54" s="678">
        <f>+landbouw!L12</f>
        <v>0</v>
      </c>
      <c r="N54" s="678">
        <f>+landbouw!M12</f>
        <v>0</v>
      </c>
      <c r="O54" s="678">
        <f>+landbouw!N12</f>
        <v>0</v>
      </c>
      <c r="P54" s="678">
        <f>+landbouw!O12</f>
        <v>0</v>
      </c>
      <c r="Q54" s="679">
        <f>+landbouw!P12</f>
        <v>0</v>
      </c>
      <c r="R54" s="706">
        <f ca="1">SUM(C54:Q54)</f>
        <v>3517.2764825960226</v>
      </c>
    </row>
    <row r="55" spans="1:18" ht="15" thickBot="1">
      <c r="A55" s="800" t="s">
        <v>849</v>
      </c>
      <c r="B55" s="810"/>
      <c r="C55" s="678">
        <f ca="1">C25*'EF ele_warmte'!B12</f>
        <v>587.12954527769386</v>
      </c>
      <c r="D55" s="678"/>
      <c r="E55" s="678">
        <f>E25*EF_CO2_aardgas</f>
        <v>1212.187855808389</v>
      </c>
      <c r="F55" s="678"/>
      <c r="G55" s="678"/>
      <c r="H55" s="678"/>
      <c r="I55" s="678"/>
      <c r="J55" s="678"/>
      <c r="K55" s="678"/>
      <c r="L55" s="678"/>
      <c r="M55" s="678"/>
      <c r="N55" s="678"/>
      <c r="O55" s="678"/>
      <c r="P55" s="678"/>
      <c r="Q55" s="679"/>
      <c r="R55" s="706">
        <f ca="1">SUM(C55:Q55)</f>
        <v>1799.317401086083</v>
      </c>
    </row>
    <row r="56" spans="1:18" ht="15.75" thickBot="1">
      <c r="A56" s="798" t="s">
        <v>850</v>
      </c>
      <c r="B56" s="811"/>
      <c r="C56" s="707">
        <f ca="1">SUM(C54:C55)</f>
        <v>1241.8250500397019</v>
      </c>
      <c r="D56" s="707">
        <f t="shared" ref="D56:Q56" ca="1" si="7">SUM(D54:D55)</f>
        <v>0</v>
      </c>
      <c r="E56" s="707">
        <f t="shared" si="7"/>
        <v>1303.7597495731391</v>
      </c>
      <c r="F56" s="707">
        <f t="shared" si="7"/>
        <v>7.9397678128501861</v>
      </c>
      <c r="G56" s="707">
        <f t="shared" si="7"/>
        <v>2558.1256215515759</v>
      </c>
      <c r="H56" s="707">
        <f t="shared" si="7"/>
        <v>0</v>
      </c>
      <c r="I56" s="707">
        <f t="shared" si="7"/>
        <v>0</v>
      </c>
      <c r="J56" s="707">
        <f t="shared" si="7"/>
        <v>0</v>
      </c>
      <c r="K56" s="707">
        <f t="shared" si="7"/>
        <v>204.94369470483832</v>
      </c>
      <c r="L56" s="707">
        <f t="shared" si="7"/>
        <v>0</v>
      </c>
      <c r="M56" s="707">
        <f t="shared" si="7"/>
        <v>0</v>
      </c>
      <c r="N56" s="707">
        <f t="shared" si="7"/>
        <v>0</v>
      </c>
      <c r="O56" s="707">
        <f t="shared" si="7"/>
        <v>0</v>
      </c>
      <c r="P56" s="707">
        <f t="shared" si="7"/>
        <v>0</v>
      </c>
      <c r="Q56" s="708">
        <f t="shared" si="7"/>
        <v>0</v>
      </c>
      <c r="R56" s="709">
        <f ca="1">SUM(R54:R55)</f>
        <v>5316.593883682106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46630.729904428299</v>
      </c>
      <c r="D61" s="715">
        <f t="shared" ref="D61:Q61" ca="1" si="8">D46+D52+D56</f>
        <v>0</v>
      </c>
      <c r="E61" s="715">
        <f t="shared" ca="1" si="8"/>
        <v>68688.731959042765</v>
      </c>
      <c r="F61" s="715">
        <f t="shared" si="8"/>
        <v>12477.674623758985</v>
      </c>
      <c r="G61" s="715">
        <f t="shared" ca="1" si="8"/>
        <v>20528.970227975697</v>
      </c>
      <c r="H61" s="715">
        <f t="shared" si="8"/>
        <v>81315.357323857446</v>
      </c>
      <c r="I61" s="715">
        <f t="shared" si="8"/>
        <v>12884.864797265094</v>
      </c>
      <c r="J61" s="715">
        <f t="shared" si="8"/>
        <v>0</v>
      </c>
      <c r="K61" s="715">
        <f t="shared" si="8"/>
        <v>254.99289270827524</v>
      </c>
      <c r="L61" s="715">
        <f t="shared" si="8"/>
        <v>0</v>
      </c>
      <c r="M61" s="715">
        <f t="shared" ca="1" si="8"/>
        <v>0</v>
      </c>
      <c r="N61" s="715">
        <f t="shared" si="8"/>
        <v>0</v>
      </c>
      <c r="O61" s="715">
        <f t="shared" ca="1" si="8"/>
        <v>0</v>
      </c>
      <c r="P61" s="715">
        <f t="shared" si="8"/>
        <v>0</v>
      </c>
      <c r="Q61" s="715">
        <f t="shared" si="8"/>
        <v>0</v>
      </c>
      <c r="R61" s="715">
        <f ca="1">R46+R52+R56</f>
        <v>242781.32172903657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0.17337314581205596</v>
      </c>
      <c r="D63" s="756">
        <f t="shared" ca="1" si="9"/>
        <v>0</v>
      </c>
      <c r="E63" s="1002">
        <f t="shared" ca="1" si="9"/>
        <v>0.20199999999999999</v>
      </c>
      <c r="F63" s="756">
        <f t="shared" si="9"/>
        <v>0.22700000000000001</v>
      </c>
      <c r="G63" s="756">
        <f t="shared" ca="1" si="9"/>
        <v>0.26700000000000002</v>
      </c>
      <c r="H63" s="756">
        <f t="shared" si="9"/>
        <v>0.26700000000000007</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16117.853777307973</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21752.533031582552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20092.5</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23638.23529411765</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57962.886808890529</v>
      </c>
      <c r="C78" s="730">
        <f>SUM(C72:C77)</f>
        <v>0</v>
      </c>
      <c r="D78" s="731">
        <f t="shared" ref="D78:H78" si="10">SUM(D76:D77)</f>
        <v>0</v>
      </c>
      <c r="E78" s="731">
        <f t="shared" si="10"/>
        <v>0</v>
      </c>
      <c r="F78" s="731">
        <f t="shared" si="10"/>
        <v>0</v>
      </c>
      <c r="G78" s="731">
        <f t="shared" si="10"/>
        <v>0</v>
      </c>
      <c r="H78" s="731">
        <f t="shared" si="10"/>
        <v>0</v>
      </c>
      <c r="I78" s="731">
        <f>SUM(I76:I77)</f>
        <v>0</v>
      </c>
      <c r="J78" s="731">
        <f>SUM(J76:J77)</f>
        <v>23638.23529411765</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28703.571428571428</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33768.907563025212</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28703.571428571428</v>
      </c>
      <c r="C90" s="730">
        <f>SUM(C87:C89)</f>
        <v>0</v>
      </c>
      <c r="D90" s="730">
        <f t="shared" ref="D90:H90" si="12">SUM(D87:D89)</f>
        <v>0</v>
      </c>
      <c r="E90" s="730">
        <f t="shared" si="12"/>
        <v>0</v>
      </c>
      <c r="F90" s="730">
        <f t="shared" si="12"/>
        <v>0</v>
      </c>
      <c r="G90" s="730">
        <f t="shared" si="12"/>
        <v>0</v>
      </c>
      <c r="H90" s="730">
        <f t="shared" si="12"/>
        <v>0</v>
      </c>
      <c r="I90" s="730">
        <f>SUM(I87:I89)</f>
        <v>0</v>
      </c>
      <c r="J90" s="730">
        <f>SUM(J87:J89)</f>
        <v>33768.907563025212</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66936.343399259204</v>
      </c>
      <c r="C4" s="452">
        <f>huishoudens!C8</f>
        <v>0</v>
      </c>
      <c r="D4" s="452">
        <f>huishoudens!D8</f>
        <v>137871.33235221115</v>
      </c>
      <c r="E4" s="452">
        <f>huishoudens!E8</f>
        <v>50304.786554685277</v>
      </c>
      <c r="F4" s="452">
        <f>huishoudens!F8</f>
        <v>40842.036435435082</v>
      </c>
      <c r="G4" s="452">
        <f>huishoudens!G8</f>
        <v>0</v>
      </c>
      <c r="H4" s="452">
        <f>huishoudens!H8</f>
        <v>0</v>
      </c>
      <c r="I4" s="452">
        <f>huishoudens!I8</f>
        <v>0</v>
      </c>
      <c r="J4" s="452">
        <f>huishoudens!J8</f>
        <v>0</v>
      </c>
      <c r="K4" s="452">
        <f>huishoudens!K8</f>
        <v>0</v>
      </c>
      <c r="L4" s="452">
        <f>huishoudens!L8</f>
        <v>0</v>
      </c>
      <c r="M4" s="452">
        <f>huishoudens!M8</f>
        <v>0</v>
      </c>
      <c r="N4" s="452">
        <f>huishoudens!N8</f>
        <v>40996.791098760586</v>
      </c>
      <c r="O4" s="452">
        <f>huishoudens!O8</f>
        <v>684.74000000000012</v>
      </c>
      <c r="P4" s="453">
        <f>huishoudens!P8</f>
        <v>2383.3333333333335</v>
      </c>
      <c r="Q4" s="454">
        <f>SUM(B4:P4)</f>
        <v>340019.36317368463</v>
      </c>
    </row>
    <row r="5" spans="1:17">
      <c r="A5" s="451" t="s">
        <v>155</v>
      </c>
      <c r="B5" s="452">
        <f ca="1">tertiair!B16</f>
        <v>87840.703000000009</v>
      </c>
      <c r="C5" s="452">
        <f ca="1">tertiair!C16</f>
        <v>0</v>
      </c>
      <c r="D5" s="452">
        <f ca="1">tertiair!D16</f>
        <v>80457.767506475328</v>
      </c>
      <c r="E5" s="452">
        <f>tertiair!E16</f>
        <v>666.51222958731273</v>
      </c>
      <c r="F5" s="452">
        <f ca="1">tertiair!F16</f>
        <v>13268.950408137176</v>
      </c>
      <c r="G5" s="452">
        <f>tertiair!G16</f>
        <v>0</v>
      </c>
      <c r="H5" s="452">
        <f>tertiair!H16</f>
        <v>0</v>
      </c>
      <c r="I5" s="452">
        <f>tertiair!I16</f>
        <v>0</v>
      </c>
      <c r="J5" s="452">
        <f>tertiair!J16</f>
        <v>0</v>
      </c>
      <c r="K5" s="452">
        <f>tertiair!K16</f>
        <v>0</v>
      </c>
      <c r="L5" s="452">
        <f ca="1">tertiair!L16</f>
        <v>0</v>
      </c>
      <c r="M5" s="452">
        <f>tertiair!M16</f>
        <v>0</v>
      </c>
      <c r="N5" s="452">
        <f ca="1">tertiair!N16</f>
        <v>11818.509954041054</v>
      </c>
      <c r="O5" s="452">
        <f>tertiair!O16</f>
        <v>3.1266666666666669</v>
      </c>
      <c r="P5" s="453">
        <f>tertiair!P16</f>
        <v>114.4</v>
      </c>
      <c r="Q5" s="451">
        <f t="shared" ref="Q5:Q14" ca="1" si="0">SUM(B5:P5)</f>
        <v>194169.96976490752</v>
      </c>
    </row>
    <row r="6" spans="1:17">
      <c r="A6" s="451" t="s">
        <v>193</v>
      </c>
      <c r="B6" s="452">
        <f>'openbare verlichting'!B8</f>
        <v>1652.2</v>
      </c>
      <c r="C6" s="452"/>
      <c r="D6" s="452"/>
      <c r="E6" s="452"/>
      <c r="F6" s="452"/>
      <c r="G6" s="452"/>
      <c r="H6" s="452"/>
      <c r="I6" s="452"/>
      <c r="J6" s="452"/>
      <c r="K6" s="452"/>
      <c r="L6" s="452"/>
      <c r="M6" s="452"/>
      <c r="N6" s="452"/>
      <c r="O6" s="452"/>
      <c r="P6" s="453"/>
      <c r="Q6" s="451">
        <f t="shared" si="0"/>
        <v>1652.2</v>
      </c>
    </row>
    <row r="7" spans="1:17">
      <c r="A7" s="451" t="s">
        <v>111</v>
      </c>
      <c r="B7" s="452">
        <f>landbouw!B8</f>
        <v>3776.2221</v>
      </c>
      <c r="C7" s="452">
        <f>landbouw!C8</f>
        <v>28703.571428571428</v>
      </c>
      <c r="D7" s="452">
        <f>landbouw!D8</f>
        <v>453.32620675618841</v>
      </c>
      <c r="E7" s="452">
        <f>landbouw!E8</f>
        <v>34.976950717401699</v>
      </c>
      <c r="F7" s="452">
        <f>landbouw!F8</f>
        <v>9580.9948372718191</v>
      </c>
      <c r="G7" s="452">
        <f>landbouw!G8</f>
        <v>0</v>
      </c>
      <c r="H7" s="452">
        <f>landbouw!H8</f>
        <v>0</v>
      </c>
      <c r="I7" s="452">
        <f>landbouw!I8</f>
        <v>0</v>
      </c>
      <c r="J7" s="452">
        <f>landbouw!J8</f>
        <v>578.9369906916337</v>
      </c>
      <c r="K7" s="452">
        <f>landbouw!K8</f>
        <v>0</v>
      </c>
      <c r="L7" s="452">
        <f>landbouw!L8</f>
        <v>0</v>
      </c>
      <c r="M7" s="452">
        <f>landbouw!M8</f>
        <v>0</v>
      </c>
      <c r="N7" s="452">
        <f>landbouw!N8</f>
        <v>0</v>
      </c>
      <c r="O7" s="452">
        <f>landbouw!O8</f>
        <v>0</v>
      </c>
      <c r="P7" s="453">
        <f>landbouw!P8</f>
        <v>0</v>
      </c>
      <c r="Q7" s="451">
        <f t="shared" si="0"/>
        <v>43128.028514008467</v>
      </c>
    </row>
    <row r="8" spans="1:17">
      <c r="A8" s="451" t="s">
        <v>649</v>
      </c>
      <c r="B8" s="452">
        <f>industrie!B18</f>
        <v>105325.85401</v>
      </c>
      <c r="C8" s="452">
        <f>industrie!C18</f>
        <v>0</v>
      </c>
      <c r="D8" s="452">
        <f>industrie!D18</f>
        <v>115175.43293971191</v>
      </c>
      <c r="E8" s="452">
        <f>industrie!E18</f>
        <v>3116.9553065710315</v>
      </c>
      <c r="F8" s="452">
        <f>industrie!F18</f>
        <v>13195.547262885117</v>
      </c>
      <c r="G8" s="452">
        <f>industrie!G18</f>
        <v>0</v>
      </c>
      <c r="H8" s="452">
        <f>industrie!H18</f>
        <v>0</v>
      </c>
      <c r="I8" s="452">
        <f>industrie!I18</f>
        <v>0</v>
      </c>
      <c r="J8" s="452">
        <f>industrie!J18</f>
        <v>141.38191526394613</v>
      </c>
      <c r="K8" s="452">
        <f>industrie!K18</f>
        <v>0</v>
      </c>
      <c r="L8" s="452">
        <f>industrie!L18</f>
        <v>0</v>
      </c>
      <c r="M8" s="452">
        <f>industrie!M18</f>
        <v>0</v>
      </c>
      <c r="N8" s="452">
        <f>industrie!N18</f>
        <v>3586.6069861501983</v>
      </c>
      <c r="O8" s="452">
        <f>industrie!O18</f>
        <v>0</v>
      </c>
      <c r="P8" s="453">
        <f>industrie!P18</f>
        <v>0</v>
      </c>
      <c r="Q8" s="451">
        <f t="shared" si="0"/>
        <v>240541.77842058221</v>
      </c>
    </row>
    <row r="9" spans="1:17" s="457" customFormat="1">
      <c r="A9" s="455" t="s">
        <v>570</v>
      </c>
      <c r="B9" s="456">
        <f>transport!B14</f>
        <v>43.834147723145172</v>
      </c>
      <c r="C9" s="456">
        <f>transport!C14</f>
        <v>0</v>
      </c>
      <c r="D9" s="456">
        <f>transport!D14</f>
        <v>84.438535609604372</v>
      </c>
      <c r="E9" s="456">
        <f>transport!E14</f>
        <v>844.49857852261482</v>
      </c>
      <c r="F9" s="456">
        <f>transport!F14</f>
        <v>0</v>
      </c>
      <c r="G9" s="456">
        <f>transport!G14</f>
        <v>301004.6812901072</v>
      </c>
      <c r="H9" s="456">
        <f>transport!H14</f>
        <v>51746.444968936121</v>
      </c>
      <c r="I9" s="456">
        <f>transport!I14</f>
        <v>0</v>
      </c>
      <c r="J9" s="456">
        <f>transport!J14</f>
        <v>0</v>
      </c>
      <c r="K9" s="456">
        <f>transport!K14</f>
        <v>0</v>
      </c>
      <c r="L9" s="456">
        <f>transport!L14</f>
        <v>0</v>
      </c>
      <c r="M9" s="456">
        <f>transport!M14</f>
        <v>19029.808744787428</v>
      </c>
      <c r="N9" s="456">
        <f>transport!N14</f>
        <v>0</v>
      </c>
      <c r="O9" s="456">
        <f>transport!O14</f>
        <v>0</v>
      </c>
      <c r="P9" s="456">
        <f>transport!P14</f>
        <v>0</v>
      </c>
      <c r="Q9" s="455">
        <f>SUM(B9:P9)</f>
        <v>372753.70626568614</v>
      </c>
    </row>
    <row r="10" spans="1:17">
      <c r="A10" s="451" t="s">
        <v>560</v>
      </c>
      <c r="B10" s="452">
        <f>transport!B54</f>
        <v>0</v>
      </c>
      <c r="C10" s="452">
        <f>transport!C54</f>
        <v>0</v>
      </c>
      <c r="D10" s="452">
        <f>transport!D54</f>
        <v>0</v>
      </c>
      <c r="E10" s="452">
        <f>transport!E54</f>
        <v>0</v>
      </c>
      <c r="F10" s="452">
        <f>transport!F54</f>
        <v>0</v>
      </c>
      <c r="G10" s="452">
        <f>transport!G54</f>
        <v>3547.2187992464796</v>
      </c>
      <c r="H10" s="452">
        <f>transport!H54</f>
        <v>0</v>
      </c>
      <c r="I10" s="452">
        <f>transport!I54</f>
        <v>0</v>
      </c>
      <c r="J10" s="452">
        <f>transport!J54</f>
        <v>0</v>
      </c>
      <c r="K10" s="452">
        <f>transport!K54</f>
        <v>0</v>
      </c>
      <c r="L10" s="452">
        <f>transport!L54</f>
        <v>0</v>
      </c>
      <c r="M10" s="452">
        <f>transport!M54</f>
        <v>202.74822986708432</v>
      </c>
      <c r="N10" s="452">
        <f>transport!N54</f>
        <v>0</v>
      </c>
      <c r="O10" s="452">
        <f>transport!O54</f>
        <v>0</v>
      </c>
      <c r="P10" s="453">
        <f>transport!P54</f>
        <v>0</v>
      </c>
      <c r="Q10" s="451">
        <f t="shared" si="0"/>
        <v>3749.967029113564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3386.5079999999998</v>
      </c>
      <c r="C14" s="459"/>
      <c r="D14" s="459">
        <f>'SEAP template'!E25</f>
        <v>6000.9299792494503</v>
      </c>
      <c r="E14" s="459"/>
      <c r="F14" s="459"/>
      <c r="G14" s="459"/>
      <c r="H14" s="459"/>
      <c r="I14" s="459"/>
      <c r="J14" s="459"/>
      <c r="K14" s="459"/>
      <c r="L14" s="459"/>
      <c r="M14" s="459"/>
      <c r="N14" s="459"/>
      <c r="O14" s="459"/>
      <c r="P14" s="460"/>
      <c r="Q14" s="451">
        <f t="shared" si="0"/>
        <v>9387.437979249451</v>
      </c>
    </row>
    <row r="15" spans="1:17" s="461" customFormat="1">
      <c r="A15" s="1017" t="s">
        <v>564</v>
      </c>
      <c r="B15" s="957">
        <f ca="1">SUM(B4:B14)</f>
        <v>268961.66465698235</v>
      </c>
      <c r="C15" s="957">
        <f t="shared" ref="C15:Q15" ca="1" si="1">SUM(C4:C14)</f>
        <v>28703.571428571428</v>
      </c>
      <c r="D15" s="957">
        <f t="shared" ca="1" si="1"/>
        <v>340043.22752001364</v>
      </c>
      <c r="E15" s="957">
        <f t="shared" si="1"/>
        <v>54967.729620083643</v>
      </c>
      <c r="F15" s="957">
        <f t="shared" ca="1" si="1"/>
        <v>76887.528943729194</v>
      </c>
      <c r="G15" s="957">
        <f t="shared" si="1"/>
        <v>304551.90008935367</v>
      </c>
      <c r="H15" s="957">
        <f t="shared" si="1"/>
        <v>51746.444968936121</v>
      </c>
      <c r="I15" s="957">
        <f t="shared" si="1"/>
        <v>0</v>
      </c>
      <c r="J15" s="957">
        <f t="shared" si="1"/>
        <v>720.31890595557979</v>
      </c>
      <c r="K15" s="957">
        <f t="shared" si="1"/>
        <v>0</v>
      </c>
      <c r="L15" s="957">
        <f t="shared" ca="1" si="1"/>
        <v>0</v>
      </c>
      <c r="M15" s="957">
        <f t="shared" si="1"/>
        <v>19232.556974654512</v>
      </c>
      <c r="N15" s="957">
        <f t="shared" ca="1" si="1"/>
        <v>56401.908038951835</v>
      </c>
      <c r="O15" s="957">
        <f t="shared" si="1"/>
        <v>687.86666666666679</v>
      </c>
      <c r="P15" s="957">
        <f t="shared" si="1"/>
        <v>2497.7333333333336</v>
      </c>
      <c r="Q15" s="957">
        <f t="shared" ca="1" si="1"/>
        <v>1205402.451147232</v>
      </c>
    </row>
    <row r="17" spans="1:17">
      <c r="A17" s="462" t="s">
        <v>565</v>
      </c>
      <c r="B17" s="761">
        <f ca="1">huishoudens!B10</f>
        <v>0.17337314581205593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11604.964424285614</v>
      </c>
      <c r="C22" s="452">
        <f t="shared" ref="C22:C32" ca="1" si="3">C4*$C$17</f>
        <v>0</v>
      </c>
      <c r="D22" s="452">
        <f t="shared" ref="D22:D32" si="4">D4*$D$17</f>
        <v>27850.009135146654</v>
      </c>
      <c r="E22" s="452">
        <f t="shared" ref="E22:E32" si="5">E4*$E$17</f>
        <v>11419.186547913558</v>
      </c>
      <c r="F22" s="452">
        <f t="shared" ref="F22:F32" si="6">F4*$F$17</f>
        <v>10904.823728261168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61778.983835606996</v>
      </c>
    </row>
    <row r="23" spans="1:17">
      <c r="A23" s="451" t="s">
        <v>155</v>
      </c>
      <c r="B23" s="452">
        <f t="shared" ca="1" si="2"/>
        <v>15229.219009452499</v>
      </c>
      <c r="C23" s="452">
        <f t="shared" ca="1" si="3"/>
        <v>0</v>
      </c>
      <c r="D23" s="452">
        <f t="shared" ca="1" si="4"/>
        <v>16252.469036308017</v>
      </c>
      <c r="E23" s="452">
        <f t="shared" si="5"/>
        <v>151.29827611631998</v>
      </c>
      <c r="F23" s="452">
        <f t="shared" ca="1" si="6"/>
        <v>3542.8097589726262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35175.796080849461</v>
      </c>
    </row>
    <row r="24" spans="1:17">
      <c r="A24" s="451" t="s">
        <v>193</v>
      </c>
      <c r="B24" s="452">
        <f t="shared" ca="1" si="2"/>
        <v>286.44711151067884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286.44711151067884</v>
      </c>
    </row>
    <row r="25" spans="1:17">
      <c r="A25" s="451" t="s">
        <v>111</v>
      </c>
      <c r="B25" s="452">
        <f t="shared" ca="1" si="2"/>
        <v>654.695504762008</v>
      </c>
      <c r="C25" s="452">
        <f t="shared" ca="1" si="3"/>
        <v>0</v>
      </c>
      <c r="D25" s="452">
        <f t="shared" si="4"/>
        <v>91.571893764750058</v>
      </c>
      <c r="E25" s="452">
        <f t="shared" si="5"/>
        <v>7.9397678128501861</v>
      </c>
      <c r="F25" s="452">
        <f t="shared" si="6"/>
        <v>2558.1256215515759</v>
      </c>
      <c r="G25" s="452">
        <f t="shared" si="7"/>
        <v>0</v>
      </c>
      <c r="H25" s="452">
        <f t="shared" si="8"/>
        <v>0</v>
      </c>
      <c r="I25" s="452">
        <f t="shared" si="9"/>
        <v>0</v>
      </c>
      <c r="J25" s="452">
        <f t="shared" si="10"/>
        <v>204.94369470483832</v>
      </c>
      <c r="K25" s="452">
        <f t="shared" si="11"/>
        <v>0</v>
      </c>
      <c r="L25" s="452">
        <f t="shared" si="12"/>
        <v>0</v>
      </c>
      <c r="M25" s="452">
        <f t="shared" si="13"/>
        <v>0</v>
      </c>
      <c r="N25" s="452">
        <f t="shared" si="14"/>
        <v>0</v>
      </c>
      <c r="O25" s="452">
        <f t="shared" si="15"/>
        <v>0</v>
      </c>
      <c r="P25" s="453">
        <f t="shared" si="16"/>
        <v>0</v>
      </c>
      <c r="Q25" s="451">
        <f t="shared" ca="1" si="17"/>
        <v>3517.2764825960226</v>
      </c>
    </row>
    <row r="26" spans="1:17">
      <c r="A26" s="451" t="s">
        <v>649</v>
      </c>
      <c r="B26" s="452">
        <f t="shared" ca="1" si="2"/>
        <v>18260.674645055045</v>
      </c>
      <c r="C26" s="452">
        <f t="shared" ca="1" si="3"/>
        <v>0</v>
      </c>
      <c r="D26" s="452">
        <f t="shared" si="4"/>
        <v>23265.437453821807</v>
      </c>
      <c r="E26" s="452">
        <f t="shared" si="5"/>
        <v>707.54885459162415</v>
      </c>
      <c r="F26" s="452">
        <f t="shared" si="6"/>
        <v>3523.2111191903264</v>
      </c>
      <c r="G26" s="452">
        <f t="shared" si="7"/>
        <v>0</v>
      </c>
      <c r="H26" s="452">
        <f t="shared" si="8"/>
        <v>0</v>
      </c>
      <c r="I26" s="452">
        <f t="shared" si="9"/>
        <v>0</v>
      </c>
      <c r="J26" s="452">
        <f t="shared" si="10"/>
        <v>50.049198003436928</v>
      </c>
      <c r="K26" s="452">
        <f t="shared" si="11"/>
        <v>0</v>
      </c>
      <c r="L26" s="452">
        <f t="shared" si="12"/>
        <v>0</v>
      </c>
      <c r="M26" s="452">
        <f t="shared" si="13"/>
        <v>0</v>
      </c>
      <c r="N26" s="452">
        <f t="shared" si="14"/>
        <v>0</v>
      </c>
      <c r="O26" s="452">
        <f t="shared" si="15"/>
        <v>0</v>
      </c>
      <c r="P26" s="453">
        <f t="shared" si="16"/>
        <v>0</v>
      </c>
      <c r="Q26" s="451">
        <f t="shared" ca="1" si="17"/>
        <v>45806.921270662235</v>
      </c>
    </row>
    <row r="27" spans="1:17" s="457" customFormat="1">
      <c r="A27" s="455" t="s">
        <v>570</v>
      </c>
      <c r="B27" s="755">
        <f t="shared" ca="1" si="2"/>
        <v>7.5996640847520469</v>
      </c>
      <c r="C27" s="456">
        <f t="shared" ca="1" si="3"/>
        <v>0</v>
      </c>
      <c r="D27" s="456">
        <f t="shared" si="4"/>
        <v>17.056584193140083</v>
      </c>
      <c r="E27" s="456">
        <f t="shared" si="5"/>
        <v>191.70117732463356</v>
      </c>
      <c r="F27" s="456">
        <f t="shared" si="6"/>
        <v>0</v>
      </c>
      <c r="G27" s="456">
        <f t="shared" si="7"/>
        <v>80368.249904458629</v>
      </c>
      <c r="H27" s="456">
        <f t="shared" si="8"/>
        <v>12884.864797265094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93469.472127326255</v>
      </c>
    </row>
    <row r="28" spans="1:17">
      <c r="A28" s="451" t="s">
        <v>560</v>
      </c>
      <c r="B28" s="452">
        <f t="shared" ca="1" si="2"/>
        <v>0</v>
      </c>
      <c r="C28" s="452">
        <f t="shared" ca="1" si="3"/>
        <v>0</v>
      </c>
      <c r="D28" s="452">
        <f t="shared" si="4"/>
        <v>0</v>
      </c>
      <c r="E28" s="452">
        <f t="shared" si="5"/>
        <v>0</v>
      </c>
      <c r="F28" s="452">
        <f t="shared" si="6"/>
        <v>0</v>
      </c>
      <c r="G28" s="452">
        <f t="shared" si="7"/>
        <v>947.10741939881007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947.10741939881007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587.12954527769386</v>
      </c>
      <c r="C32" s="452">
        <f t="shared" ca="1" si="3"/>
        <v>0</v>
      </c>
      <c r="D32" s="452">
        <f t="shared" si="4"/>
        <v>1212.187855808389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1799.317401086083</v>
      </c>
    </row>
    <row r="33" spans="1:17" s="461" customFormat="1">
      <c r="A33" s="1017" t="s">
        <v>564</v>
      </c>
      <c r="B33" s="957">
        <f ca="1">SUM(B22:B32)</f>
        <v>46630.729904428284</v>
      </c>
      <c r="C33" s="957">
        <f t="shared" ref="C33:Q33" ca="1" si="18">SUM(C22:C32)</f>
        <v>0</v>
      </c>
      <c r="D33" s="957">
        <f t="shared" ca="1" si="18"/>
        <v>68688.731959042751</v>
      </c>
      <c r="E33" s="957">
        <f t="shared" si="18"/>
        <v>12477.674623758987</v>
      </c>
      <c r="F33" s="957">
        <f t="shared" ca="1" si="18"/>
        <v>20528.970227975697</v>
      </c>
      <c r="G33" s="957">
        <f t="shared" si="18"/>
        <v>81315.357323857446</v>
      </c>
      <c r="H33" s="957">
        <f t="shared" si="18"/>
        <v>12884.864797265094</v>
      </c>
      <c r="I33" s="957">
        <f t="shared" si="18"/>
        <v>0</v>
      </c>
      <c r="J33" s="957">
        <f t="shared" si="18"/>
        <v>254.99289270827524</v>
      </c>
      <c r="K33" s="957">
        <f t="shared" si="18"/>
        <v>0</v>
      </c>
      <c r="L33" s="957">
        <f t="shared" ca="1" si="18"/>
        <v>0</v>
      </c>
      <c r="M33" s="957">
        <f t="shared" si="18"/>
        <v>0</v>
      </c>
      <c r="N33" s="957">
        <f t="shared" ca="1" si="18"/>
        <v>0</v>
      </c>
      <c r="O33" s="957">
        <f t="shared" si="18"/>
        <v>0</v>
      </c>
      <c r="P33" s="957">
        <f t="shared" si="18"/>
        <v>0</v>
      </c>
      <c r="Q33" s="957">
        <f t="shared" ca="1" si="18"/>
        <v>242781.32172903654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16117.853777307973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21752.533031582552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20092.5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23638.23529411765</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57962.886808890529</v>
      </c>
      <c r="C10" s="1038">
        <f>SUM(C4:C9)</f>
        <v>0</v>
      </c>
      <c r="D10" s="1038">
        <f t="shared" ref="D10:H10" si="0">SUM(D8:D9)</f>
        <v>0</v>
      </c>
      <c r="E10" s="1038">
        <f t="shared" si="0"/>
        <v>0</v>
      </c>
      <c r="F10" s="1038">
        <f t="shared" si="0"/>
        <v>0</v>
      </c>
      <c r="G10" s="1038">
        <f t="shared" si="0"/>
        <v>0</v>
      </c>
      <c r="H10" s="1038">
        <f t="shared" si="0"/>
        <v>0</v>
      </c>
      <c r="I10" s="1038">
        <f>SUM(I8:I9)</f>
        <v>0</v>
      </c>
      <c r="J10" s="1038">
        <f>SUM(J8:J9)</f>
        <v>23638.23529411765</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0.17337314581205593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28703.571428571428</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33768.907563025212</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28703.571428571428</v>
      </c>
      <c r="C20" s="1038">
        <f>SUM(C17:C19)</f>
        <v>0</v>
      </c>
      <c r="D20" s="1038">
        <f t="shared" ref="D20:H20" si="2">SUM(D17:D19)</f>
        <v>0</v>
      </c>
      <c r="E20" s="1038">
        <f t="shared" si="2"/>
        <v>0</v>
      </c>
      <c r="F20" s="1038">
        <f t="shared" si="2"/>
        <v>0</v>
      </c>
      <c r="G20" s="1038">
        <f t="shared" si="2"/>
        <v>0</v>
      </c>
      <c r="H20" s="1038">
        <f t="shared" si="2"/>
        <v>0</v>
      </c>
      <c r="I20" s="1038">
        <f>SUM(I17:I19)</f>
        <v>0</v>
      </c>
      <c r="J20" s="1038">
        <f>SUM(J17:J19)</f>
        <v>33768.907563025212</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0.17337314581205593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1</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19.066666666666666</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0.17337314581205593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0.17337314581205593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16158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5325</v>
      </c>
      <c r="C14" s="330"/>
      <c r="D14" s="330"/>
      <c r="E14" s="330"/>
      <c r="F14" s="330"/>
    </row>
    <row r="15" spans="1:6">
      <c r="A15" s="1305" t="s">
        <v>183</v>
      </c>
      <c r="B15" s="1306">
        <v>10467</v>
      </c>
      <c r="C15" s="330"/>
      <c r="D15" s="330"/>
      <c r="E15" s="330"/>
      <c r="F15" s="330"/>
    </row>
    <row r="16" spans="1:6">
      <c r="A16" s="1305" t="s">
        <v>6</v>
      </c>
      <c r="B16" s="1306">
        <v>3854</v>
      </c>
      <c r="C16" s="330"/>
      <c r="D16" s="330"/>
      <c r="E16" s="330"/>
      <c r="F16" s="330"/>
    </row>
    <row r="17" spans="1:6">
      <c r="A17" s="1305" t="s">
        <v>7</v>
      </c>
      <c r="B17" s="1306">
        <v>515</v>
      </c>
      <c r="C17" s="330"/>
      <c r="D17" s="330"/>
      <c r="E17" s="330"/>
      <c r="F17" s="330"/>
    </row>
    <row r="18" spans="1:6">
      <c r="A18" s="1305" t="s">
        <v>8</v>
      </c>
      <c r="B18" s="1306">
        <v>2102</v>
      </c>
      <c r="C18" s="330"/>
      <c r="D18" s="330"/>
      <c r="E18" s="330"/>
      <c r="F18" s="330"/>
    </row>
    <row r="19" spans="1:6">
      <c r="A19" s="1305" t="s">
        <v>9</v>
      </c>
      <c r="B19" s="1306">
        <v>1846</v>
      </c>
      <c r="C19" s="330"/>
      <c r="D19" s="330"/>
      <c r="E19" s="330"/>
      <c r="F19" s="330"/>
    </row>
    <row r="20" spans="1:6">
      <c r="A20" s="1305" t="s">
        <v>10</v>
      </c>
      <c r="B20" s="1306">
        <v>1127</v>
      </c>
      <c r="C20" s="330"/>
      <c r="D20" s="330"/>
      <c r="E20" s="330"/>
      <c r="F20" s="330"/>
    </row>
    <row r="21" spans="1:6">
      <c r="A21" s="1305" t="s">
        <v>11</v>
      </c>
      <c r="B21" s="1306">
        <v>3663</v>
      </c>
      <c r="C21" s="330"/>
      <c r="D21" s="330"/>
      <c r="E21" s="330"/>
      <c r="F21" s="330"/>
    </row>
    <row r="22" spans="1:6">
      <c r="A22" s="1305" t="s">
        <v>12</v>
      </c>
      <c r="B22" s="1306">
        <v>11204</v>
      </c>
      <c r="C22" s="330"/>
      <c r="D22" s="330"/>
      <c r="E22" s="330"/>
      <c r="F22" s="330"/>
    </row>
    <row r="23" spans="1:6">
      <c r="A23" s="1305" t="s">
        <v>13</v>
      </c>
      <c r="B23" s="1306">
        <v>226</v>
      </c>
      <c r="C23" s="330"/>
      <c r="D23" s="330"/>
      <c r="E23" s="330"/>
      <c r="F23" s="330"/>
    </row>
    <row r="24" spans="1:6">
      <c r="A24" s="1305" t="s">
        <v>14</v>
      </c>
      <c r="B24" s="1306">
        <v>10</v>
      </c>
      <c r="C24" s="330"/>
      <c r="D24" s="330"/>
      <c r="E24" s="330"/>
      <c r="F24" s="330"/>
    </row>
    <row r="25" spans="1:6">
      <c r="A25" s="1305" t="s">
        <v>15</v>
      </c>
      <c r="B25" s="1306">
        <v>1030</v>
      </c>
      <c r="C25" s="330"/>
      <c r="D25" s="330"/>
      <c r="E25" s="330"/>
      <c r="F25" s="330"/>
    </row>
    <row r="26" spans="1:6">
      <c r="A26" s="1305" t="s">
        <v>16</v>
      </c>
      <c r="B26" s="1306">
        <v>297</v>
      </c>
      <c r="C26" s="330"/>
      <c r="D26" s="330"/>
      <c r="E26" s="330"/>
      <c r="F26" s="330"/>
    </row>
    <row r="27" spans="1:6">
      <c r="A27" s="1305" t="s">
        <v>17</v>
      </c>
      <c r="B27" s="1306">
        <v>2</v>
      </c>
      <c r="C27" s="330"/>
      <c r="D27" s="330"/>
      <c r="E27" s="330"/>
      <c r="F27" s="330"/>
    </row>
    <row r="28" spans="1:6" s="43" customFormat="1">
      <c r="A28" s="1307" t="s">
        <v>18</v>
      </c>
      <c r="B28" s="1308">
        <v>421829</v>
      </c>
      <c r="C28" s="336"/>
      <c r="D28" s="336"/>
      <c r="E28" s="336"/>
      <c r="F28" s="336"/>
    </row>
    <row r="29" spans="1:6">
      <c r="A29" s="1307" t="s">
        <v>909</v>
      </c>
      <c r="B29" s="1308">
        <v>410</v>
      </c>
      <c r="C29" s="336"/>
      <c r="D29" s="336"/>
      <c r="E29" s="336"/>
      <c r="F29" s="336"/>
    </row>
    <row r="30" spans="1:6">
      <c r="A30" s="1300" t="s">
        <v>910</v>
      </c>
      <c r="B30" s="1309">
        <v>76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11</v>
      </c>
      <c r="F36" s="1306">
        <v>49116.75</v>
      </c>
    </row>
    <row r="37" spans="1:6">
      <c r="A37" s="1305" t="s">
        <v>24</v>
      </c>
      <c r="B37" s="1305" t="s">
        <v>27</v>
      </c>
      <c r="C37" s="1306">
        <v>0</v>
      </c>
      <c r="D37" s="1306">
        <v>0</v>
      </c>
      <c r="E37" s="1306">
        <v>0</v>
      </c>
      <c r="F37" s="1306">
        <v>0</v>
      </c>
    </row>
    <row r="38" spans="1:6">
      <c r="A38" s="1305" t="s">
        <v>24</v>
      </c>
      <c r="B38" s="1305" t="s">
        <v>28</v>
      </c>
      <c r="C38" s="1306">
        <v>2</v>
      </c>
      <c r="D38" s="1306">
        <v>376006.95379535301</v>
      </c>
      <c r="E38" s="1306">
        <v>0</v>
      </c>
      <c r="F38" s="1306">
        <v>0</v>
      </c>
    </row>
    <row r="39" spans="1:6">
      <c r="A39" s="1305" t="s">
        <v>29</v>
      </c>
      <c r="B39" s="1305" t="s">
        <v>30</v>
      </c>
      <c r="C39" s="1306">
        <v>10430</v>
      </c>
      <c r="D39" s="1306">
        <v>152565000.89559701</v>
      </c>
      <c r="E39" s="1306">
        <v>15969</v>
      </c>
      <c r="F39" s="1306">
        <v>56371561</v>
      </c>
    </row>
    <row r="40" spans="1:6">
      <c r="A40" s="1305" t="s">
        <v>29</v>
      </c>
      <c r="B40" s="1305" t="s">
        <v>28</v>
      </c>
      <c r="C40" s="1306">
        <v>2</v>
      </c>
      <c r="D40" s="1306">
        <v>285700.16006944602</v>
      </c>
      <c r="E40" s="1306">
        <v>2</v>
      </c>
      <c r="F40" s="1306">
        <v>27189.07</v>
      </c>
    </row>
    <row r="41" spans="1:6">
      <c r="A41" s="1305" t="s">
        <v>31</v>
      </c>
      <c r="B41" s="1305" t="s">
        <v>32</v>
      </c>
      <c r="C41" s="1306">
        <v>103</v>
      </c>
      <c r="D41" s="1306">
        <v>3418830.46525848</v>
      </c>
      <c r="E41" s="1306">
        <v>259</v>
      </c>
      <c r="F41" s="1306">
        <v>4748698</v>
      </c>
    </row>
    <row r="42" spans="1:6">
      <c r="A42" s="1305" t="s">
        <v>31</v>
      </c>
      <c r="B42" s="1305" t="s">
        <v>33</v>
      </c>
      <c r="C42" s="1306">
        <v>6</v>
      </c>
      <c r="D42" s="1306">
        <v>78737488.274788797</v>
      </c>
      <c r="E42" s="1306">
        <v>10</v>
      </c>
      <c r="F42" s="1306">
        <v>68236667</v>
      </c>
    </row>
    <row r="43" spans="1:6">
      <c r="A43" s="1305" t="s">
        <v>31</v>
      </c>
      <c r="B43" s="1305" t="s">
        <v>34</v>
      </c>
      <c r="C43" s="1306">
        <v>4</v>
      </c>
      <c r="D43" s="1306">
        <v>36848909.367465898</v>
      </c>
      <c r="E43" s="1306">
        <v>0</v>
      </c>
      <c r="F43" s="1306">
        <v>0</v>
      </c>
    </row>
    <row r="44" spans="1:6">
      <c r="A44" s="1305" t="s">
        <v>31</v>
      </c>
      <c r="B44" s="1305" t="s">
        <v>35</v>
      </c>
      <c r="C44" s="1306">
        <v>3</v>
      </c>
      <c r="D44" s="1306">
        <v>235396.16563271001</v>
      </c>
      <c r="E44" s="1306">
        <v>19</v>
      </c>
      <c r="F44" s="1306">
        <v>1797697</v>
      </c>
    </row>
    <row r="45" spans="1:6">
      <c r="A45" s="1305" t="s">
        <v>31</v>
      </c>
      <c r="B45" s="1305" t="s">
        <v>36</v>
      </c>
      <c r="C45" s="1306">
        <v>0</v>
      </c>
      <c r="D45" s="1306">
        <v>0</v>
      </c>
      <c r="E45" s="1306">
        <v>5</v>
      </c>
      <c r="F45" s="1306">
        <v>208759</v>
      </c>
    </row>
    <row r="46" spans="1:6">
      <c r="A46" s="1305" t="s">
        <v>31</v>
      </c>
      <c r="B46" s="1305" t="s">
        <v>37</v>
      </c>
      <c r="C46" s="1306">
        <v>0</v>
      </c>
      <c r="D46" s="1306">
        <v>0</v>
      </c>
      <c r="E46" s="1306">
        <v>0</v>
      </c>
      <c r="F46" s="1306">
        <v>0</v>
      </c>
    </row>
    <row r="47" spans="1:6">
      <c r="A47" s="1305" t="s">
        <v>31</v>
      </c>
      <c r="B47" s="1305" t="s">
        <v>38</v>
      </c>
      <c r="C47" s="1306">
        <v>4</v>
      </c>
      <c r="D47" s="1306">
        <v>148456.408945456</v>
      </c>
      <c r="E47" s="1306">
        <v>4</v>
      </c>
      <c r="F47" s="1306">
        <v>85598.41</v>
      </c>
    </row>
    <row r="48" spans="1:6">
      <c r="A48" s="1305" t="s">
        <v>31</v>
      </c>
      <c r="B48" s="1305" t="s">
        <v>28</v>
      </c>
      <c r="C48" s="1306">
        <v>45</v>
      </c>
      <c r="D48" s="1306">
        <v>4245005.1900900202</v>
      </c>
      <c r="E48" s="1306">
        <v>56</v>
      </c>
      <c r="F48" s="1306">
        <v>29530518</v>
      </c>
    </row>
    <row r="49" spans="1:6">
      <c r="A49" s="1305" t="s">
        <v>31</v>
      </c>
      <c r="B49" s="1305" t="s">
        <v>39</v>
      </c>
      <c r="C49" s="1306">
        <v>0</v>
      </c>
      <c r="D49" s="1306">
        <v>0</v>
      </c>
      <c r="E49" s="1306">
        <v>0</v>
      </c>
      <c r="F49" s="1306">
        <v>0</v>
      </c>
    </row>
    <row r="50" spans="1:6">
      <c r="A50" s="1305" t="s">
        <v>31</v>
      </c>
      <c r="B50" s="1305" t="s">
        <v>40</v>
      </c>
      <c r="C50" s="1306">
        <v>11</v>
      </c>
      <c r="D50" s="1306">
        <v>4054864.1718451302</v>
      </c>
      <c r="E50" s="1306">
        <v>14</v>
      </c>
      <c r="F50" s="1306">
        <v>717916.6</v>
      </c>
    </row>
    <row r="51" spans="1:6">
      <c r="A51" s="1305" t="s">
        <v>41</v>
      </c>
      <c r="B51" s="1305" t="s">
        <v>42</v>
      </c>
      <c r="C51" s="1306">
        <v>13</v>
      </c>
      <c r="D51" s="1306">
        <v>206747.58994744599</v>
      </c>
      <c r="E51" s="1306">
        <v>172</v>
      </c>
      <c r="F51" s="1306">
        <v>3764355</v>
      </c>
    </row>
    <row r="52" spans="1:6">
      <c r="A52" s="1305" t="s">
        <v>41</v>
      </c>
      <c r="B52" s="1305" t="s">
        <v>28</v>
      </c>
      <c r="C52" s="1306">
        <v>7</v>
      </c>
      <c r="D52" s="1306">
        <v>295831.35324123298</v>
      </c>
      <c r="E52" s="1306">
        <v>3</v>
      </c>
      <c r="F52" s="1306">
        <v>11867.1</v>
      </c>
    </row>
    <row r="53" spans="1:6">
      <c r="A53" s="1305" t="s">
        <v>43</v>
      </c>
      <c r="B53" s="1305" t="s">
        <v>44</v>
      </c>
      <c r="C53" s="1306">
        <v>267</v>
      </c>
      <c r="D53" s="1306">
        <v>6000929.9792494504</v>
      </c>
      <c r="E53" s="1306">
        <v>840</v>
      </c>
      <c r="F53" s="1306">
        <v>3386508</v>
      </c>
    </row>
    <row r="54" spans="1:6">
      <c r="A54" s="1305" t="s">
        <v>45</v>
      </c>
      <c r="B54" s="1305" t="s">
        <v>46</v>
      </c>
      <c r="C54" s="1306">
        <v>0</v>
      </c>
      <c r="D54" s="1306">
        <v>0</v>
      </c>
      <c r="E54" s="1306">
        <v>1</v>
      </c>
      <c r="F54" s="1306">
        <v>1652200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134</v>
      </c>
      <c r="D57" s="1306">
        <v>8827714.9069948997</v>
      </c>
      <c r="E57" s="1306">
        <v>232</v>
      </c>
      <c r="F57" s="1306">
        <v>14799853</v>
      </c>
    </row>
    <row r="58" spans="1:6">
      <c r="A58" s="1305" t="s">
        <v>48</v>
      </c>
      <c r="B58" s="1305" t="s">
        <v>50</v>
      </c>
      <c r="C58" s="1306">
        <v>91</v>
      </c>
      <c r="D58" s="1306">
        <v>22448591.5459629</v>
      </c>
      <c r="E58" s="1306">
        <v>133</v>
      </c>
      <c r="F58" s="1306">
        <v>10372933</v>
      </c>
    </row>
    <row r="59" spans="1:6">
      <c r="A59" s="1305" t="s">
        <v>48</v>
      </c>
      <c r="B59" s="1305" t="s">
        <v>51</v>
      </c>
      <c r="C59" s="1306">
        <v>314</v>
      </c>
      <c r="D59" s="1306">
        <v>16114920.0154662</v>
      </c>
      <c r="E59" s="1306">
        <v>547</v>
      </c>
      <c r="F59" s="1306">
        <v>17881099</v>
      </c>
    </row>
    <row r="60" spans="1:6">
      <c r="A60" s="1305" t="s">
        <v>48</v>
      </c>
      <c r="B60" s="1305" t="s">
        <v>52</v>
      </c>
      <c r="C60" s="1306">
        <v>146</v>
      </c>
      <c r="D60" s="1306">
        <v>6089449.4488164</v>
      </c>
      <c r="E60" s="1306">
        <v>232</v>
      </c>
      <c r="F60" s="1306">
        <v>5790540</v>
      </c>
    </row>
    <row r="61" spans="1:6">
      <c r="A61" s="1305" t="s">
        <v>48</v>
      </c>
      <c r="B61" s="1305" t="s">
        <v>53</v>
      </c>
      <c r="C61" s="1306">
        <v>474</v>
      </c>
      <c r="D61" s="1306">
        <v>17498320.460311599</v>
      </c>
      <c r="E61" s="1306">
        <v>738</v>
      </c>
      <c r="F61" s="1306">
        <v>25956597</v>
      </c>
    </row>
    <row r="62" spans="1:6">
      <c r="A62" s="1305" t="s">
        <v>48</v>
      </c>
      <c r="B62" s="1305" t="s">
        <v>54</v>
      </c>
      <c r="C62" s="1306">
        <v>33</v>
      </c>
      <c r="D62" s="1306">
        <v>3925582.9212867501</v>
      </c>
      <c r="E62" s="1306">
        <v>41</v>
      </c>
      <c r="F62" s="1306">
        <v>2477584</v>
      </c>
    </row>
    <row r="63" spans="1:6">
      <c r="A63" s="1305" t="s">
        <v>48</v>
      </c>
      <c r="B63" s="1305" t="s">
        <v>28</v>
      </c>
      <c r="C63" s="1306">
        <v>103</v>
      </c>
      <c r="D63" s="1306">
        <v>14294719.488827899</v>
      </c>
      <c r="E63" s="1306">
        <v>97</v>
      </c>
      <c r="F63" s="1306">
        <v>10562097</v>
      </c>
    </row>
    <row r="64" spans="1:6">
      <c r="A64" s="1305" t="s">
        <v>55</v>
      </c>
      <c r="B64" s="1305" t="s">
        <v>56</v>
      </c>
      <c r="C64" s="1306">
        <v>0</v>
      </c>
      <c r="D64" s="1306">
        <v>0</v>
      </c>
      <c r="E64" s="1306">
        <v>0</v>
      </c>
      <c r="F64" s="1306">
        <v>0</v>
      </c>
    </row>
    <row r="65" spans="1:6">
      <c r="A65" s="1305" t="s">
        <v>55</v>
      </c>
      <c r="B65" s="1305" t="s">
        <v>28</v>
      </c>
      <c r="C65" s="1306">
        <v>3</v>
      </c>
      <c r="D65" s="1306">
        <v>350658.430253189</v>
      </c>
      <c r="E65" s="1306">
        <v>5</v>
      </c>
      <c r="F65" s="1306">
        <v>60050.37</v>
      </c>
    </row>
    <row r="66" spans="1:6">
      <c r="A66" s="1305" t="s">
        <v>55</v>
      </c>
      <c r="B66" s="1305" t="s">
        <v>57</v>
      </c>
      <c r="C66" s="1306">
        <v>0</v>
      </c>
      <c r="D66" s="1306">
        <v>0</v>
      </c>
      <c r="E66" s="1306">
        <v>36</v>
      </c>
      <c r="F66" s="1306">
        <v>984986.8</v>
      </c>
    </row>
    <row r="67" spans="1:6">
      <c r="A67" s="1307" t="s">
        <v>55</v>
      </c>
      <c r="B67" s="1307" t="s">
        <v>58</v>
      </c>
      <c r="C67" s="1306">
        <v>0</v>
      </c>
      <c r="D67" s="1306">
        <v>0</v>
      </c>
      <c r="E67" s="1306">
        <v>0</v>
      </c>
      <c r="F67" s="1306">
        <v>0</v>
      </c>
    </row>
    <row r="68" spans="1:6">
      <c r="A68" s="1300" t="s">
        <v>55</v>
      </c>
      <c r="B68" s="1300" t="s">
        <v>59</v>
      </c>
      <c r="C68" s="1309">
        <v>6</v>
      </c>
      <c r="D68" s="1309">
        <v>179100.35419878599</v>
      </c>
      <c r="E68" s="1309">
        <v>25</v>
      </c>
      <c r="F68" s="1309">
        <v>305873.59999999998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256222292</v>
      </c>
      <c r="E73" s="450"/>
      <c r="F73" s="330"/>
    </row>
    <row r="74" spans="1:6">
      <c r="A74" s="1305" t="s">
        <v>63</v>
      </c>
      <c r="B74" s="1305" t="s">
        <v>710</v>
      </c>
      <c r="C74" s="1319" t="s">
        <v>712</v>
      </c>
      <c r="D74" s="1320">
        <v>24152346.414637309</v>
      </c>
      <c r="E74" s="450"/>
      <c r="F74" s="330"/>
    </row>
    <row r="75" spans="1:6">
      <c r="A75" s="1305" t="s">
        <v>64</v>
      </c>
      <c r="B75" s="1305" t="s">
        <v>709</v>
      </c>
      <c r="C75" s="1319" t="s">
        <v>713</v>
      </c>
      <c r="D75" s="1320">
        <v>55176899</v>
      </c>
      <c r="E75" s="450"/>
      <c r="F75" s="330"/>
    </row>
    <row r="76" spans="1:6">
      <c r="A76" s="1305" t="s">
        <v>64</v>
      </c>
      <c r="B76" s="1305" t="s">
        <v>710</v>
      </c>
      <c r="C76" s="1319" t="s">
        <v>714</v>
      </c>
      <c r="D76" s="1320">
        <v>1002675.4146373103</v>
      </c>
      <c r="E76" s="450"/>
      <c r="F76" s="330"/>
    </row>
    <row r="77" spans="1:6">
      <c r="A77" s="1305" t="s">
        <v>65</v>
      </c>
      <c r="B77" s="1305" t="s">
        <v>709</v>
      </c>
      <c r="C77" s="1319" t="s">
        <v>715</v>
      </c>
      <c r="D77" s="1320">
        <v>76027290</v>
      </c>
      <c r="E77" s="450"/>
      <c r="F77" s="330"/>
    </row>
    <row r="78" spans="1:6">
      <c r="A78" s="1300" t="s">
        <v>65</v>
      </c>
      <c r="B78" s="1300" t="s">
        <v>710</v>
      </c>
      <c r="C78" s="1300" t="s">
        <v>716</v>
      </c>
      <c r="D78" s="1321">
        <v>17395097</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1006867.1707253794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16117.853777307973</v>
      </c>
      <c r="C90" s="330"/>
      <c r="D90" s="330"/>
      <c r="E90" s="330"/>
      <c r="F90" s="330"/>
    </row>
    <row r="91" spans="1:6">
      <c r="A91" s="1305" t="s">
        <v>67</v>
      </c>
      <c r="B91" s="1306">
        <v>10537.593329259207</v>
      </c>
      <c r="C91" s="330"/>
      <c r="D91" s="330"/>
      <c r="E91" s="330"/>
      <c r="F91" s="330"/>
    </row>
    <row r="92" spans="1:6">
      <c r="A92" s="1300" t="s">
        <v>68</v>
      </c>
      <c r="B92" s="1301">
        <v>11214.939702323345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5739</v>
      </c>
      <c r="C97" s="330"/>
      <c r="D97" s="330"/>
      <c r="E97" s="330"/>
      <c r="F97" s="330"/>
    </row>
    <row r="98" spans="1:6">
      <c r="A98" s="1305" t="s">
        <v>71</v>
      </c>
      <c r="B98" s="1306">
        <v>29</v>
      </c>
      <c r="C98" s="330"/>
      <c r="D98" s="330"/>
      <c r="E98" s="330"/>
      <c r="F98" s="330"/>
    </row>
    <row r="99" spans="1:6">
      <c r="A99" s="1305" t="s">
        <v>72</v>
      </c>
      <c r="B99" s="1306">
        <v>146</v>
      </c>
      <c r="C99" s="330"/>
      <c r="D99" s="330"/>
      <c r="E99" s="330"/>
      <c r="F99" s="330"/>
    </row>
    <row r="100" spans="1:6">
      <c r="A100" s="1305" t="s">
        <v>73</v>
      </c>
      <c r="B100" s="1306">
        <v>564</v>
      </c>
      <c r="C100" s="330"/>
      <c r="D100" s="330"/>
      <c r="E100" s="330"/>
      <c r="F100" s="330"/>
    </row>
    <row r="101" spans="1:6">
      <c r="A101" s="1305" t="s">
        <v>74</v>
      </c>
      <c r="B101" s="1306">
        <v>165</v>
      </c>
      <c r="C101" s="330"/>
      <c r="D101" s="330"/>
      <c r="E101" s="330"/>
      <c r="F101" s="330"/>
    </row>
    <row r="102" spans="1:6">
      <c r="A102" s="1305" t="s">
        <v>75</v>
      </c>
      <c r="B102" s="1306">
        <v>199</v>
      </c>
      <c r="C102" s="330"/>
      <c r="D102" s="330"/>
      <c r="E102" s="330"/>
      <c r="F102" s="330"/>
    </row>
    <row r="103" spans="1:6">
      <c r="A103" s="1305" t="s">
        <v>76</v>
      </c>
      <c r="B103" s="1306">
        <v>307</v>
      </c>
      <c r="C103" s="330"/>
      <c r="D103" s="330"/>
      <c r="E103" s="330"/>
      <c r="F103" s="330"/>
    </row>
    <row r="104" spans="1:6">
      <c r="A104" s="1305" t="s">
        <v>77</v>
      </c>
      <c r="B104" s="1306">
        <v>6048</v>
      </c>
      <c r="C104" s="330"/>
      <c r="D104" s="330"/>
      <c r="E104" s="330"/>
      <c r="F104" s="330"/>
    </row>
    <row r="105" spans="1:6">
      <c r="A105" s="1300" t="s">
        <v>78</v>
      </c>
      <c r="B105" s="1309">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1</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1</v>
      </c>
      <c r="C121" s="1306">
        <v>0</v>
      </c>
      <c r="D121" s="330"/>
      <c r="E121" s="330"/>
      <c r="F121" s="330"/>
    </row>
    <row r="122" spans="1:6">
      <c r="A122" s="1305" t="s">
        <v>86</v>
      </c>
      <c r="B122" s="1306">
        <v>0</v>
      </c>
      <c r="C122" s="1306">
        <v>0</v>
      </c>
      <c r="D122" s="330"/>
      <c r="E122" s="330"/>
      <c r="F122" s="330"/>
    </row>
    <row r="123" spans="1:6">
      <c r="A123" s="1305" t="s">
        <v>87</v>
      </c>
      <c r="B123" s="1306">
        <v>71</v>
      </c>
      <c r="C123" s="1306">
        <v>44</v>
      </c>
      <c r="D123" s="330"/>
      <c r="E123" s="330"/>
      <c r="F123" s="330"/>
    </row>
    <row r="124" spans="1:6" s="43" customFormat="1">
      <c r="A124" s="1307" t="s">
        <v>88</v>
      </c>
      <c r="B124" s="1328">
        <v>4</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392</v>
      </c>
      <c r="C129" s="330"/>
      <c r="D129" s="330"/>
      <c r="E129" s="330"/>
      <c r="F129" s="330"/>
    </row>
    <row r="130" spans="1:6">
      <c r="A130" s="1305" t="s">
        <v>294</v>
      </c>
      <c r="B130" s="1306">
        <v>2</v>
      </c>
      <c r="C130" s="330"/>
      <c r="D130" s="330"/>
      <c r="E130" s="330"/>
      <c r="F130" s="330"/>
    </row>
    <row r="131" spans="1:6">
      <c r="A131" s="1305" t="s">
        <v>295</v>
      </c>
      <c r="B131" s="1306">
        <v>5</v>
      </c>
      <c r="C131" s="330"/>
      <c r="D131" s="330"/>
      <c r="E131" s="330"/>
      <c r="F131" s="330"/>
    </row>
    <row r="132" spans="1:6">
      <c r="A132" s="1300" t="s">
        <v>296</v>
      </c>
      <c r="B132" s="1301">
        <v>50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268961.66465698235</v>
      </c>
      <c r="C3" s="43" t="s">
        <v>169</v>
      </c>
      <c r="D3" s="43"/>
      <c r="E3" s="154"/>
      <c r="F3" s="43"/>
      <c r="G3" s="43"/>
      <c r="H3" s="43"/>
      <c r="I3" s="43"/>
      <c r="J3" s="43"/>
      <c r="K3" s="96"/>
    </row>
    <row r="4" spans="1:11">
      <c r="A4" s="359" t="s">
        <v>170</v>
      </c>
      <c r="B4" s="49">
        <f>IF(ISERROR('SEAP template'!B78+'SEAP template'!C78),0,'SEAP template'!B78+'SEAP template'!C78)</f>
        <v>57962.886808890529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0.17337314581205593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28703.571428571428</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1652.2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1652.2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0.17337314581205593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286.44711151067884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56398.750070000002</v>
      </c>
      <c r="C5" s="17">
        <f>IF(ISERROR('Eigen informatie GS &amp; warmtenet'!B57),0,'Eigen informatie GS &amp; warmtenet'!B57)</f>
        <v>0</v>
      </c>
      <c r="D5" s="30">
        <f>(SUM(HH_hh_gas_kWh,HH_rest_gas_kWh)/1000)*0.902</f>
        <v>137871.33235221115</v>
      </c>
      <c r="E5" s="17">
        <f>B46*B57</f>
        <v>50304.786554685277</v>
      </c>
      <c r="F5" s="17">
        <f>B51*B62</f>
        <v>40842.036435435082</v>
      </c>
      <c r="G5" s="18"/>
      <c r="H5" s="17"/>
      <c r="I5" s="17"/>
      <c r="J5" s="17">
        <f>B50*B61+C50*C61</f>
        <v>0</v>
      </c>
      <c r="K5" s="17"/>
      <c r="L5" s="17"/>
      <c r="M5" s="17"/>
      <c r="N5" s="17">
        <f>B48*B59+C48*C59</f>
        <v>40996.791098760586</v>
      </c>
      <c r="O5" s="17">
        <f>B69*B70*B71</f>
        <v>684.74000000000012</v>
      </c>
      <c r="P5" s="17">
        <f>B77*B78*B79/1000-B77*B78*B79/1000/B80</f>
        <v>2383.3333333333335</v>
      </c>
    </row>
    <row r="6" spans="1:16">
      <c r="A6" s="16" t="s">
        <v>630</v>
      </c>
      <c r="B6" s="763">
        <f>kWh_PV_kleiner_dan_10kW</f>
        <v>10537.593329259207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66936.343399259204</v>
      </c>
      <c r="C8" s="21">
        <f>C5</f>
        <v>0</v>
      </c>
      <c r="D8" s="21">
        <f>D5</f>
        <v>137871.33235221115</v>
      </c>
      <c r="E8" s="21">
        <f>E5</f>
        <v>50304.786554685277</v>
      </c>
      <c r="F8" s="21">
        <f>F5</f>
        <v>40842.036435435082</v>
      </c>
      <c r="G8" s="21"/>
      <c r="H8" s="21"/>
      <c r="I8" s="21"/>
      <c r="J8" s="21">
        <f>J5</f>
        <v>0</v>
      </c>
      <c r="K8" s="21"/>
      <c r="L8" s="21">
        <f>L5</f>
        <v>0</v>
      </c>
      <c r="M8" s="21">
        <f>M5</f>
        <v>0</v>
      </c>
      <c r="N8" s="21">
        <f>N5</f>
        <v>40996.791098760586</v>
      </c>
      <c r="O8" s="21">
        <f>O5</f>
        <v>684.74000000000012</v>
      </c>
      <c r="P8" s="21">
        <f>P5</f>
        <v>2383.3333333333335</v>
      </c>
    </row>
    <row r="9" spans="1:16">
      <c r="B9" s="19"/>
      <c r="C9" s="19"/>
      <c r="D9" s="258"/>
      <c r="E9" s="19"/>
      <c r="F9" s="19"/>
      <c r="G9" s="19"/>
      <c r="H9" s="19"/>
      <c r="I9" s="19"/>
      <c r="J9" s="19"/>
      <c r="K9" s="19"/>
      <c r="L9" s="19"/>
      <c r="M9" s="19"/>
      <c r="N9" s="19"/>
      <c r="O9" s="19"/>
      <c r="P9" s="19"/>
    </row>
    <row r="10" spans="1:16">
      <c r="A10" s="24" t="s">
        <v>213</v>
      </c>
      <c r="B10" s="25">
        <f ca="1">'EF ele_warmte'!B12</f>
        <v>0.17337314581205593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11604.964424285614</v>
      </c>
      <c r="C12" s="23">
        <f ca="1">C10*C8</f>
        <v>0</v>
      </c>
      <c r="D12" s="23">
        <f>D8*D10</f>
        <v>27850.009135146654</v>
      </c>
      <c r="E12" s="23">
        <f>E10*E8</f>
        <v>11419.186547913558</v>
      </c>
      <c r="F12" s="23">
        <f>F10*F8</f>
        <v>10904.823728261168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5739</v>
      </c>
      <c r="C18" s="166" t="s">
        <v>110</v>
      </c>
      <c r="D18" s="228"/>
      <c r="E18" s="15"/>
    </row>
    <row r="19" spans="1:7">
      <c r="A19" s="171" t="s">
        <v>71</v>
      </c>
      <c r="B19" s="37">
        <f>aantalw2001_ander</f>
        <v>29</v>
      </c>
      <c r="C19" s="166" t="s">
        <v>110</v>
      </c>
      <c r="D19" s="229"/>
      <c r="E19" s="15"/>
    </row>
    <row r="20" spans="1:7">
      <c r="A20" s="171" t="s">
        <v>72</v>
      </c>
      <c r="B20" s="37">
        <f>aantalw2001_propaan</f>
        <v>146</v>
      </c>
      <c r="C20" s="167">
        <f>IF(ISERROR(B20/SUM($B$20,$B$21,$B$22)*100),0,B20/SUM($B$20,$B$21,$B$22)*100)</f>
        <v>16.685714285714287</v>
      </c>
      <c r="D20" s="229"/>
      <c r="E20" s="15"/>
    </row>
    <row r="21" spans="1:7">
      <c r="A21" s="171" t="s">
        <v>73</v>
      </c>
      <c r="B21" s="37">
        <f>aantalw2001_elektriciteit</f>
        <v>564</v>
      </c>
      <c r="C21" s="167">
        <f>IF(ISERROR(B21/SUM($B$20,$B$21,$B$22)*100),0,B21/SUM($B$20,$B$21,$B$22)*100)</f>
        <v>64.457142857142856</v>
      </c>
      <c r="D21" s="229"/>
      <c r="E21" s="15"/>
    </row>
    <row r="22" spans="1:7">
      <c r="A22" s="171" t="s">
        <v>74</v>
      </c>
      <c r="B22" s="37">
        <f>aantalw2001_hout</f>
        <v>165</v>
      </c>
      <c r="C22" s="167">
        <f>IF(ISERROR(B22/SUM($B$20,$B$21,$B$22)*100),0,B22/SUM($B$20,$B$21,$B$22)*100)</f>
        <v>18.857142857142858</v>
      </c>
      <c r="D22" s="229"/>
      <c r="E22" s="15"/>
    </row>
    <row r="23" spans="1:7">
      <c r="A23" s="171" t="s">
        <v>75</v>
      </c>
      <c r="B23" s="37">
        <f>aantalw2001_niet_gespec</f>
        <v>199</v>
      </c>
      <c r="C23" s="166" t="s">
        <v>110</v>
      </c>
      <c r="D23" s="228"/>
      <c r="E23" s="15"/>
    </row>
    <row r="24" spans="1:7">
      <c r="A24" s="171" t="s">
        <v>76</v>
      </c>
      <c r="B24" s="37">
        <f>aantalw2001_steenkool</f>
        <v>307</v>
      </c>
      <c r="C24" s="166" t="s">
        <v>110</v>
      </c>
      <c r="D24" s="229"/>
      <c r="E24" s="15"/>
    </row>
    <row r="25" spans="1:7">
      <c r="A25" s="171" t="s">
        <v>77</v>
      </c>
      <c r="B25" s="37">
        <f>aantalw2001_stookolie</f>
        <v>6048</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736</v>
      </c>
      <c r="B28" s="37">
        <f>aantalHuishoudens</f>
        <v>16158</v>
      </c>
      <c r="C28" s="36"/>
      <c r="D28" s="228"/>
    </row>
    <row r="29" spans="1:7" s="15" customFormat="1">
      <c r="A29" s="230" t="s">
        <v>737</v>
      </c>
      <c r="B29" s="37">
        <f>SUM(HH_hh_gas_aantal,HH_rest_gas_aantal)</f>
        <v>10432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10432</v>
      </c>
      <c r="C32" s="167">
        <f>IF(ISERROR(B32/SUM($B$32,$B$34,$B$35,$B$36,$B$38,$B$39)*100),0,B32/SUM($B$32,$B$34,$B$35,$B$36,$B$38,$B$39)*100)</f>
        <v>65.065801783820859</v>
      </c>
      <c r="D32" s="233"/>
      <c r="G32" s="15"/>
    </row>
    <row r="33" spans="1:7">
      <c r="A33" s="171" t="s">
        <v>71</v>
      </c>
      <c r="B33" s="34" t="s">
        <v>110</v>
      </c>
      <c r="C33" s="167"/>
      <c r="D33" s="233"/>
      <c r="G33" s="15"/>
    </row>
    <row r="34" spans="1:7">
      <c r="A34" s="171" t="s">
        <v>72</v>
      </c>
      <c r="B34" s="33">
        <f>IF((($B$28-$B$32-$B$39-$B$77-$B$38)*C20/100)&lt;0,0,($B$28-$B$32-$B$39-$B$77-$B$38)*C20/100)</f>
        <v>630.16937142857148</v>
      </c>
      <c r="C34" s="167">
        <f>IF(ISERROR(B34/SUM($B$32,$B$34,$B$35,$B$36,$B$38,$B$39)*100),0,B34/SUM($B$32,$B$34,$B$35,$B$36,$B$38,$B$39)*100)</f>
        <v>3.9304520141493891</v>
      </c>
      <c r="D34" s="233"/>
      <c r="G34" s="15"/>
    </row>
    <row r="35" spans="1:7">
      <c r="A35" s="171" t="s">
        <v>73</v>
      </c>
      <c r="B35" s="33">
        <f>IF((($B$28-$B$32-$B$39-$B$77-$B$38)*C21/100)&lt;0,0,($B$28-$B$32-$B$39-$B$77-$B$38)*C21/100)</f>
        <v>2434.3529142857142</v>
      </c>
      <c r="C35" s="167">
        <f>IF(ISERROR(B35/SUM($B$32,$B$34,$B$35,$B$36,$B$38,$B$39)*100),0,B35/SUM($B$32,$B$34,$B$35,$B$36,$B$38,$B$39)*100)</f>
        <v>15.183389972467499</v>
      </c>
      <c r="D35" s="233"/>
      <c r="G35" s="15"/>
    </row>
    <row r="36" spans="1:7">
      <c r="A36" s="171" t="s">
        <v>74</v>
      </c>
      <c r="B36" s="33">
        <f>IF((($B$28-$B$32-$B$39-$B$77-$B$38)*C22/100)&lt;0,0,($B$28-$B$32-$B$39-$B$77-$B$38)*C22/100)</f>
        <v>712.17771428571427</v>
      </c>
      <c r="C36" s="167">
        <f>IF(ISERROR(B36/SUM($B$32,$B$34,$B$35,$B$36,$B$38,$B$39)*100),0,B36/SUM($B$32,$B$34,$B$35,$B$36,$B$38,$B$39)*100)</f>
        <v>4.4419491940729392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1824.3000000000002</v>
      </c>
      <c r="C39" s="167">
        <f>IF(ISERROR(B39/SUM($B$32,$B$34,$B$35,$B$36,$B$38,$B$39)*100),0,B39/SUM($B$32,$B$34,$B$35,$B$36,$B$38,$B$39)*100)</f>
        <v>11.378407035489305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10432</v>
      </c>
      <c r="C44" s="34" t="s">
        <v>110</v>
      </c>
      <c r="D44" s="174"/>
    </row>
    <row r="45" spans="1:7">
      <c r="A45" s="171" t="s">
        <v>71</v>
      </c>
      <c r="B45" s="33" t="str">
        <f t="shared" si="0"/>
        <v>-</v>
      </c>
      <c r="C45" s="34" t="s">
        <v>110</v>
      </c>
      <c r="D45" s="174"/>
    </row>
    <row r="46" spans="1:7">
      <c r="A46" s="171" t="s">
        <v>72</v>
      </c>
      <c r="B46" s="33">
        <f t="shared" si="0"/>
        <v>630.16937142857148</v>
      </c>
      <c r="C46" s="34" t="s">
        <v>110</v>
      </c>
      <c r="D46" s="174"/>
    </row>
    <row r="47" spans="1:7">
      <c r="A47" s="171" t="s">
        <v>73</v>
      </c>
      <c r="B47" s="33">
        <f t="shared" si="0"/>
        <v>2434.3529142857142</v>
      </c>
      <c r="C47" s="34" t="s">
        <v>110</v>
      </c>
      <c r="D47" s="174"/>
    </row>
    <row r="48" spans="1:7">
      <c r="A48" s="171" t="s">
        <v>74</v>
      </c>
      <c r="B48" s="33">
        <f t="shared" si="0"/>
        <v>712.17771428571427</v>
      </c>
      <c r="C48" s="33">
        <f>B48*10</f>
        <v>7121.7771428571432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1824.3000000000002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438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87840.703000000009</v>
      </c>
      <c r="C5" s="17">
        <f>IF(ISERROR('Eigen informatie GS &amp; warmtenet'!B58),0,'Eigen informatie GS &amp; warmtenet'!B58)</f>
        <v>0</v>
      </c>
      <c r="D5" s="30">
        <f>SUM(D6:D12)</f>
        <v>80457.767506475328</v>
      </c>
      <c r="E5" s="17">
        <f>SUM(E6:E12)</f>
        <v>666.51222958731273</v>
      </c>
      <c r="F5" s="17">
        <f>SUM(F6:F12)</f>
        <v>13268.950408137176</v>
      </c>
      <c r="G5" s="18"/>
      <c r="H5" s="17"/>
      <c r="I5" s="17"/>
      <c r="J5" s="17">
        <f>SUM(J6:J12)</f>
        <v>0</v>
      </c>
      <c r="K5" s="17"/>
      <c r="L5" s="17"/>
      <c r="M5" s="17"/>
      <c r="N5" s="17">
        <f>SUM(N6:N12)</f>
        <v>11818.509954041054</v>
      </c>
      <c r="O5" s="17">
        <f>B38*B39*B40</f>
        <v>3.1266666666666669</v>
      </c>
      <c r="P5" s="17">
        <f>B46*B47*B48/1000-B46*B47*B48/1000/B49</f>
        <v>114.4</v>
      </c>
      <c r="R5" s="32"/>
    </row>
    <row r="6" spans="1:18">
      <c r="A6" s="32" t="s">
        <v>53</v>
      </c>
      <c r="B6" s="37">
        <f>B26</f>
        <v>25956.597000000002</v>
      </c>
      <c r="C6" s="33"/>
      <c r="D6" s="37">
        <f>IF(ISERROR(TER_kantoor_gas_kWh/1000),0,TER_kantoor_gas_kWh/1000)*0.902</f>
        <v>15783.485055201063</v>
      </c>
      <c r="E6" s="33">
        <f>$C$26*'E Balans VL '!I12/100/3.6*1000000</f>
        <v>75.200069881778958</v>
      </c>
      <c r="F6" s="33">
        <f>$C$26*('E Balans VL '!L12+'E Balans VL '!N12)/100/3.6*1000000</f>
        <v>2937.7149122298101</v>
      </c>
      <c r="G6" s="34"/>
      <c r="H6" s="33"/>
      <c r="I6" s="33"/>
      <c r="J6" s="33">
        <f>$C$26*('E Balans VL '!D12+'E Balans VL '!E12)/100/3.6*1000000</f>
        <v>0</v>
      </c>
      <c r="K6" s="33"/>
      <c r="L6" s="33"/>
      <c r="M6" s="33"/>
      <c r="N6" s="33">
        <f>$C$26*'E Balans VL '!Y12/100/3.6*1000000</f>
        <v>259.8064102953926</v>
      </c>
      <c r="O6" s="33"/>
      <c r="P6" s="33"/>
      <c r="R6" s="32"/>
    </row>
    <row r="7" spans="1:18">
      <c r="A7" s="32" t="s">
        <v>52</v>
      </c>
      <c r="B7" s="37">
        <f t="shared" ref="B7:B12" si="0">B27</f>
        <v>5790.54</v>
      </c>
      <c r="C7" s="33"/>
      <c r="D7" s="37">
        <f>IF(ISERROR(TER_horeca_gas_kWh/1000),0,TER_horeca_gas_kWh/1000)*0.902</f>
        <v>5492.6834028323929</v>
      </c>
      <c r="E7" s="33">
        <f>$C$27*'E Balans VL '!I9/100/3.6*1000000</f>
        <v>243.07069075098815</v>
      </c>
      <c r="F7" s="33">
        <f>$C$27*('E Balans VL '!L9+'E Balans VL '!N9)/100/3.6*1000000</f>
        <v>1244.2162652065676</v>
      </c>
      <c r="G7" s="34"/>
      <c r="H7" s="33"/>
      <c r="I7" s="33"/>
      <c r="J7" s="33">
        <f>$C$27*('E Balans VL '!D9+'E Balans VL '!E9)/100/3.6*1000000</f>
        <v>0</v>
      </c>
      <c r="K7" s="33"/>
      <c r="L7" s="33"/>
      <c r="M7" s="33"/>
      <c r="N7" s="33">
        <f>$C$27*'E Balans VL '!Y9/100/3.6*1000000</f>
        <v>1.4921715178906128</v>
      </c>
      <c r="O7" s="33"/>
      <c r="P7" s="33"/>
      <c r="R7" s="32"/>
    </row>
    <row r="8" spans="1:18">
      <c r="A8" s="6" t="s">
        <v>51</v>
      </c>
      <c r="B8" s="37">
        <f t="shared" si="0"/>
        <v>17881.098999999998</v>
      </c>
      <c r="C8" s="33"/>
      <c r="D8" s="37">
        <f>IF(ISERROR(TER_handel_gas_kWh/1000),0,TER_handel_gas_kWh/1000)*0.902</f>
        <v>14535.657853950512</v>
      </c>
      <c r="E8" s="33">
        <f>$C$28*'E Balans VL '!I13/100/3.6*1000000</f>
        <v>192.05788527565272</v>
      </c>
      <c r="F8" s="33">
        <f>$C$28*('E Balans VL '!L13+'E Balans VL '!N13)/100/3.6*1000000</f>
        <v>2314.8559246215805</v>
      </c>
      <c r="G8" s="34"/>
      <c r="H8" s="33"/>
      <c r="I8" s="33"/>
      <c r="J8" s="33">
        <f>$C$28*('E Balans VL '!D13+'E Balans VL '!E13)/100/3.6*1000000</f>
        <v>0</v>
      </c>
      <c r="K8" s="33"/>
      <c r="L8" s="33"/>
      <c r="M8" s="33"/>
      <c r="N8" s="33">
        <f>$C$28*'E Balans VL '!Y13/100/3.6*1000000</f>
        <v>145.05245143845664</v>
      </c>
      <c r="O8" s="33"/>
      <c r="P8" s="33"/>
      <c r="R8" s="32"/>
    </row>
    <row r="9" spans="1:18">
      <c r="A9" s="32" t="s">
        <v>50</v>
      </c>
      <c r="B9" s="37">
        <f t="shared" si="0"/>
        <v>10372.933000000001</v>
      </c>
      <c r="C9" s="33"/>
      <c r="D9" s="37">
        <f>IF(ISERROR(TER_gezond_gas_kWh/1000),0,TER_gezond_gas_kWh/1000)*0.902</f>
        <v>20248.629574458537</v>
      </c>
      <c r="E9" s="33">
        <f>$C$29*'E Balans VL '!I10/100/3.6*1000000</f>
        <v>8.2575255713324101</v>
      </c>
      <c r="F9" s="33">
        <f>$C$29*('E Balans VL '!L10+'E Balans VL '!N10)/100/3.6*1000000</f>
        <v>1260.9799085336185</v>
      </c>
      <c r="G9" s="34"/>
      <c r="H9" s="33"/>
      <c r="I9" s="33"/>
      <c r="J9" s="33">
        <f>$C$29*('E Balans VL '!D10+'E Balans VL '!E10)/100/3.6*1000000</f>
        <v>0</v>
      </c>
      <c r="K9" s="33"/>
      <c r="L9" s="33"/>
      <c r="M9" s="33"/>
      <c r="N9" s="33">
        <f>$C$29*'E Balans VL '!Y10/100/3.6*1000000</f>
        <v>83.789804645963869</v>
      </c>
      <c r="O9" s="33"/>
      <c r="P9" s="33"/>
      <c r="R9" s="32"/>
    </row>
    <row r="10" spans="1:18">
      <c r="A10" s="32" t="s">
        <v>49</v>
      </c>
      <c r="B10" s="37">
        <f t="shared" si="0"/>
        <v>14799.852999999999</v>
      </c>
      <c r="C10" s="33"/>
      <c r="D10" s="37">
        <f>IF(ISERROR(TER_ander_gas_kWh/1000),0,TER_ander_gas_kWh/1000)*0.902</f>
        <v>7962.5988461093993</v>
      </c>
      <c r="E10" s="33">
        <f>$C$30*'E Balans VL '!I14/100/3.6*1000000</f>
        <v>50.719873715614007</v>
      </c>
      <c r="F10" s="33">
        <f>$C$30*('E Balans VL '!L14+'E Balans VL '!N14)/100/3.6*1000000</f>
        <v>3305.6857650163283</v>
      </c>
      <c r="G10" s="34"/>
      <c r="H10" s="33"/>
      <c r="I10" s="33"/>
      <c r="J10" s="33">
        <f>$C$30*('E Balans VL '!D14+'E Balans VL '!E14)/100/3.6*1000000</f>
        <v>0</v>
      </c>
      <c r="K10" s="33"/>
      <c r="L10" s="33"/>
      <c r="M10" s="33"/>
      <c r="N10" s="33">
        <f>$C$30*'E Balans VL '!Y14/100/3.6*1000000</f>
        <v>10425.09730321654</v>
      </c>
      <c r="O10" s="33"/>
      <c r="P10" s="33"/>
      <c r="R10" s="32"/>
    </row>
    <row r="11" spans="1:18">
      <c r="A11" s="32" t="s">
        <v>54</v>
      </c>
      <c r="B11" s="37">
        <f t="shared" si="0"/>
        <v>2477.5839999999998</v>
      </c>
      <c r="C11" s="33"/>
      <c r="D11" s="37">
        <f>IF(ISERROR(TER_onderwijs_gas_kWh/1000),0,TER_onderwijs_gas_kWh/1000)*0.902</f>
        <v>3540.8757950006488</v>
      </c>
      <c r="E11" s="33">
        <f>$C$31*'E Balans VL '!I11/100/3.6*1000000</f>
        <v>1.712677515617987</v>
      </c>
      <c r="F11" s="33">
        <f>$C$31*('E Balans VL '!L11+'E Balans VL '!N11)/100/3.6*1000000</f>
        <v>648.55952226800935</v>
      </c>
      <c r="G11" s="34"/>
      <c r="H11" s="33"/>
      <c r="I11" s="33"/>
      <c r="J11" s="33">
        <f>$C$31*('E Balans VL '!D11+'E Balans VL '!E11)/100/3.6*1000000</f>
        <v>0</v>
      </c>
      <c r="K11" s="33"/>
      <c r="L11" s="33"/>
      <c r="M11" s="33"/>
      <c r="N11" s="33">
        <f>$C$31*'E Balans VL '!Y11/100/3.6*1000000</f>
        <v>2.4662238478565071</v>
      </c>
      <c r="O11" s="33"/>
      <c r="P11" s="33"/>
      <c r="R11" s="32"/>
    </row>
    <row r="12" spans="1:18">
      <c r="A12" s="32" t="s">
        <v>259</v>
      </c>
      <c r="B12" s="37">
        <f t="shared" si="0"/>
        <v>10562.097</v>
      </c>
      <c r="C12" s="33"/>
      <c r="D12" s="37">
        <f>IF(ISERROR(TER_rest_gas_kWh/1000),0,TER_rest_gas_kWh/1000)*0.902</f>
        <v>12893.836978922765</v>
      </c>
      <c r="E12" s="33">
        <f>$C$32*'E Balans VL '!I8/100/3.6*1000000</f>
        <v>95.493506876328581</v>
      </c>
      <c r="F12" s="33">
        <f>$C$32*('E Balans VL '!L8+'E Balans VL '!N8)/100/3.6*1000000</f>
        <v>1556.9381102612631</v>
      </c>
      <c r="G12" s="34"/>
      <c r="H12" s="33"/>
      <c r="I12" s="33"/>
      <c r="J12" s="33">
        <f>$C$32*('E Balans VL '!D8+'E Balans VL '!E8)/100/3.6*1000000</f>
        <v>0</v>
      </c>
      <c r="K12" s="33"/>
      <c r="L12" s="33"/>
      <c r="M12" s="33"/>
      <c r="N12" s="33">
        <f>$C$32*'E Balans VL '!Y8/100/3.6*1000000</f>
        <v>900.8055890789542</v>
      </c>
      <c r="O12" s="33"/>
      <c r="P12" s="33"/>
      <c r="R12" s="32"/>
    </row>
    <row r="13" spans="1:18">
      <c r="A13" s="16" t="s">
        <v>493</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87840.703000000009</v>
      </c>
      <c r="C16" s="21">
        <f t="shared" ca="1" si="1"/>
        <v>0</v>
      </c>
      <c r="D16" s="21">
        <f t="shared" ca="1" si="1"/>
        <v>80457.767506475328</v>
      </c>
      <c r="E16" s="21">
        <f t="shared" si="1"/>
        <v>666.51222958731273</v>
      </c>
      <c r="F16" s="21">
        <f t="shared" ca="1" si="1"/>
        <v>13268.950408137176</v>
      </c>
      <c r="G16" s="21">
        <f t="shared" si="1"/>
        <v>0</v>
      </c>
      <c r="H16" s="21">
        <f t="shared" si="1"/>
        <v>0</v>
      </c>
      <c r="I16" s="21">
        <f t="shared" si="1"/>
        <v>0</v>
      </c>
      <c r="J16" s="21">
        <f t="shared" si="1"/>
        <v>0</v>
      </c>
      <c r="K16" s="21">
        <f t="shared" si="1"/>
        <v>0</v>
      </c>
      <c r="L16" s="21">
        <f t="shared" ca="1" si="1"/>
        <v>0</v>
      </c>
      <c r="M16" s="21">
        <f t="shared" si="1"/>
        <v>0</v>
      </c>
      <c r="N16" s="21">
        <f t="shared" ca="1" si="1"/>
        <v>11818.509954041054</v>
      </c>
      <c r="O16" s="21">
        <f>O5</f>
        <v>3.1266666666666669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0.17337314581205593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15229.219009452499</v>
      </c>
      <c r="C20" s="23">
        <f t="shared" ref="C20:P20" ca="1" si="2">C16*C18</f>
        <v>0</v>
      </c>
      <c r="D20" s="23">
        <f t="shared" ca="1" si="2"/>
        <v>16252.469036308017</v>
      </c>
      <c r="E20" s="23">
        <f t="shared" si="2"/>
        <v>151.29827611631998</v>
      </c>
      <c r="F20" s="23">
        <f t="shared" ca="1" si="2"/>
        <v>3542.8097589726262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25956.597000000002</v>
      </c>
      <c r="C26" s="39">
        <f>IF(ISERROR(B26*3.6/1000000/'E Balans VL '!Z12*100),0,B26*3.6/1000000/'E Balans VL '!Z12*100)</f>
        <v>0.57016666193613363</v>
      </c>
      <c r="D26" s="237" t="s">
        <v>691</v>
      </c>
      <c r="F26" s="6"/>
    </row>
    <row r="27" spans="1:18">
      <c r="A27" s="231" t="s">
        <v>52</v>
      </c>
      <c r="B27" s="33">
        <f>IF(ISERROR(TER_horeca_ele_kWh/1000),0,TER_horeca_ele_kWh/1000)</f>
        <v>5790.54</v>
      </c>
      <c r="C27" s="39">
        <f>IF(ISERROR(B27*3.6/1000000/'E Balans VL '!Z9*100),0,B27*3.6/1000000/'E Balans VL '!Z9*100)</f>
        <v>0.4653276097844648</v>
      </c>
      <c r="D27" s="237" t="s">
        <v>691</v>
      </c>
      <c r="F27" s="6"/>
    </row>
    <row r="28" spans="1:18">
      <c r="A28" s="171" t="s">
        <v>51</v>
      </c>
      <c r="B28" s="33">
        <f>IF(ISERROR(TER_handel_ele_kWh/1000),0,TER_handel_ele_kWh/1000)</f>
        <v>17881.098999999998</v>
      </c>
      <c r="C28" s="39">
        <f>IF(ISERROR(B28*3.6/1000000/'E Balans VL '!Z13*100),0,B28*3.6/1000000/'E Balans VL '!Z13*100)</f>
        <v>0.52873160543194941</v>
      </c>
      <c r="D28" s="237" t="s">
        <v>691</v>
      </c>
      <c r="F28" s="6"/>
    </row>
    <row r="29" spans="1:18">
      <c r="A29" s="231" t="s">
        <v>50</v>
      </c>
      <c r="B29" s="33">
        <f>IF(ISERROR(TER_gezond_ele_kWh/1000),0,TER_gezond_ele_kWh/1000)</f>
        <v>10372.933000000001</v>
      </c>
      <c r="C29" s="39">
        <f>IF(ISERROR(B29*3.6/1000000/'E Balans VL '!Z10*100),0,B29*3.6/1000000/'E Balans VL '!Z10*100)</f>
        <v>1.1687617435770568</v>
      </c>
      <c r="D29" s="237" t="s">
        <v>691</v>
      </c>
      <c r="F29" s="6"/>
    </row>
    <row r="30" spans="1:18">
      <c r="A30" s="231" t="s">
        <v>49</v>
      </c>
      <c r="B30" s="33">
        <f>IF(ISERROR(TER_ander_ele_kWh/1000),0,TER_ander_ele_kWh/1000)</f>
        <v>14799.852999999999</v>
      </c>
      <c r="C30" s="39">
        <f>IF(ISERROR(B30*3.6/1000000/'E Balans VL '!Z14*100),0,B30*3.6/1000000/'E Balans VL '!Z14*100)</f>
        <v>1.1192875831840632</v>
      </c>
      <c r="D30" s="237" t="s">
        <v>691</v>
      </c>
      <c r="F30" s="6"/>
    </row>
    <row r="31" spans="1:18">
      <c r="A31" s="231" t="s">
        <v>54</v>
      </c>
      <c r="B31" s="33">
        <f>IF(ISERROR(TER_onderwijs_ele_kWh/1000),0,TER_onderwijs_ele_kWh/1000)</f>
        <v>2477.5839999999998</v>
      </c>
      <c r="C31" s="39">
        <f>IF(ISERROR(B31*3.6/1000000/'E Balans VL '!Z11*100),0,B31*3.6/1000000/'E Balans VL '!Z11*100)</f>
        <v>0.51428892375656809</v>
      </c>
      <c r="D31" s="237" t="s">
        <v>691</v>
      </c>
    </row>
    <row r="32" spans="1:18">
      <c r="A32" s="231" t="s">
        <v>259</v>
      </c>
      <c r="B32" s="33">
        <f>IF(ISERROR(TER_rest_ele_kWh/1000),0,TER_rest_ele_kWh/1000)</f>
        <v>10562.097</v>
      </c>
      <c r="C32" s="39">
        <f>IF(ISERROR(B32*3.6/1000000/'E Balans VL '!Z8*100),0,B32*3.6/1000000/'E Balans VL '!Z8*100)</f>
        <v>8.8979453753751894E-2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105325.85401</v>
      </c>
      <c r="C5" s="17">
        <f>IF(ISERROR('Eigen informatie GS &amp; warmtenet'!B59),0,'Eigen informatie GS &amp; warmtenet'!B59)</f>
        <v>0</v>
      </c>
      <c r="D5" s="30">
        <f>SUM(D6:D15)</f>
        <v>115175.43293971191</v>
      </c>
      <c r="E5" s="17">
        <f>SUM(E6:E15)</f>
        <v>3116.9553065710315</v>
      </c>
      <c r="F5" s="17">
        <f>SUM(F6:F15)</f>
        <v>13195.547262885117</v>
      </c>
      <c r="G5" s="18"/>
      <c r="H5" s="17"/>
      <c r="I5" s="17"/>
      <c r="J5" s="17">
        <f>SUM(J6:J15)</f>
        <v>141.38191526394613</v>
      </c>
      <c r="K5" s="17"/>
      <c r="L5" s="17"/>
      <c r="M5" s="17"/>
      <c r="N5" s="17">
        <f>SUM(N6:N15)</f>
        <v>3586.6069861501983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33237.716249454243</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1797.6969999999999</v>
      </c>
      <c r="C8" s="33"/>
      <c r="D8" s="37">
        <f>IF( ISERROR(IND_metaal_Gas_kWH/1000),0,IND_metaal_Gas_kWH/1000)*0.902</f>
        <v>212.32734140070443</v>
      </c>
      <c r="E8" s="33">
        <f>C30*'E Balans VL '!I18/100/3.6*1000000</f>
        <v>44.990064105293122</v>
      </c>
      <c r="F8" s="33">
        <f>C30*'E Balans VL '!L18/100/3.6*1000000+C30*'E Balans VL '!N18/100/3.6*1000000</f>
        <v>563.40718200475737</v>
      </c>
      <c r="G8" s="34"/>
      <c r="H8" s="33"/>
      <c r="I8" s="33"/>
      <c r="J8" s="40">
        <f>C30*'E Balans VL '!D18/100/3.6*1000000+C30*'E Balans VL '!E18/100/3.6*1000000</f>
        <v>0</v>
      </c>
      <c r="K8" s="33"/>
      <c r="L8" s="33"/>
      <c r="M8" s="33"/>
      <c r="N8" s="33">
        <f>C30*'E Balans VL '!Y18/100/3.6*1000000</f>
        <v>45.162814070543682</v>
      </c>
      <c r="O8" s="33"/>
      <c r="P8" s="33"/>
      <c r="R8" s="32"/>
    </row>
    <row r="9" spans="1:18">
      <c r="A9" s="6" t="s">
        <v>32</v>
      </c>
      <c r="B9" s="37">
        <f t="shared" si="0"/>
        <v>4748.6980000000003</v>
      </c>
      <c r="C9" s="33"/>
      <c r="D9" s="37">
        <f>IF( ISERROR(IND_andere_gas_kWh/1000),0,IND_andere_gas_kWh/1000)*0.902</f>
        <v>3083.7850796631492</v>
      </c>
      <c r="E9" s="33">
        <f>C31*'E Balans VL '!I19/100/3.6*1000000</f>
        <v>1305.69718188753</v>
      </c>
      <c r="F9" s="33">
        <f>C31*'E Balans VL '!L19/100/3.6*1000000+C31*'E Balans VL '!N19/100/3.6*1000000</f>
        <v>3742.8003567810078</v>
      </c>
      <c r="G9" s="34"/>
      <c r="H9" s="33"/>
      <c r="I9" s="33"/>
      <c r="J9" s="40">
        <f>C31*'E Balans VL '!D19/100/3.6*1000000+C31*'E Balans VL '!E19/100/3.6*1000000</f>
        <v>0</v>
      </c>
      <c r="K9" s="33"/>
      <c r="L9" s="33"/>
      <c r="M9" s="33"/>
      <c r="N9" s="33">
        <f>C31*'E Balans VL '!Y19/100/3.6*1000000</f>
        <v>382.55810329803484</v>
      </c>
      <c r="O9" s="33"/>
      <c r="P9" s="33"/>
      <c r="R9" s="32"/>
    </row>
    <row r="10" spans="1:18">
      <c r="A10" s="6" t="s">
        <v>40</v>
      </c>
      <c r="B10" s="37">
        <f t="shared" si="0"/>
        <v>717.91660000000002</v>
      </c>
      <c r="C10" s="33"/>
      <c r="D10" s="37">
        <f>IF( ISERROR(IND_voed_gas_kWh/1000),0,IND_voed_gas_kWh/1000)*0.902</f>
        <v>3657.4874830043073</v>
      </c>
      <c r="E10" s="33">
        <f>C32*'E Balans VL '!I20/100/3.6*1000000</f>
        <v>7.3187642344883121</v>
      </c>
      <c r="F10" s="33">
        <f>C32*'E Balans VL '!L20/100/3.6*1000000+C32*'E Balans VL '!N20/100/3.6*1000000</f>
        <v>1356.1399672651041</v>
      </c>
      <c r="G10" s="34"/>
      <c r="H10" s="33"/>
      <c r="I10" s="33"/>
      <c r="J10" s="40">
        <f>C32*'E Balans VL '!D20/100/3.6*1000000+C32*'E Balans VL '!E20/100/3.6*1000000</f>
        <v>17.182093271750208</v>
      </c>
      <c r="K10" s="33"/>
      <c r="L10" s="33"/>
      <c r="M10" s="33"/>
      <c r="N10" s="33">
        <f>C32*'E Balans VL '!Y20/100/3.6*1000000</f>
        <v>378.42474205210499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208.75899999999999</v>
      </c>
      <c r="C12" s="33"/>
      <c r="D12" s="37">
        <f>IF( ISERROR(IND_min_gas_kWh/1000),0,IND_min_gas_kWh/1000)*0.902</f>
        <v>0</v>
      </c>
      <c r="E12" s="33">
        <f>C34*'E Balans VL '!I22/100/3.6*1000000</f>
        <v>0.63223657825408686</v>
      </c>
      <c r="F12" s="33">
        <f>C34*'E Balans VL '!L22/100/3.6*1000000+C34*'E Balans VL '!N22/100/3.6*1000000</f>
        <v>6.5238982276495436</v>
      </c>
      <c r="G12" s="34"/>
      <c r="H12" s="33"/>
      <c r="I12" s="33"/>
      <c r="J12" s="40">
        <f>C34*'E Balans VL '!D22/100/3.6*1000000+C34*'E Balans VL '!E22/100/3.6*1000000</f>
        <v>0.30954325488996415</v>
      </c>
      <c r="K12" s="33"/>
      <c r="L12" s="33"/>
      <c r="M12" s="33"/>
      <c r="N12" s="33">
        <f>C34*'E Balans VL '!Y22/100/3.6*1000000</f>
        <v>0</v>
      </c>
      <c r="O12" s="33"/>
      <c r="P12" s="33"/>
      <c r="R12" s="32"/>
    </row>
    <row r="13" spans="1:18">
      <c r="A13" s="6" t="s">
        <v>38</v>
      </c>
      <c r="B13" s="37">
        <f t="shared" si="0"/>
        <v>85.598410000000001</v>
      </c>
      <c r="C13" s="33"/>
      <c r="D13" s="37">
        <f>IF( ISERROR(IND_papier_gas_kWh/1000),0,IND_papier_gas_kWh/1000)*0.902</f>
        <v>133.90768086880129</v>
      </c>
      <c r="E13" s="33">
        <f>C35*'E Balans VL '!I23/100/3.6*1000000</f>
        <v>0.1772800848635491</v>
      </c>
      <c r="F13" s="33">
        <f>C35*'E Balans VL '!L23/100/3.6*1000000+C35*'E Balans VL '!N23/100/3.6*1000000</f>
        <v>1.6975999787056486</v>
      </c>
      <c r="G13" s="34"/>
      <c r="H13" s="33"/>
      <c r="I13" s="33"/>
      <c r="J13" s="40">
        <f>C35*'E Balans VL '!D23/100/3.6*1000000+C35*'E Balans VL '!E23/100/3.6*1000000</f>
        <v>0</v>
      </c>
      <c r="K13" s="33"/>
      <c r="L13" s="33"/>
      <c r="M13" s="33"/>
      <c r="N13" s="33">
        <f>C35*'E Balans VL '!Y23/100/3.6*1000000</f>
        <v>5.9366823946753877</v>
      </c>
      <c r="O13" s="33"/>
      <c r="P13" s="33"/>
      <c r="R13" s="32"/>
    </row>
    <row r="14" spans="1:18">
      <c r="A14" s="6" t="s">
        <v>33</v>
      </c>
      <c r="B14" s="37">
        <f t="shared" si="0"/>
        <v>68236.667000000001</v>
      </c>
      <c r="C14" s="33"/>
      <c r="D14" s="37">
        <f>IF( ISERROR(IND_chemie_gas_kWh/1000),0,IND_chemie_gas_kWh/1000)*0.902</f>
        <v>71021.214423859506</v>
      </c>
      <c r="E14" s="33">
        <f>C36*'E Balans VL '!I24/100/3.6*1000000</f>
        <v>255.83047881603724</v>
      </c>
      <c r="F14" s="33">
        <f>C36*'E Balans VL '!L24/100/3.6*1000000+C36*'E Balans VL '!N24/100/3.6*1000000</f>
        <v>793.86214386713209</v>
      </c>
      <c r="G14" s="34"/>
      <c r="H14" s="33"/>
      <c r="I14" s="33"/>
      <c r="J14" s="40">
        <f>C36*'E Balans VL '!D24/100/3.6*1000000+C36*'E Balans VL '!E24/100/3.6*1000000</f>
        <v>0</v>
      </c>
      <c r="K14" s="33"/>
      <c r="L14" s="33"/>
      <c r="M14" s="33"/>
      <c r="N14" s="33">
        <f>C36*'E Balans VL '!Y24/100/3.6*1000000</f>
        <v>1165.7907075874421</v>
      </c>
      <c r="O14" s="33"/>
      <c r="P14" s="33"/>
      <c r="R14" s="32"/>
    </row>
    <row r="15" spans="1:18">
      <c r="A15" s="6" t="s">
        <v>269</v>
      </c>
      <c r="B15" s="37">
        <f t="shared" si="0"/>
        <v>29530.518</v>
      </c>
      <c r="C15" s="33"/>
      <c r="D15" s="37">
        <f>IF( ISERROR(IND_rest_gas_kWh/1000),0,IND_rest_gas_kWh/1000)*0.902</f>
        <v>3828.9946814611981</v>
      </c>
      <c r="E15" s="33">
        <f>C37*'E Balans VL '!I15/100/3.6*1000000</f>
        <v>1502.3093008645656</v>
      </c>
      <c r="F15" s="33">
        <f>C37*'E Balans VL '!L15/100/3.6*1000000+C37*'E Balans VL '!N15/100/3.6*1000000</f>
        <v>6731.116114760759</v>
      </c>
      <c r="G15" s="34"/>
      <c r="H15" s="33"/>
      <c r="I15" s="33"/>
      <c r="J15" s="40">
        <f>C37*'E Balans VL '!D15/100/3.6*1000000+C37*'E Balans VL '!E15/100/3.6*1000000</f>
        <v>123.89027873730595</v>
      </c>
      <c r="K15" s="33"/>
      <c r="L15" s="33"/>
      <c r="M15" s="33"/>
      <c r="N15" s="33">
        <f>C37*'E Balans VL '!Y15/100/3.6*1000000</f>
        <v>1608.7339367473974</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105325.85401</v>
      </c>
      <c r="C18" s="21">
        <f>C5+C16</f>
        <v>0</v>
      </c>
      <c r="D18" s="21">
        <f>MAX((D5+D16),0)</f>
        <v>115175.43293971191</v>
      </c>
      <c r="E18" s="21">
        <f>MAX((E5+E16),0)</f>
        <v>3116.9553065710315</v>
      </c>
      <c r="F18" s="21">
        <f>MAX((F5+F16),0)</f>
        <v>13195.547262885117</v>
      </c>
      <c r="G18" s="21"/>
      <c r="H18" s="21"/>
      <c r="I18" s="21"/>
      <c r="J18" s="21">
        <f>MAX((J5+J16),0)</f>
        <v>141.38191526394613</v>
      </c>
      <c r="K18" s="21"/>
      <c r="L18" s="21">
        <f>MAX((L5+L16),0)</f>
        <v>0</v>
      </c>
      <c r="M18" s="21"/>
      <c r="N18" s="21">
        <f>MAX((N5+N16),0)</f>
        <v>3586.6069861501983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0.17337314581205593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18260.674645055045</v>
      </c>
      <c r="C22" s="23">
        <f ca="1">C18*C20</f>
        <v>0</v>
      </c>
      <c r="D22" s="23">
        <f>D18*D20</f>
        <v>23265.437453821807</v>
      </c>
      <c r="E22" s="23">
        <f>E18*E20</f>
        <v>707.54885459162415</v>
      </c>
      <c r="F22" s="23">
        <f>F18*F20</f>
        <v>3523.2111191903264</v>
      </c>
      <c r="G22" s="23"/>
      <c r="H22" s="23"/>
      <c r="I22" s="23"/>
      <c r="J22" s="23">
        <f>J18*J20</f>
        <v>50.049198003436928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1797.6969999999999</v>
      </c>
      <c r="C30" s="39">
        <f>IF(ISERROR(B30*3.6/1000000/'E Balans VL '!Z18*100),0,B30*3.6/1000000/'E Balans VL '!Z18*100)</f>
        <v>0.25161767108564292</v>
      </c>
      <c r="D30" s="237" t="s">
        <v>691</v>
      </c>
    </row>
    <row r="31" spans="1:18">
      <c r="A31" s="6" t="s">
        <v>32</v>
      </c>
      <c r="B31" s="37">
        <f>IF( ISERROR(IND_ander_ele_kWh/1000),0,IND_ander_ele_kWh/1000)</f>
        <v>4748.6980000000003</v>
      </c>
      <c r="C31" s="39">
        <f>IF(ISERROR(B31*3.6/1000000/'E Balans VL '!Z19*100),0,B31*3.6/1000000/'E Balans VL '!Z19*100)</f>
        <v>0.20784974111173771</v>
      </c>
      <c r="D31" s="237" t="s">
        <v>691</v>
      </c>
    </row>
    <row r="32" spans="1:18">
      <c r="A32" s="171" t="s">
        <v>40</v>
      </c>
      <c r="B32" s="37">
        <f>IF( ISERROR(IND_voed_ele_kWh/1000),0,IND_voed_ele_kWh/1000)</f>
        <v>717.91660000000002</v>
      </c>
      <c r="C32" s="39">
        <f>IF(ISERROR(B32*3.6/1000000/'E Balans VL '!Z20*100),0,B32*3.6/1000000/'E Balans VL '!Z20*100)</f>
        <v>0.1777323093256746</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208.75899999999999</v>
      </c>
      <c r="C34" s="39">
        <f>IF(ISERROR(B34*3.6/1000000/'E Balans VL '!Z22*100),0,B34*3.6/1000000/'E Balans VL '!Z22*100)</f>
        <v>5.923728729053666E-3</v>
      </c>
      <c r="D34" s="237" t="s">
        <v>691</v>
      </c>
    </row>
    <row r="35" spans="1:5">
      <c r="A35" s="171" t="s">
        <v>38</v>
      </c>
      <c r="B35" s="37">
        <f>IF( ISERROR(IND_papier_ele_kWh/1000),0,IND_papier_ele_kWh/1000)</f>
        <v>85.598410000000001</v>
      </c>
      <c r="C35" s="39">
        <f>IF(ISERROR(B35*3.6/1000000/'E Balans VL '!Z22*100),0,B35*3.6/1000000/'E Balans VL '!Z22*100)</f>
        <v>2.4289336530559863E-3</v>
      </c>
      <c r="D35" s="237" t="s">
        <v>691</v>
      </c>
    </row>
    <row r="36" spans="1:5">
      <c r="A36" s="171" t="s">
        <v>33</v>
      </c>
      <c r="B36" s="37">
        <f>IF( ISERROR(IND_chemie_ele_kWh/1000),0,IND_chemie_ele_kWh/1000)</f>
        <v>68236.667000000001</v>
      </c>
      <c r="C36" s="39">
        <f>IF(ISERROR(B36*3.6/1000000/'E Balans VL '!Z24*100),0,B36*3.6/1000000/'E Balans VL '!Z24*100)</f>
        <v>1.7399308563559313</v>
      </c>
      <c r="D36" s="237" t="s">
        <v>691</v>
      </c>
    </row>
    <row r="37" spans="1:5">
      <c r="A37" s="171" t="s">
        <v>269</v>
      </c>
      <c r="B37" s="37">
        <f>IF( ISERROR(IND_rest_ele_kWh/1000),0,IND_rest_ele_kWh/1000)</f>
        <v>29530.518</v>
      </c>
      <c r="C37" s="39">
        <f>IF(ISERROR(B37*3.6/1000000/'E Balans VL '!Z15*100),0,B37*3.6/1000000/'E Balans VL '!Z15*100)</f>
        <v>0.21896373513137329</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3776.2221</v>
      </c>
      <c r="C5" s="17">
        <f>'Eigen informatie GS &amp; warmtenet'!B60</f>
        <v>0</v>
      </c>
      <c r="D5" s="30">
        <f>IF(ISERROR(SUM(LB_lb_gas_kWh,LB_rest_gas_kWh)/1000),0,SUM(LB_lb_gas_kWh,LB_rest_gas_kWh)/1000)*0.902</f>
        <v>453.32620675618841</v>
      </c>
      <c r="E5" s="17">
        <f>B17*'E Balans VL '!I25/3.6*1000000/100</f>
        <v>34.976950717401699</v>
      </c>
      <c r="F5" s="17">
        <f>B17*('E Balans VL '!L25/3.6*1000000+'E Balans VL '!N25/3.6*1000000)/100</f>
        <v>9580.9948372718191</v>
      </c>
      <c r="G5" s="18"/>
      <c r="H5" s="17"/>
      <c r="I5" s="17"/>
      <c r="J5" s="17">
        <f>('E Balans VL '!D25+'E Balans VL '!E25)/3.6*1000000*landbouw!B17/100</f>
        <v>578.9369906916337</v>
      </c>
      <c r="K5" s="17"/>
      <c r="L5" s="17">
        <f>L6*(-1)</f>
        <v>0</v>
      </c>
      <c r="M5" s="17"/>
      <c r="N5" s="17">
        <f>N6*(-1)</f>
        <v>57407.142857142862</v>
      </c>
      <c r="O5" s="17"/>
      <c r="P5" s="17"/>
      <c r="R5" s="32"/>
    </row>
    <row r="6" spans="1:18">
      <c r="A6" s="16" t="s">
        <v>493</v>
      </c>
      <c r="B6" s="17" t="s">
        <v>210</v>
      </c>
      <c r="C6" s="17">
        <f>'lokale energieproductie'!O40+'lokale energieproductie'!O33</f>
        <v>28703.571428571428</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3776.2221</v>
      </c>
      <c r="C8" s="21">
        <f>C5+C6</f>
        <v>28703.571428571428</v>
      </c>
      <c r="D8" s="21">
        <f>MAX((D5+D6),0)</f>
        <v>453.32620675618841</v>
      </c>
      <c r="E8" s="21">
        <f>MAX((E5+E6),0)</f>
        <v>34.976950717401699</v>
      </c>
      <c r="F8" s="21">
        <f>MAX((F5+F6),0)</f>
        <v>9580.9948372718191</v>
      </c>
      <c r="G8" s="21"/>
      <c r="H8" s="21"/>
      <c r="I8" s="21"/>
      <c r="J8" s="21">
        <f>MAX((J5+J6),0)</f>
        <v>578.9369906916337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0.17337314581205593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654.695504762008</v>
      </c>
      <c r="C12" s="23">
        <f ca="1">C8*C10</f>
        <v>0</v>
      </c>
      <c r="D12" s="23">
        <f>D8*D10</f>
        <v>91.571893764750058</v>
      </c>
      <c r="E12" s="23">
        <f>E8*E10</f>
        <v>7.9397678128501861</v>
      </c>
      <c r="F12" s="23">
        <f>F8*F10</f>
        <v>2558.1256215515759</v>
      </c>
      <c r="G12" s="23"/>
      <c r="H12" s="23"/>
      <c r="I12" s="23"/>
      <c r="J12" s="23">
        <f>J8*J10</f>
        <v>204.94369470483832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0.53689871287149848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888.74462182996626</v>
      </c>
      <c r="C26" s="247">
        <f>B26*'GWP N2O_CH4'!B5</f>
        <v>18663.637058429293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295.99197228541925</v>
      </c>
      <c r="C27" s="247">
        <f>B27*'GWP N2O_CH4'!B5</f>
        <v>6215.8314179938043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19.031528129733079</v>
      </c>
      <c r="C28" s="247">
        <f>B28*'GWP N2O_CH4'!B4</f>
        <v>5899.7737202172548</v>
      </c>
      <c r="D28" s="50"/>
    </row>
    <row r="29" spans="1:4">
      <c r="A29" s="41" t="s">
        <v>276</v>
      </c>
      <c r="B29" s="247">
        <f>B34*'ha_N2O bodem landbouw'!B4</f>
        <v>35.250366560913434</v>
      </c>
      <c r="C29" s="247">
        <f>B29*'GWP N2O_CH4'!B4</f>
        <v>10927.613633883164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7.906036202964652E-3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1.5780293180332264E-4</v>
      </c>
      <c r="C5" s="438" t="s">
        <v>210</v>
      </c>
      <c r="D5" s="423">
        <f>SUM(D6:D11)</f>
        <v>3.0397872819457576E-4</v>
      </c>
      <c r="E5" s="423">
        <f>SUM(E6:E11)</f>
        <v>3.0401948826814136E-3</v>
      </c>
      <c r="F5" s="436" t="s">
        <v>210</v>
      </c>
      <c r="G5" s="423">
        <f>SUM(G6:G11)</f>
        <v>1.0836168526443859</v>
      </c>
      <c r="H5" s="423">
        <f>SUM(H6:H11)</f>
        <v>0.18628720188817002</v>
      </c>
      <c r="I5" s="438" t="s">
        <v>210</v>
      </c>
      <c r="J5" s="438" t="s">
        <v>210</v>
      </c>
      <c r="K5" s="438" t="s">
        <v>210</v>
      </c>
      <c r="L5" s="438" t="s">
        <v>210</v>
      </c>
      <c r="M5" s="423">
        <f>SUM(M6:M11)</f>
        <v>6.8507311481234748E-2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1.043620682990098E-4</v>
      </c>
      <c r="C6" s="424"/>
      <c r="D6" s="866">
        <f>vkm_GW_PW*SUMIFS(TableVerdeelsleutelVkm[CNG],TableVerdeelsleutelVkm[Voertuigtype],"Lichte voertuigen")*SUMIFS(TableECFTransport[EnergieConsumptieFactor (PJ per km)],TableECFTransport[Index],CONCATENATE($A6,"_CNG_CNG"))</f>
        <v>1.8211019024890677E-4</v>
      </c>
      <c r="E6" s="866">
        <f>vkm_GW_PW*SUMIFS(TableVerdeelsleutelVkm[LPG],TableVerdeelsleutelVkm[Voertuigtype],"Lichte voertuigen")*SUMIFS(TableECFTransport[EnergieConsumptieFactor (PJ per km)],TableECFTransport[Index],CONCATENATE($A6,"_LPG_LPG"))</f>
        <v>1.7638267128734476E-3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0.41452962757337158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0.11152323106360645</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2.7435025778670356E-2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0.22606207170544187</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4.3840621327075558E-6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1.3106567845734673E-2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2.2474138596674348E-5</v>
      </c>
      <c r="C8" s="424"/>
      <c r="D8" s="426">
        <f>vkm_NGW_PW*SUMIFS(TableVerdeelsleutelVkm[CNG],TableVerdeelsleutelVkm[Voertuigtype],"Lichte voertuigen")*SUMIFS(TableECFTransport[EnergieConsumptieFactor (PJ per km)],TableECFTransport[Index],CONCATENATE($A8,"_CNG_CNG"))</f>
        <v>6.7153885359301266E-5</v>
      </c>
      <c r="E8" s="426">
        <f>vkm_NGW_PW*SUMIFS(TableVerdeelsleutelVkm[LPG],TableVerdeelsleutelVkm[Voertuigtype],"Lichte voertuigen")*SUMIFS(TableECFTransport[EnergieConsumptieFactor (PJ per km)],TableECFTransport[Index],CONCATENATE($A8,"_LPG_LPG"))</f>
        <v>6.155262023271981E-4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0.13578619052593019</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3.9707601954015147E-2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9.0836924551074404E-3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1.2125083692064352E-2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2.9126616610781962E-7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7.029866524706828E-4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3.0966724907638495E-5</v>
      </c>
      <c r="C10" s="424"/>
      <c r="D10" s="426">
        <f>vkm_SW_PW*SUMIFS(TableVerdeelsleutelVkm[CNG],TableVerdeelsleutelVkm[Voertuigtype],"Lichte voertuigen")*SUMIFS(TableECFTransport[EnergieConsumptieFactor (PJ per km)],TableECFTransport[Index],CONCATENATE($A10,"_CNG_CNG"))</f>
        <v>5.4714652586367728E-5</v>
      </c>
      <c r="E10" s="426">
        <f>vkm_SW_PW*SUMIFS(TableVerdeelsleutelVkm[LPG],TableVerdeelsleutelVkm[Voertuigtype],"Lichte voertuigen")*SUMIFS(TableECFTransport[EnergieConsumptieFactor (PJ per km)],TableECFTransport[Index],CONCATENATE($A10,"_LPG_LPG"))</f>
        <v>6.6084196748076804E-4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0.13964984039506984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3.5048490079430748E-2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9.1655794985930766E-3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0.15546403875250808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3.2034628188446811E-6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9.0134592506585128E-3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43.834147723145172</v>
      </c>
      <c r="C14" s="21"/>
      <c r="D14" s="21">
        <f t="shared" ref="D14:M14" si="0">((D5)*10^9/3600)+D12</f>
        <v>84.438535609604372</v>
      </c>
      <c r="E14" s="21">
        <f t="shared" si="0"/>
        <v>844.49857852261482</v>
      </c>
      <c r="F14" s="21"/>
      <c r="G14" s="21">
        <f t="shared" si="0"/>
        <v>301004.6812901072</v>
      </c>
      <c r="H14" s="21">
        <f t="shared" si="0"/>
        <v>51746.444968936121</v>
      </c>
      <c r="I14" s="21"/>
      <c r="J14" s="21"/>
      <c r="K14" s="21"/>
      <c r="L14" s="21"/>
      <c r="M14" s="21">
        <f t="shared" si="0"/>
        <v>19029.808744787428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0.17337314581205593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7.5996640847520469</v>
      </c>
      <c r="C18" s="23"/>
      <c r="D18" s="23">
        <f t="shared" ref="D18:M18" si="1">D14*D16</f>
        <v>17.056584193140083</v>
      </c>
      <c r="E18" s="23">
        <f t="shared" si="1"/>
        <v>191.70117732463356</v>
      </c>
      <c r="F18" s="23"/>
      <c r="G18" s="23">
        <f t="shared" si="1"/>
        <v>80368.249904458629</v>
      </c>
      <c r="H18" s="23">
        <f t="shared" si="1"/>
        <v>12884.864797265094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1.2769987677287327E-2</v>
      </c>
      <c r="H50" s="319">
        <f t="shared" si="2"/>
        <v>0</v>
      </c>
      <c r="I50" s="319">
        <f t="shared" si="2"/>
        <v>0</v>
      </c>
      <c r="J50" s="319">
        <f t="shared" si="2"/>
        <v>0</v>
      </c>
      <c r="K50" s="319">
        <f t="shared" si="2"/>
        <v>0</v>
      </c>
      <c r="L50" s="319">
        <f t="shared" si="2"/>
        <v>0</v>
      </c>
      <c r="M50" s="319">
        <f t="shared" si="2"/>
        <v>7.2989362752150363E-4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1.2769987677287327E-2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7.2989362752150363E-4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3547.2187992464796</v>
      </c>
      <c r="H54" s="21">
        <f t="shared" si="3"/>
        <v>0</v>
      </c>
      <c r="I54" s="21">
        <f t="shared" si="3"/>
        <v>0</v>
      </c>
      <c r="J54" s="21">
        <f t="shared" si="3"/>
        <v>0</v>
      </c>
      <c r="K54" s="21">
        <f t="shared" si="3"/>
        <v>0</v>
      </c>
      <c r="L54" s="21">
        <f t="shared" si="3"/>
        <v>0</v>
      </c>
      <c r="M54" s="21">
        <f t="shared" si="3"/>
        <v>202.74822986708432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0.17337314581205593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947.10741939881007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16117.853777307973</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21752.533031582552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20092.5</v>
      </c>
      <c r="C8" s="545">
        <f>B49</f>
        <v>0</v>
      </c>
      <c r="D8" s="1022"/>
      <c r="E8" s="1022">
        <f>E49</f>
        <v>0</v>
      </c>
      <c r="F8" s="1023"/>
      <c r="G8" s="546"/>
      <c r="H8" s="1022">
        <f>I49</f>
        <v>0</v>
      </c>
      <c r="I8" s="1022">
        <f>G49+F49</f>
        <v>0</v>
      </c>
      <c r="J8" s="1022">
        <f>H49+D49+C49</f>
        <v>23638.23529411765</v>
      </c>
      <c r="K8" s="1022"/>
      <c r="L8" s="1022"/>
      <c r="M8" s="1022"/>
      <c r="N8" s="547"/>
      <c r="O8" s="548">
        <f>C8*$C$12+D8*$D$12+E8*$E$12+F8*$F$12+G8*$G$12+H8*$H$12+I8*$I$12+J8*$J$12</f>
        <v>0</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57962.886808890529</v>
      </c>
      <c r="C10" s="558">
        <f t="shared" ref="C10:L10" si="0">SUM(C8:C9)</f>
        <v>0</v>
      </c>
      <c r="D10" s="558">
        <f t="shared" si="0"/>
        <v>0</v>
      </c>
      <c r="E10" s="558">
        <f t="shared" si="0"/>
        <v>0</v>
      </c>
      <c r="F10" s="558">
        <f t="shared" si="0"/>
        <v>0</v>
      </c>
      <c r="G10" s="558">
        <f t="shared" si="0"/>
        <v>0</v>
      </c>
      <c r="H10" s="558">
        <f t="shared" si="0"/>
        <v>0</v>
      </c>
      <c r="I10" s="558">
        <f t="shared" si="0"/>
        <v>0</v>
      </c>
      <c r="J10" s="558">
        <f t="shared" si="0"/>
        <v>23638.23529411765</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28703.571428571428</v>
      </c>
      <c r="C17" s="570">
        <f>B50</f>
        <v>0</v>
      </c>
      <c r="D17" s="571"/>
      <c r="E17" s="571">
        <f>E50</f>
        <v>0</v>
      </c>
      <c r="F17" s="1028"/>
      <c r="G17" s="572"/>
      <c r="H17" s="570">
        <f>I50</f>
        <v>0</v>
      </c>
      <c r="I17" s="571">
        <f>G50+F50</f>
        <v>0</v>
      </c>
      <c r="J17" s="571">
        <f>H50+D50+C50</f>
        <v>33768.907563025212</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28703.571428571428</v>
      </c>
      <c r="C20" s="557">
        <f>SUM(C17:C19)</f>
        <v>0</v>
      </c>
      <c r="D20" s="557">
        <f t="shared" ref="D20:L20" si="1">SUM(D17:D19)</f>
        <v>0</v>
      </c>
      <c r="E20" s="557">
        <f t="shared" si="1"/>
        <v>0</v>
      </c>
      <c r="F20" s="557">
        <f t="shared" si="1"/>
        <v>0</v>
      </c>
      <c r="G20" s="557">
        <f t="shared" si="1"/>
        <v>0</v>
      </c>
      <c r="H20" s="557">
        <f t="shared" si="1"/>
        <v>0</v>
      </c>
      <c r="I20" s="557">
        <f t="shared" si="1"/>
        <v>0</v>
      </c>
      <c r="J20" s="557">
        <f t="shared" si="1"/>
        <v>33768.907563025212</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13008</v>
      </c>
      <c r="C28" s="771">
        <v>2440</v>
      </c>
      <c r="D28" s="628" t="s">
        <v>913</v>
      </c>
      <c r="E28" s="627" t="s">
        <v>914</v>
      </c>
      <c r="F28" s="627" t="s">
        <v>915</v>
      </c>
      <c r="G28" s="627" t="s">
        <v>916</v>
      </c>
      <c r="H28" s="627" t="s">
        <v>917</v>
      </c>
      <c r="I28" s="627" t="s">
        <v>914</v>
      </c>
      <c r="J28" s="770">
        <v>41249</v>
      </c>
      <c r="K28" s="770">
        <v>41249</v>
      </c>
      <c r="L28" s="627" t="s">
        <v>918</v>
      </c>
      <c r="M28" s="627">
        <v>4465</v>
      </c>
      <c r="N28" s="627">
        <v>20092.5</v>
      </c>
      <c r="O28" s="627">
        <v>28703.571428571428</v>
      </c>
      <c r="P28" s="627">
        <v>0</v>
      </c>
      <c r="Q28" s="627">
        <v>57407.142857142862</v>
      </c>
      <c r="R28" s="627">
        <v>0</v>
      </c>
      <c r="S28" s="627">
        <v>0</v>
      </c>
      <c r="T28" s="627">
        <v>0</v>
      </c>
      <c r="U28" s="627">
        <v>0</v>
      </c>
      <c r="V28" s="627">
        <v>0</v>
      </c>
      <c r="W28" s="627">
        <v>0</v>
      </c>
      <c r="X28" s="627">
        <v>10</v>
      </c>
      <c r="Y28" s="627" t="s">
        <v>111</v>
      </c>
      <c r="Z28" s="629" t="s">
        <v>111</v>
      </c>
    </row>
    <row r="29" spans="1:26" s="581" customFormat="1" ht="51">
      <c r="A29" s="580"/>
      <c r="B29" s="771">
        <v>13008</v>
      </c>
      <c r="C29" s="771">
        <v>2440</v>
      </c>
      <c r="D29" s="628" t="s">
        <v>919</v>
      </c>
      <c r="E29" s="627" t="s">
        <v>920</v>
      </c>
      <c r="F29" s="627" t="s">
        <v>921</v>
      </c>
      <c r="G29" s="627" t="s">
        <v>916</v>
      </c>
      <c r="H29" s="627" t="s">
        <v>917</v>
      </c>
      <c r="I29" s="627" t="s">
        <v>920</v>
      </c>
      <c r="J29" s="770">
        <v>41263</v>
      </c>
      <c r="K29" s="770">
        <v>41985</v>
      </c>
      <c r="L29" s="627" t="s">
        <v>918</v>
      </c>
      <c r="M29" s="627">
        <v>509</v>
      </c>
      <c r="N29" s="627">
        <v>0</v>
      </c>
      <c r="O29" s="627">
        <v>0</v>
      </c>
      <c r="P29" s="627">
        <v>0</v>
      </c>
      <c r="Q29" s="627">
        <v>0</v>
      </c>
      <c r="R29" s="627">
        <v>0</v>
      </c>
      <c r="S29" s="627">
        <v>0</v>
      </c>
      <c r="T29" s="627">
        <v>0</v>
      </c>
      <c r="U29" s="627">
        <v>0</v>
      </c>
      <c r="V29" s="627">
        <v>0</v>
      </c>
      <c r="W29" s="627">
        <v>0</v>
      </c>
      <c r="X29" s="627">
        <v>1500</v>
      </c>
      <c r="Y29" s="627" t="s">
        <v>50</v>
      </c>
      <c r="Z29" s="629" t="s">
        <v>155</v>
      </c>
    </row>
    <row r="30" spans="1:26" s="565" customFormat="1">
      <c r="A30" s="583" t="s">
        <v>279</v>
      </c>
      <c r="B30" s="584"/>
      <c r="C30" s="584"/>
      <c r="D30" s="584"/>
      <c r="E30" s="584"/>
      <c r="F30" s="584"/>
      <c r="G30" s="584"/>
      <c r="H30" s="584"/>
      <c r="I30" s="584"/>
      <c r="J30" s="584"/>
      <c r="K30" s="584"/>
      <c r="L30" s="585"/>
      <c r="M30" s="585">
        <f>SUM(M28:M29)</f>
        <v>4974</v>
      </c>
      <c r="N30" s="585">
        <f>SUM(N28:N29)</f>
        <v>20092.5</v>
      </c>
      <c r="O30" s="585">
        <f>SUM(O28:O29)</f>
        <v>28703.571428571428</v>
      </c>
      <c r="P30" s="585">
        <f>SUM(P28:P29)</f>
        <v>0</v>
      </c>
      <c r="Q30" s="585">
        <f>SUM(Q28:Q29)</f>
        <v>57407.142857142862</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509</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4465</v>
      </c>
      <c r="N33" s="590">
        <f>SUMIF($Z$28:$Z$29,"landbouw",N28:N29)</f>
        <v>20092.5</v>
      </c>
      <c r="O33" s="590">
        <f>SUMIF($Z$28:$Z$29,"landbouw",O28:O29)</f>
        <v>28703.571428571428</v>
      </c>
      <c r="P33" s="590">
        <f>SUMIF($Z$28:$Z$29,"landbouw",P28:P29)</f>
        <v>0</v>
      </c>
      <c r="Q33" s="590">
        <f>SUMIF($Z$28:$Z$29,"landbouw",Q28:Q29)</f>
        <v>57407.142857142862</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0.41176470588235298</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0</v>
      </c>
      <c r="C49" s="619">
        <f t="shared" si="2"/>
        <v>23638.23529411765</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0</v>
      </c>
      <c r="C50" s="622">
        <f t="shared" si="3"/>
        <v>33768.907563025212</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2020-06-20T16:02:58Z</dcterms:modified>
</cp:coreProperties>
</file>