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D13" i="15"/>
  <c r="L6" i="17"/>
  <c r="F20" i="18"/>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0" i="18" l="1"/>
  <c r="H17" i="18" s="1"/>
  <c r="Q14" i="48"/>
  <c r="D50" i="18"/>
  <c r="H50" i="18"/>
  <c r="J17" i="18" s="1"/>
  <c r="J87" i="14" s="1"/>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J15" i="16"/>
  <c r="B7" i="48"/>
  <c r="C24" i="14"/>
  <c r="C26" i="14" s="1"/>
  <c r="D4" i="48"/>
  <c r="D22" i="48" s="1"/>
  <c r="E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F24" i="14"/>
  <c r="F26" i="14" s="1"/>
  <c r="E7" i="48"/>
  <c r="E25" i="48"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O33" i="48"/>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K16" i="14" l="1"/>
  <c r="K27" i="14" s="1"/>
  <c r="J33" i="48"/>
  <c r="J15" i="48"/>
  <c r="E8" i="48"/>
  <c r="E26" i="48" s="1"/>
  <c r="E33" i="48" s="1"/>
  <c r="F13" i="14"/>
  <c r="F16" i="14" s="1"/>
  <c r="F27" i="14" s="1"/>
  <c r="F63" i="14" s="1"/>
  <c r="J22" i="16"/>
  <c r="K43" i="14" s="1"/>
  <c r="K46" i="14" s="1"/>
  <c r="K61" i="14" s="1"/>
  <c r="K63" i="14" s="1"/>
  <c r="K13" i="14"/>
  <c r="J8" i="48"/>
  <c r="J26" i="48"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<sst xmlns="http://schemas.openxmlformats.org/spreadsheetml/2006/main" count="2452" uniqueCount="922">
  <si>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</si>
  <si>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</si>
  <si>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</si>
  <si>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</si>
  <si>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</si>
  <si>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</si>
  <si>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</si>
  <si>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</si>
  <si>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</si>
  <si>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</si>
  <si>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</si>
  <si>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</si>
  <si>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</si>
  <si>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</si>
  <si>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</si>
  <si>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</si>
  <si>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</si>
  <si>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</si>
  <si>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</si>
  <si>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</si>
  <si>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</si>
  <si>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</si>
  <si>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</si>
  <si>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</si>
  <si>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</si>
  <si>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</si>
  <si>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</si>
  <si>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</si>
  <si>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</si>
  <si>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</si>
  <si>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</si>
  <si>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</si>
  <si>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</si>
  <si>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</si>
  <si>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</si>
  <si>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</si>
  <si>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</si>
  <si>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</si>
  <si>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</si>
  <si>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</si>
  <si>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</si>
  <si>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</si>
  <si>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</si>
  <si>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</si>
  <si>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</si>
  <si>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</si>
  <si>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</si>
  <si>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</si>
  <si>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</si>
  <si>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</si>
  <si>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</si>
  <si>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</si>
  <si>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</si>
  <si>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</si>
  <si>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</si>
  <si>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</si>
  <si>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</si>
  <si>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</si>
  <si>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</si>
  <si>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</si>
  <si>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</si>
  <si>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</si>
  <si>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</si>
  <si>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</si>
  <si>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</si>
  <si>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</si>
  <si>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</si>
  <si>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</si>
  <si>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</si>
  <si>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</si>
  <si>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</si>
  <si>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</si>
  <si>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</si>
  <si>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</si>
  <si>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</si>
  <si>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</si>
  <si>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</si>
  <si>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</si>
  <si>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</si>
  <si>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</si>
  <si>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</si>
  <si>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</si>
  <si>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</si>
  <si>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</si>
  <si>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</si>
  <si>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</si>
  <si>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</si>
  <si>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</si>
  <si>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</si>
  <si>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</si>
  <si>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</si>
  <si>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</si>
  <si>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</si>
  <si>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</si>
  <si>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</si>
  <si>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</si>
  <si>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</si>
  <si>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</si>
  <si>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</si>
  <si>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</si>
  <si>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</si>
  <si>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</si>
  <si>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</si>
  <si>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</si>
  <si>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</si>
  <si>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</si>
  <si>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</si>
  <si>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</si>
  <si>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</si>
  <si>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</si>
  <si>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</si>
  <si>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</si>
  <si>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</si>
  <si>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</si>
  <si>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</si>
  <si>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</si>
  <si>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</si>
  <si>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</si>
  <si>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</si>
  <si>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</si>
  <si>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</si>
  <si>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</si>
  <si>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</si>
  <si>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</si>
  <si>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</si>
  <si>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</si>
  <si>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</si>
  <si>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</si>
  <si>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</si>
  <si>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</si>
  <si>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</si>
  <si>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</si>
  <si>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</si>
  <si>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</si>
  <si>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</si>
  <si>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</si>
  <si>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</si>
  <si>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</si>
  <si>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</si>
  <si>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</si>
  <si>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</si>
  <si>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</si>
  <si>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</si>
  <si>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</si>
  <si>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</si>
  <si>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</si>
  <si>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</si>
  <si>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</si>
  <si>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</si>
  <si>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</si>
  <si>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</si>
  <si>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</si>
  <si>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</si>
  <si>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</si>
  <si>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</si>
  <si>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</si>
  <si>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</si>
  <si>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</si>
  <si>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</si>
  <si>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</si>
  <si>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</si>
  <si>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</si>
  <si>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</si>
  <si>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</si>
  <si>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</si>
  <si>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</si>
  <si>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</si>
  <si>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</si>
  <si>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</si>
  <si>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</si>
  <si>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</si>
  <si>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</si>
  <si>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</si>
  <si>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</si>
  <si>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</si>
  <si>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</si>
  <si>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</si>
  <si>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</si>
  <si>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</si>
  <si>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</si>
  <si>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</si>
  <si>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</si>
  <si>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</si>
  <si>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</si>
  <si>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</si>
  <si>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</si>
  <si>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</si>
  <si>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</si>
  <si>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</si>
  <si>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</si>
  <si>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</si>
  <si>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</si>
  <si>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</si>
  <si>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</si>
  <si>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</si>
  <si>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</si>
  <si>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</si>
  <si>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</si>
  <si>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</si>
  <si>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</si>
  <si>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</si>
  <si>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</si>
  <si>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</si>
  <si>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</si>
  <si>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</si>
  <si>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</si>
  <si>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</si>
  <si>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</si>
  <si>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</si>
  <si>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</si>
  <si>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</si>
  <si>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</si>
  <si>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</si>
  <si>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</si>
  <si>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</si>
  <si>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</si>
  <si>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</si>
  <si>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</si>
  <si>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</si>
  <si>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</si>
  <si>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</si>
  <si>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</si>
  <si>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</si>
  <si>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</si>
  <si>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</si>
  <si>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</si>
  <si>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</si>
  <si>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</si>
  <si>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</si>
  <si>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</si>
  <si>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</si>
  <si>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</si>
  <si>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</si>
  <si>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</si>
  <si>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</si>
  <si>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</si>
  <si>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</si>
  <si>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</si>
  <si>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</si>
  <si>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</si>
  <si>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</si>
  <si>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</si>
  <si>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</si>
  <si>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</si>
  <si>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</si>
  <si>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</si>
  <si>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</si>
  <si>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</si>
  <si>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</si>
  <si>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</si>
  <si>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</si>
  <si>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</si>
  <si>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</si>
  <si>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</si>
  <si>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</si>
  <si>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</si>
  <si>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</si>
  <si>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</si>
  <si>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</si>
  <si>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</si>
  <si>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</si>
  <si>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</si>
  <si>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</si>
  <si>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</si>
  <si>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</si>
  <si>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</si>
  <si>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</si>
  <si>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</si>
  <si>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</si>
  <si>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</si>
  <si>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</si>
  <si>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</si>
  <si>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</si>
  <si>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</si>
  <si>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</si>
  <si>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</si>
  <si>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</si>
  <si>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</si>
  <si>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</si>
  <si>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</si>
  <si>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</si>
  <si>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</si>
  <si>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</si>
  <si>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</si>
  <si>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</si>
  <si>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</si>
  <si>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</si>
  <si>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</si>
  <si>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</si>
  <si>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</si>
  <si>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</si>
  <si>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</si>
  <si>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</si>
  <si>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</si>
  <si>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</si>
  <si>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</si>
  <si>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</si>
  <si>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</si>
  <si>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</si>
  <si>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</si>
  <si>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</si>
  <si>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</si>
  <si>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</si>
  <si>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</si>
  <si>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</si>
  <si>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</si>
  <si>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</si>
  <si>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</si>
  <si>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</si>
  <si>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</si>
  <si>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</si>
  <si>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</si>
  <si>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</si>
  <si>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</si>
  <si>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</si>
  <si>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</si>
  <si>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</si>
  <si>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</si>
  <si>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</si>
  <si>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</si>
  <si>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</si>
  <si>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</si>
  <si>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</si>
  <si>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</si>
  <si>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</si>
  <si>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</si>
  <si>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</si>
  <si>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</si>
  <si>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</si>
  <si>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</si>
  <si>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</si>
  <si>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</si>
  <si>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</si>
  <si>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</si>
  <si>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</si>
  <si>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</si>
  <si>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</si>
  <si>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</si>
  <si>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</si>
  <si>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</si>
  <si>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</si>
  <si>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</si>
  <si>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</si>
  <si>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</si>
  <si>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</si>
  <si>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</si>
  <si>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</si>
  <si>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</si>
  <si>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</si>
  <si>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</si>
  <si>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</si>
  <si>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</si>
  <si>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</si>
  <si>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</si>
  <si>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</si>
  <si>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</si>
  <si>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</si>
  <si>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</si>
  <si>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</si>
  <si>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</si>
  <si>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</si>
  <si>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</si>
  <si>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</si>
  <si>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</si>
  <si>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</si>
  <si>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</si>
  <si>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</si>
  <si>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</si>
  <si>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</si>
  <si>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</si>
  <si>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</si>
  <si>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</si>
  <si>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</si>
  <si>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</si>
  <si>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</si>
  <si>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</si>
  <si>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</si>
  <si>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</si>
  <si>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</si>
  <si>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</si>
  <si>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</si>
  <si>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</si>
  <si>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</si>
  <si>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</si>
  <si>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</si>
  <si>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</si>
  <si>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</si>
  <si>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</si>
  <si>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</si>
  <si>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</si>
  <si>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</si>
  <si>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</si>
  <si>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</si>
  <si>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</si>
  <si>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</si>
  <si>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</si>
  <si>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</si>
  <si>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</si>
  <si>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</si>
  <si>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</si>
  <si>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</si>
  <si>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</si>
  <si>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</si>
  <si>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</si>
  <si>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</si>
  <si>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</si>
  <si>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</si>
  <si>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</si>
  <si>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</si>
  <si>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</si>
  <si>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</si>
  <si>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</si>
  <si>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</si>
  <si>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</si>
  <si>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</si>
  <si>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</si>
  <si>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</si>
  <si>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</si>
  <si>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</si>
  <si>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</si>
  <si>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</si>
  <si>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</si>
  <si>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</si>
  <si>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</si>
  <si>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</si>
  <si>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</si>
  <si>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</si>
  <si>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</si>
  <si>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</si>
  <si>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</si>
  <si>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</si>
  <si>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</si>
  <si>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</si>
  <si>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</si>
  <si>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</si>
  <si>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</si>
  <si>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</si>
  <si>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</si>
  <si>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</si>
  <si>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</si>
  <si>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</si>
  <si>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</si>
  <si>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</si>
  <si>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</si>
  <si>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</si>
  <si>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</si>
  <si>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</si>
  <si>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</si>
  <si>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</si>
  <si>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</si>
  <si>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</si>
  <si>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</si>
  <si>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</si>
  <si>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</si>
  <si>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</si>
  <si>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</si>
  <si>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</si>
  <si>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</si>
  <si>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</si>
  <si>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</si>
  <si>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</si>
  <si>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</si>
  <si>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</si>
  <si>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</si>
  <si>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</si>
  <si>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</si>
  <si>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</si>
  <si>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</si>
  <si>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</si>
  <si>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</si>
  <si>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</si>
  <si>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</si>
  <si>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</si>
  <si>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</si>
  <si>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</si>
  <si>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</si>
  <si>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</si>
  <si>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</si>
  <si>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</si>
  <si>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</si>
  <si>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</si>
  <si>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</si>
  <si>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</si>
  <si>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</si>
  <si>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</si>
  <si>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</si>
  <si>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</si>
  <si>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</si>
  <si>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</si>
  <si>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</si>
  <si>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</si>
  <si>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</si>
  <si>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</si>
  <si>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</si>
  <si>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</si>
  <si>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</si>
  <si>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</si>
  <si>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</si>
  <si>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</si>
  <si>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</si>
  <si>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</si>
  <si>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</si>
  <si>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</si>
  <si>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</si>
  <si>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</si>
  <si>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</si>
  <si>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</si>
  <si>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</si>
  <si>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</si>
  <si>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</si>
  <si>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</si>
  <si>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</si>
  <si>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</si>
  <si>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</si>
  <si>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</si>
  <si>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</si>
  <si>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</si>
  <si>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</si>
  <si>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</si>
  <si>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</si>
  <si>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</si>
  <si>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</si>
  <si>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</si>
  <si>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</si>
  <si>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</si>
  <si>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</si>
  <si>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</si>
  <si>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</si>
  <si>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</si>
  <si>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</si>
  <si>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</si>
  <si>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</si>
  <si>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</si>
  <si>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</si>
  <si>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</si>
  <si>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</si>
  <si>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</si>
  <si>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</si>
  <si>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</si>
  <si>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</si>
  <si>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</si>
  <si>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</si>
  <si>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</si>
  <si>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</si>
  <si>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</si>
  <si>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</si>
  <si>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</si>
  <si>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</si>
  <si>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</si>
  <si>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</si>
  <si>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</si>
  <si>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</si>
  <si>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</si>
  <si>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</si>
  <si>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</si>
  <si>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</si>
  <si>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</si>
  <si>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</si>
  <si>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</si>
  <si>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</si>
  <si>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</si>
  <si>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</si>
  <si>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</si>
  <si>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</si>
  <si>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</si>
  <si>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</si>
  <si>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</si>
  <si>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</si>
  <si>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</si>
  <si>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</si>
  <si>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</si>
  <si>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</si>
  <si>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</si>
  <si>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</si>
  <si>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</si>
  <si>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</si>
  <si>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</si>
  <si>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</si>
  <si>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</si>
  <si>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</si>
  <si>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</si>
  <si>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</si>
  <si>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</si>
  <si>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</si>
  <si>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</si>
  <si>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</si>
  <si>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</si>
  <si>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</si>
  <si>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</si>
  <si>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</si>
  <si>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</si>
  <si>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</si>
  <si>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</si>
  <si>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</si>
  <si>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</si>
  <si>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</si>
  <si>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</si>
  <si>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</si>
  <si>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</si>
  <si>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</si>
  <si>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</si>
  <si>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</si>
  <si>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</si>
  <si>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</si>
  <si>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</si>
  <si>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</si>
  <si>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</si>
  <si>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</si>
  <si>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</si>
  <si>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</si>
  <si>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</si>
  <si>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</si>
  <si>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</si>
  <si>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</si>
  <si>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</si>
  <si>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</si>
  <si>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</si>
  <si>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</si>
  <si>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</si>
  <si>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</si>
  <si>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</si>
  <si>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</si>
  <si>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</si>
  <si>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</si>
  <si>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</si>
  <si>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</si>
  <si>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</si>
  <si>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</si>
  <si>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</si>
  <si>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</si>
  <si>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</si>
  <si>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</si>
  <si>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</si>
  <si>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</si>
  <si>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</si>
  <si>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</si>
  <si>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</si>
  <si>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</si>
  <si>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</si>
  <si>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</si>
  <si>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</si>
  <si>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</si>
  <si>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</si>
  <si>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</si>
  <si>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</si>
  <si>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</si>
  <si>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</si>
  <si>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</si>
  <si>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</si>
  <si>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</si>
  <si>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</si>
  <si>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</si>
  <si>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</si>
  <si>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</si>
  <si>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</si>
  <si>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</si>
  <si>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</si>
  <si>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</si>
  <si>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</si>
  <si>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</si>
  <si>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</si>
  <si>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</si>
  <si>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</si>
  <si>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</si>
  <si>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</si>
  <si>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</si>
  <si>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</si>
  <si>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</si>
  <si>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</si>
  <si>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</si>
  <si>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</si>
  <si>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</si>
  <si>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</si>
  <si>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</si>
  <si>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</si>
  <si>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</si>
  <si>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</si>
  <si>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</si>
  <si>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</si>
  <si>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</si>
  <si>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</si>
  <si>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</si>
  <si>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</si>
  <si>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</si>
  <si>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</si>
  <si>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</si>
  <si>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</si>
  <si>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</si>
  <si>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</si>
  <si>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</si>
  <si>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</si>
  <si>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</si>
  <si>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</si>
  <si>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</si>
  <si>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</si>
  <si>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</si>
  <si>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</si>
  <si>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</si>
  <si>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</si>
  <si>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</si>
  <si>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</si>
  <si>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</si>
  <si>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</si>
  <si>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</si>
  <si>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</si>
  <si>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</si>
  <si>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</si>
  <si>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</si>
  <si>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</si>
  <si>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</si>
  <si>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</si>
  <si>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</si>
  <si>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</si>
  <si>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</si>
  <si>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</si>
  <si>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</si>
  <si>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</si>
  <si>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</si>
  <si>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</si>
  <si>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</si>
  <si>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</si>
  <si>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</si>
  <si>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</si>
  <si>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</si>
  <si>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</si>
  <si>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</si>
  <si>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</si>
  <si>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</si>
  <si>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</si>
  <si>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</si>
  <si>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</si>
  <si>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</si>
  <si>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</si>
  <si>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</si>
  <si>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</si>
  <si>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</si>
  <si>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</si>
  <si>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</si>
  <si>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</si>
  <si>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</si>
  <si>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</si>
  <si>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</si>
  <si>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</si>
  <si>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</si>
  <si>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</si>
  <si>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</si>
  <si>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</si>
  <si>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</si>
  <si>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</si>
  <si>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</si>
  <si>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</si>
  <si>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</si>
  <si>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</si>
  <si>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</si>
  <si>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</si>
  <si>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</si>
  <si>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</si>
  <si>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</si>
  <si>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</si>
  <si>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</si>
  <si>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</si>
  <si>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</si>
  <si>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</si>
  <si>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</si>
  <si>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</si>
  <si>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</si>
  <si>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</si>
  <si>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</si>
  <si>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</si>
  <si>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</si>
  <si>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</si>
  <si>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</si>
  <si>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</si>
  <si>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</si>
  <si>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</si>
  <si>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</si>
  <si>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</si>
  <si>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</si>
  <si>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</si>
  <si>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</si>
  <si>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</si>
  <si>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</si>
  <si>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</si>
  <si>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</si>
  <si>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</si>
  <si>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</si>
  <si>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</si>
  <si>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</si>
  <si>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</si>
  <si>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</si>
  <si>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</si>
  <si>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</si>
  <si>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</si>
  <si>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</si>
  <si>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</si>
  <si>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</si>
  <si>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</si>
  <si>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</si>
  <si>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</si>
  <si>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</si>
  <si>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</si>
  <si>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</si>
  <si>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</si>
  <si>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</si>
  <si>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</si>
  <si>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</si>
  <si>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</si>
  <si>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</si>
  <si>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</si>
  <si>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</si>
  <si>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</si>
  <si>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</si>
  <si>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</si>
  <si>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</si>
  <si>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</si>
  <si>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</si>
  <si>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</si>
  <si>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</si>
  <si>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</si>
  <si>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</si>
  <si>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</si>
  <si>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</si>
  <si>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</si>
  <si>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</si>
  <si>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</si>
  <si>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</si>
  <si>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</si>
  <si>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</si>
  <si>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</si>
  <si>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</si>
  <si>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</si>
  <si>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</si>
  <si>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</si>
  <si>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</si>
  <si>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</si>
  <si>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</si>
  <si>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</si>
  <si>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</si>
  <si>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</si>
  <si>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</si>
  <si>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</si>
  <si>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</si>
  <si>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</si>
  <si>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</si>
  <si>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</si>
  <si>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</si>
  <si>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</si>
  <si>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</si>
  <si>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</si>
  <si>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</si>
  <si>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</si>
  <si>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</si>
  <si>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</si>
  <si>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</si>
  <si>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</si>
  <si>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</si>
  <si>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</si>
  <si>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</si>
  <si>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</si>
  <si>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</si>
  <si>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</si>
  <si>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</si>
  <si>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</si>
  <si>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</si>
  <si>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</si>
  <si>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</si>
  <si>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</si>
  <si>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</si>
  <si>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</si>
  <si>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</si>
  <si>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</si>
  <si>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</si>
  <si>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</si>
  <si>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</si>
  <si>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</si>
  <si>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</si>
  <si>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</si>
  <si>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</si>
  <si>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</si>
  <si>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</si>
  <si>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</si>
  <si>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</si>
  <si>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</si>
  <si>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</si>
  <si>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</si>
  <si>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</si>
  <si>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</si>
  <si>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</si>
  <si>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</si>
  <si>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</si>
  <si>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</si>
  <si>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</si>
  <si>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</si>
  <si>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</si>
  <si>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</si>
  <si>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</si>
  <si>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</si>
  <si>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</si>
  <si>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</si>
  <si>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</si>
  <si>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</si>
  <si>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</si>
  <si>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</si>
  <si>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</si>
  <si>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</si>
  <si>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</si>
  <si>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</si>
  <si>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13001</t>
  </si>
  <si>
    <t>ARENDONK</t>
  </si>
  <si>
    <t>Paarden&amp;pony's 200 - 600 kg</t>
  </si>
  <si>
    <t>Paarden&amp;pony's &lt; 200 kg</t>
  </si>
  <si>
    <t>Fluvius</t>
  </si>
  <si>
    <t>referentietaak LNE (2017); Jaarverslag De Lijn</t>
  </si>
  <si>
    <t>Biogas De Biezen</t>
  </si>
  <si>
    <t>De Biezen 6 , 2370 Arendonk</t>
  </si>
  <si>
    <t>WKK-0237 Biogas De Biezen</t>
  </si>
  <si>
    <t>interne verbrandingsmotor</t>
  </si>
  <si>
    <t>WKK interne verbrandinsgmotor (gas)</t>
  </si>
  <si>
    <t>IVEKA</t>
  </si>
  <si>
    <t>Arbio bvba</t>
  </si>
  <si>
    <t>Watering 20 A, 2370 Arendonk</t>
  </si>
  <si>
    <t>WKK-0531 Arbio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</si>
</sst>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123722.81665548409</c:v>
                </c:pt>
                <c:pt idx="1">
                  <c:v>64786.769319036466</c:v>
                </c:pt>
                <c:pt idx="2">
                  <c:v>814.3</c:v>
                </c:pt>
                <c:pt idx="3">
                  <c:v>65618.783519731034</c:v>
                </c:pt>
                <c:pt idx="4">
                  <c:v>39102.355131026117</c:v>
                </c:pt>
                <c:pt idx="5">
                  <c:v>92046.125838166787</c:v>
                </c:pt>
                <c:pt idx="6">
                  <c:v>779.77415192890362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123722.81665548409</c:v>
                </c:pt>
                <c:pt idx="1">
                  <c:v>64786.769319036466</c:v>
                </c:pt>
                <c:pt idx="2">
                  <c:v>814.3</c:v>
                </c:pt>
                <c:pt idx="3">
                  <c:v>65618.783519731034</c:v>
                </c:pt>
                <c:pt idx="4">
                  <c:v>39102.355131026117</c:v>
                </c:pt>
                <c:pt idx="5">
                  <c:v>92046.125838166787</c:v>
                </c:pt>
                <c:pt idx="6">
                  <c:v>779.77415192890362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18550.516634644089</c:v>
                </c:pt>
                <c:pt idx="2">
                  <c:v>6939.698243711221</c:v>
                </c:pt>
                <c:pt idx="3">
                  <c:v>53.737218731027951</c:v>
                </c:pt>
                <c:pt idx="4">
                  <c:v>4648.7235334757925</c:v>
                </c:pt>
                <c:pt idx="5">
                  <c:v>5650.7658264294778</c:v>
                </c:pt>
                <c:pt idx="6">
                  <c:v>23108.003323615438</c:v>
                </c:pt>
                <c:pt idx="7">
                  <c:v>196.94303416898495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18550.516634644089</c:v>
                </c:pt>
                <c:pt idx="2">
                  <c:v>6939.698243711221</c:v>
                </c:pt>
                <c:pt idx="3">
                  <c:v>53.737218731027951</c:v>
                </c:pt>
                <c:pt idx="4">
                  <c:v>4648.7235334757925</c:v>
                </c:pt>
                <c:pt idx="5">
                  <c:v>5650.7658264294778</c:v>
                </c:pt>
                <c:pt idx="6">
                  <c:v>23108.003323615438</c:v>
                </c:pt>
                <c:pt idx="7">
                  <c:v>196.94303416898495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13001</v>
      </c>
      <c r="B6" s="391"/>
      <c r="C6" s="392"/>
    </row>
    <row r="7" spans="1:7" s="389" customFormat="1" ht="15.75" customHeight="1">
      <c r="A7" s="393" t="str">
        <f>txtMunicipality</f>
        <v>ARENDONK</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42601.84878</v>
      </c>
      <c r="D10" s="991">
        <f ca="1">tertiair!C16</f>
        <v>0</v>
      </c>
      <c r="E10" s="991">
        <f ca="1">tertiair!D16</f>
        <v>11989.590247747936</v>
      </c>
      <c r="F10" s="991">
        <f>tertiair!E16</f>
        <v>393.97897589341517</v>
      </c>
      <c r="G10" s="991">
        <f ca="1">tertiair!F16</f>
        <v>6257.4056126333726</v>
      </c>
      <c r="H10" s="991">
        <f>tertiair!G16</f>
        <v>0</v>
      </c>
      <c r="I10" s="991">
        <f>tertiair!H16</f>
        <v>0</v>
      </c>
      <c r="J10" s="991">
        <f>tertiair!I16</f>
        <v>0</v>
      </c>
      <c r="K10" s="991">
        <f>tertiair!J16</f>
        <v>0</v>
      </c>
      <c r="L10" s="991">
        <f>tertiair!K16</f>
        <v>0</v>
      </c>
      <c r="M10" s="991">
        <f ca="1">tertiair!L16</f>
        <v>0</v>
      </c>
      <c r="N10" s="991">
        <f>tertiair!M16</f>
        <v>0</v>
      </c>
      <c r="O10" s="991">
        <f ca="1">tertiair!N16</f>
        <v>4312.2957027617458</v>
      </c>
      <c r="P10" s="991">
        <f>tertiair!O16</f>
        <v>7.8166666666666664</v>
      </c>
      <c r="Q10" s="992">
        <f>tertiair!P16</f>
        <v>38.133333333333333</v>
      </c>
      <c r="R10" s="675">
        <f ca="1">SUM(C10:Q10)</f>
        <v>65601.069319036469</v>
      </c>
      <c r="S10" s="67"/>
    </row>
    <row r="11" spans="1:19" s="448" customFormat="1">
      <c r="A11" s="784" t="s">
        <v>224</v>
      </c>
      <c r="B11" s="789"/>
      <c r="C11" s="991">
        <f>huishoudens!B8</f>
        <v>21730.703654301891</v>
      </c>
      <c r="D11" s="991">
        <f>huishoudens!C8</f>
        <v>0</v>
      </c>
      <c r="E11" s="991">
        <f>huishoudens!D8</f>
        <v>53241.399409312675</v>
      </c>
      <c r="F11" s="991">
        <f>huishoudens!E8</f>
        <v>17373.518792210056</v>
      </c>
      <c r="G11" s="991">
        <f>huishoudens!F8</f>
        <v>9055.8590901351145</v>
      </c>
      <c r="H11" s="991">
        <f>huishoudens!G8</f>
        <v>0</v>
      </c>
      <c r="I11" s="991">
        <f>huishoudens!H8</f>
        <v>0</v>
      </c>
      <c r="J11" s="991">
        <f>huishoudens!I8</f>
        <v>0</v>
      </c>
      <c r="K11" s="991">
        <f>huishoudens!J8</f>
        <v>0</v>
      </c>
      <c r="L11" s="991">
        <f>huishoudens!K8</f>
        <v>0</v>
      </c>
      <c r="M11" s="991">
        <f>huishoudens!L8</f>
        <v>0</v>
      </c>
      <c r="N11" s="991">
        <f>huishoudens!M8</f>
        <v>0</v>
      </c>
      <c r="O11" s="991">
        <f>huishoudens!N8</f>
        <v>21362.609042857679</v>
      </c>
      <c r="P11" s="991">
        <f>huishoudens!O8</f>
        <v>253.26</v>
      </c>
      <c r="Q11" s="992">
        <f>huishoudens!P8</f>
        <v>705.4666666666667</v>
      </c>
      <c r="R11" s="675">
        <f>SUM(C11:Q11)</f>
        <v>123722.81665548409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19351.555200000003</v>
      </c>
      <c r="D13" s="991">
        <f>industrie!C18</f>
        <v>0</v>
      </c>
      <c r="E13" s="991">
        <f>industrie!D18</f>
        <v>7423.8070285139647</v>
      </c>
      <c r="F13" s="991">
        <f>industrie!E18</f>
        <v>2216.5889966076766</v>
      </c>
      <c r="G13" s="991">
        <f>industrie!F18</f>
        <v>8839.1755234615102</v>
      </c>
      <c r="H13" s="991">
        <f>industrie!G18</f>
        <v>0</v>
      </c>
      <c r="I13" s="991">
        <f>industrie!H18</f>
        <v>0</v>
      </c>
      <c r="J13" s="991">
        <f>industrie!I18</f>
        <v>0</v>
      </c>
      <c r="K13" s="991">
        <f>industrie!J18</f>
        <v>30.748582019391598</v>
      </c>
      <c r="L13" s="991">
        <f>industrie!K18</f>
        <v>0</v>
      </c>
      <c r="M13" s="991">
        <f>industrie!L18</f>
        <v>0</v>
      </c>
      <c r="N13" s="991">
        <f>industrie!M18</f>
        <v>0</v>
      </c>
      <c r="O13" s="991">
        <f>industrie!N18</f>
        <v>1240.479800423569</v>
      </c>
      <c r="P13" s="991">
        <f>industrie!O18</f>
        <v>0</v>
      </c>
      <c r="Q13" s="992">
        <f>industrie!P18</f>
        <v>0</v>
      </c>
      <c r="R13" s="675">
        <f>SUM(C13:Q13)</f>
        <v>39102.355131026117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83684.107634301894</v>
      </c>
      <c r="D16" s="707">
        <f t="shared" ref="D16:R16" ca="1" si="0">SUM(D9:D15)</f>
        <v>0</v>
      </c>
      <c r="E16" s="707">
        <f t="shared" ca="1" si="0"/>
        <v>72654.796685574576</v>
      </c>
      <c r="F16" s="707">
        <f t="shared" si="0"/>
        <v>19984.086764711148</v>
      </c>
      <c r="G16" s="707">
        <f t="shared" ca="1" si="0"/>
        <v>24152.440226229999</v>
      </c>
      <c r="H16" s="707">
        <f t="shared" si="0"/>
        <v>0</v>
      </c>
      <c r="I16" s="707">
        <f t="shared" si="0"/>
        <v>0</v>
      </c>
      <c r="J16" s="707">
        <f t="shared" si="0"/>
        <v>0</v>
      </c>
      <c r="K16" s="707">
        <f t="shared" si="0"/>
        <v>30.748582019391598</v>
      </c>
      <c r="L16" s="707">
        <f t="shared" si="0"/>
        <v>0</v>
      </c>
      <c r="M16" s="707">
        <f t="shared" ca="1" si="0"/>
        <v>0</v>
      </c>
      <c r="N16" s="707">
        <f t="shared" si="0"/>
        <v>0</v>
      </c>
      <c r="O16" s="707">
        <f t="shared" ca="1" si="0"/>
        <v>26915.384546042995</v>
      </c>
      <c r="P16" s="707">
        <f t="shared" si="0"/>
        <v>261.07666666666665</v>
      </c>
      <c r="Q16" s="707">
        <f t="shared" si="0"/>
        <v>743.6</v>
      </c>
      <c r="R16" s="707">
        <f t="shared" ca="1" si="0"/>
        <v>228426.24110554668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737.61436018346421</v>
      </c>
      <c r="I19" s="991">
        <f>transport!H54</f>
        <v>0</v>
      </c>
      <c r="J19" s="991">
        <f>transport!I54</f>
        <v>0</v>
      </c>
      <c r="K19" s="991">
        <f>transport!J54</f>
        <v>0</v>
      </c>
      <c r="L19" s="991">
        <f>transport!K54</f>
        <v>0</v>
      </c>
      <c r="M19" s="991">
        <f>transport!L54</f>
        <v>0</v>
      </c>
      <c r="N19" s="991">
        <f>transport!M54</f>
        <v>42.159791745439442</v>
      </c>
      <c r="O19" s="991">
        <f>transport!N54</f>
        <v>0</v>
      </c>
      <c r="P19" s="991">
        <f>transport!O54</f>
        <v>0</v>
      </c>
      <c r="Q19" s="992">
        <f>transport!P54</f>
        <v>0</v>
      </c>
      <c r="R19" s="675">
        <f>SUM(C19:Q19)</f>
        <v>779.77415192890362</v>
      </c>
      <c r="S19" s="67"/>
    </row>
    <row r="20" spans="1:19" s="448" customFormat="1">
      <c r="A20" s="784" t="s">
        <v>306</v>
      </c>
      <c r="B20" s="789"/>
      <c r="C20" s="991">
        <f>transport!B14</f>
        <v>8.6121055568036393</v>
      </c>
      <c r="D20" s="991">
        <f>transport!C14</f>
        <v>0</v>
      </c>
      <c r="E20" s="991">
        <f>transport!D14</f>
        <v>16.750895507914013</v>
      </c>
      <c r="F20" s="991">
        <f>transport!E14</f>
        <v>175.67272076893559</v>
      </c>
      <c r="G20" s="991">
        <f>transport!F14</f>
        <v>0</v>
      </c>
      <c r="H20" s="991">
        <f>transport!G14</f>
        <v>76723.012643162714</v>
      </c>
      <c r="I20" s="991">
        <f>transport!H14</f>
        <v>10357.948714944372</v>
      </c>
      <c r="J20" s="991">
        <f>transport!I14</f>
        <v>0</v>
      </c>
      <c r="K20" s="991">
        <f>transport!J14</f>
        <v>0</v>
      </c>
      <c r="L20" s="991">
        <f>transport!K14</f>
        <v>0</v>
      </c>
      <c r="M20" s="991">
        <f>transport!L14</f>
        <v>0</v>
      </c>
      <c r="N20" s="991">
        <f>transport!M14</f>
        <v>4764.1287582260466</v>
      </c>
      <c r="O20" s="991">
        <f>transport!N14</f>
        <v>0</v>
      </c>
      <c r="P20" s="991">
        <f>transport!O14</f>
        <v>0</v>
      </c>
      <c r="Q20" s="992">
        <f>transport!P14</f>
        <v>0</v>
      </c>
      <c r="R20" s="675">
        <f>SUM(C20:Q20)</f>
        <v>92046.125838166787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8.6121055568036393</v>
      </c>
      <c r="D22" s="787">
        <f t="shared" ref="D22:R22" si="1">SUM(D18:D21)</f>
        <v>0</v>
      </c>
      <c r="E22" s="787">
        <f t="shared" si="1"/>
        <v>16.750895507914013</v>
      </c>
      <c r="F22" s="787">
        <f t="shared" si="1"/>
        <v>175.67272076893559</v>
      </c>
      <c r="G22" s="787">
        <f t="shared" si="1"/>
        <v>0</v>
      </c>
      <c r="H22" s="787">
        <f t="shared" si="1"/>
        <v>77460.627003346177</v>
      </c>
      <c r="I22" s="787">
        <f t="shared" si="1"/>
        <v>10357.948714944372</v>
      </c>
      <c r="J22" s="787">
        <f t="shared" si="1"/>
        <v>0</v>
      </c>
      <c r="K22" s="787">
        <f t="shared" si="1"/>
        <v>0</v>
      </c>
      <c r="L22" s="787">
        <f t="shared" si="1"/>
        <v>0</v>
      </c>
      <c r="M22" s="787">
        <f t="shared" si="1"/>
        <v>0</v>
      </c>
      <c r="N22" s="787">
        <f t="shared" si="1"/>
        <v>4806.2885499714857</v>
      </c>
      <c r="O22" s="787">
        <f t="shared" si="1"/>
        <v>0</v>
      </c>
      <c r="P22" s="787">
        <f t="shared" si="1"/>
        <v>0</v>
      </c>
      <c r="Q22" s="787">
        <f t="shared" si="1"/>
        <v>0</v>
      </c>
      <c r="R22" s="787">
        <f t="shared" si="1"/>
        <v>92825.899990095684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5360.9807999999994</v>
      </c>
      <c r="D24" s="991">
        <f>+landbouw!C8</f>
        <v>43997.142857142855</v>
      </c>
      <c r="E24" s="991">
        <f>+landbouw!D8</f>
        <v>1787.2764722787249</v>
      </c>
      <c r="F24" s="991">
        <f>+landbouw!E8</f>
        <v>49.655649554759151</v>
      </c>
      <c r="G24" s="991">
        <f>+landbouw!F8</f>
        <v>13601.829555394355</v>
      </c>
      <c r="H24" s="991">
        <f>+landbouw!G8</f>
        <v>0</v>
      </c>
      <c r="I24" s="991">
        <f>+landbouw!H8</f>
        <v>0</v>
      </c>
      <c r="J24" s="991">
        <f>+landbouw!I8</f>
        <v>0</v>
      </c>
      <c r="K24" s="991">
        <f>+landbouw!J8</f>
        <v>821.89818536034375</v>
      </c>
      <c r="L24" s="991">
        <f>+landbouw!K8</f>
        <v>0</v>
      </c>
      <c r="M24" s="991">
        <f>+landbouw!L8</f>
        <v>0</v>
      </c>
      <c r="N24" s="991">
        <f>+landbouw!M8</f>
        <v>0</v>
      </c>
      <c r="O24" s="991">
        <f>+landbouw!N8</f>
        <v>0</v>
      </c>
      <c r="P24" s="991">
        <f>+landbouw!O8</f>
        <v>0</v>
      </c>
      <c r="Q24" s="992">
        <f>+landbouw!P8</f>
        <v>0</v>
      </c>
      <c r="R24" s="675">
        <f>SUM(C24:Q24)</f>
        <v>65618.783519731034</v>
      </c>
      <c r="S24" s="67"/>
    </row>
    <row r="25" spans="1:19" s="448" customFormat="1" ht="15" thickBot="1">
      <c r="A25" s="806" t="s">
        <v>849</v>
      </c>
      <c r="B25" s="994"/>
      <c r="C25" s="995">
        <f>IF(Onbekend_ele_kWh="---",0,Onbekend_ele_kWh)/1000+IF(REST_rest_ele_kWh="---",0,REST_rest_ele_kWh)/1000</f>
        <v>814.11119999999994</v>
      </c>
      <c r="D25" s="995"/>
      <c r="E25" s="995">
        <f>IF(onbekend_gas_kWh="---",0,onbekend_gas_kWh)/1000+IF(REST_rest_gas_kWh="---",0,REST_rest_gas_kWh)/1000</f>
        <v>2140.2418993456499</v>
      </c>
      <c r="F25" s="995"/>
      <c r="G25" s="995"/>
      <c r="H25" s="995"/>
      <c r="I25" s="995"/>
      <c r="J25" s="995"/>
      <c r="K25" s="995"/>
      <c r="L25" s="995"/>
      <c r="M25" s="995"/>
      <c r="N25" s="995"/>
      <c r="O25" s="995"/>
      <c r="P25" s="995"/>
      <c r="Q25" s="996"/>
      <c r="R25" s="675">
        <f>SUM(C25:Q25)</f>
        <v>2954.3530993456498</v>
      </c>
      <c r="S25" s="67"/>
    </row>
    <row r="26" spans="1:19" s="448" customFormat="1" ht="15.75" thickBot="1">
      <c r="A26" s="680" t="s">
        <v>850</v>
      </c>
      <c r="B26" s="792"/>
      <c r="C26" s="787">
        <f>SUM(C24:C25)</f>
        <v>6175.0919999999996</v>
      </c>
      <c r="D26" s="787">
        <f t="shared" ref="D26:R26" si="2">SUM(D24:D25)</f>
        <v>43997.142857142855</v>
      </c>
      <c r="E26" s="787">
        <f t="shared" si="2"/>
        <v>3927.5183716243746</v>
      </c>
      <c r="F26" s="787">
        <f t="shared" si="2"/>
        <v>49.655649554759151</v>
      </c>
      <c r="G26" s="787">
        <f t="shared" si="2"/>
        <v>13601.829555394355</v>
      </c>
      <c r="H26" s="787">
        <f t="shared" si="2"/>
        <v>0</v>
      </c>
      <c r="I26" s="787">
        <f t="shared" si="2"/>
        <v>0</v>
      </c>
      <c r="J26" s="787">
        <f t="shared" si="2"/>
        <v>0</v>
      </c>
      <c r="K26" s="787">
        <f t="shared" si="2"/>
        <v>821.89818536034375</v>
      </c>
      <c r="L26" s="787">
        <f t="shared" si="2"/>
        <v>0</v>
      </c>
      <c r="M26" s="787">
        <f t="shared" si="2"/>
        <v>0</v>
      </c>
      <c r="N26" s="787">
        <f t="shared" si="2"/>
        <v>0</v>
      </c>
      <c r="O26" s="787">
        <f t="shared" si="2"/>
        <v>0</v>
      </c>
      <c r="P26" s="787">
        <f t="shared" si="2"/>
        <v>0</v>
      </c>
      <c r="Q26" s="787">
        <f t="shared" si="2"/>
        <v>0</v>
      </c>
      <c r="R26" s="787">
        <f t="shared" si="2"/>
        <v>68573.136619076686</v>
      </c>
      <c r="S26" s="67"/>
    </row>
    <row r="27" spans="1:19" s="448" customFormat="1" ht="17.25" thickTop="1" thickBot="1">
      <c r="A27" s="681" t="s">
        <v>115</v>
      </c>
      <c r="B27" s="780"/>
      <c r="C27" s="682">
        <f ca="1">C22+C16+C26</f>
        <v>89867.811739858706</v>
      </c>
      <c r="D27" s="682">
        <f t="shared" ref="D27:R27" ca="1" si="3">D22+D16+D26</f>
        <v>43997.142857142855</v>
      </c>
      <c r="E27" s="682">
        <f t="shared" ca="1" si="3"/>
        <v>76599.065952706864</v>
      </c>
      <c r="F27" s="682">
        <f t="shared" si="3"/>
        <v>20209.415135034844</v>
      </c>
      <c r="G27" s="682">
        <f t="shared" ca="1" si="3"/>
        <v>37754.269781624353</v>
      </c>
      <c r="H27" s="682">
        <f t="shared" si="3"/>
        <v>77460.627003346177</v>
      </c>
      <c r="I27" s="682">
        <f t="shared" si="3"/>
        <v>10357.948714944372</v>
      </c>
      <c r="J27" s="682">
        <f t="shared" si="3"/>
        <v>0</v>
      </c>
      <c r="K27" s="682">
        <f t="shared" si="3"/>
        <v>852.64676737973537</v>
      </c>
      <c r="L27" s="682">
        <f t="shared" si="3"/>
        <v>0</v>
      </c>
      <c r="M27" s="682">
        <f t="shared" ca="1" si="3"/>
        <v>0</v>
      </c>
      <c r="N27" s="682">
        <f t="shared" si="3"/>
        <v>4806.2885499714857</v>
      </c>
      <c r="O27" s="682">
        <f t="shared" ca="1" si="3"/>
        <v>26915.384546042995</v>
      </c>
      <c r="P27" s="682">
        <f t="shared" si="3"/>
        <v>261.07666666666665</v>
      </c>
      <c r="Q27" s="682">
        <f t="shared" si="3"/>
        <v>743.6</v>
      </c>
      <c r="R27" s="682">
        <f t="shared" ca="1" si="3"/>
        <v>389825.27771471906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2811.3777062962499</v>
      </c>
      <c r="D40" s="991">
        <f ca="1">tertiair!C20</f>
        <v>0</v>
      </c>
      <c r="E40" s="991">
        <f ca="1">tertiair!D20</f>
        <v>2421.8972300450832</v>
      </c>
      <c r="F40" s="991">
        <f>tertiair!E20</f>
        <v>89.433227527805244</v>
      </c>
      <c r="G40" s="991">
        <f ca="1">tertiair!F20</f>
        <v>1670.7272985731106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6993.4354624422494</v>
      </c>
    </row>
    <row r="41" spans="1:18">
      <c r="A41" s="797" t="s">
        <v>224</v>
      </c>
      <c r="B41" s="804"/>
      <c r="C41" s="991">
        <f ca="1">huishoudens!B12</f>
        <v>1434.0508110651717</v>
      </c>
      <c r="D41" s="991">
        <f ca="1">huishoudens!C12</f>
        <v>0</v>
      </c>
      <c r="E41" s="991">
        <f>huishoudens!D12</f>
        <v>10754.76268068116</v>
      </c>
      <c r="F41" s="991">
        <f>huishoudens!E12</f>
        <v>3943.7887658316827</v>
      </c>
      <c r="G41" s="991">
        <f>huishoudens!F12</f>
        <v>2417.9143770660758</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18550.516634644089</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1277.0462416406258</v>
      </c>
      <c r="D43" s="991">
        <f ca="1">industrie!C22</f>
        <v>0</v>
      </c>
      <c r="E43" s="991">
        <f>industrie!D22</f>
        <v>1499.609019759821</v>
      </c>
      <c r="F43" s="991">
        <f>industrie!E22</f>
        <v>503.16570222994261</v>
      </c>
      <c r="G43" s="991">
        <f>industrie!F22</f>
        <v>2360.0598647642232</v>
      </c>
      <c r="H43" s="991">
        <f>industrie!G22</f>
        <v>0</v>
      </c>
      <c r="I43" s="991">
        <f>industrie!H22</f>
        <v>0</v>
      </c>
      <c r="J43" s="991">
        <f>industrie!I22</f>
        <v>0</v>
      </c>
      <c r="K43" s="991">
        <f>industrie!J22</f>
        <v>10.884998034864624</v>
      </c>
      <c r="L43" s="991">
        <f>industrie!K22</f>
        <v>0</v>
      </c>
      <c r="M43" s="991">
        <f>industrie!L22</f>
        <v>0</v>
      </c>
      <c r="N43" s="991">
        <f>industrie!M22</f>
        <v>0</v>
      </c>
      <c r="O43" s="991">
        <f>industrie!N22</f>
        <v>0</v>
      </c>
      <c r="P43" s="991">
        <f>industrie!O22</f>
        <v>0</v>
      </c>
      <c r="Q43" s="749">
        <f>industrie!P22</f>
        <v>0</v>
      </c>
      <c r="R43" s="824">
        <f t="shared" ca="1" si="4"/>
        <v>5650.7658264294778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5522.474759002047</v>
      </c>
      <c r="D46" s="707">
        <f t="shared" ref="D46:Q46" ca="1" si="5">SUM(D39:D45)</f>
        <v>0</v>
      </c>
      <c r="E46" s="707">
        <f t="shared" ca="1" si="5"/>
        <v>14676.268930486065</v>
      </c>
      <c r="F46" s="707">
        <f t="shared" si="5"/>
        <v>4536.3876955894302</v>
      </c>
      <c r="G46" s="707">
        <f t="shared" ca="1" si="5"/>
        <v>6448.70154040341</v>
      </c>
      <c r="H46" s="707">
        <f t="shared" si="5"/>
        <v>0</v>
      </c>
      <c r="I46" s="707">
        <f t="shared" si="5"/>
        <v>0</v>
      </c>
      <c r="J46" s="707">
        <f t="shared" si="5"/>
        <v>0</v>
      </c>
      <c r="K46" s="707">
        <f t="shared" si="5"/>
        <v>10.884998034864624</v>
      </c>
      <c r="L46" s="707">
        <f t="shared" si="5"/>
        <v>0</v>
      </c>
      <c r="M46" s="707">
        <f t="shared" ca="1" si="5"/>
        <v>0</v>
      </c>
      <c r="N46" s="707">
        <f t="shared" si="5"/>
        <v>0</v>
      </c>
      <c r="O46" s="707">
        <f t="shared" ca="1" si="5"/>
        <v>0</v>
      </c>
      <c r="P46" s="707">
        <f t="shared" si="5"/>
        <v>0</v>
      </c>
      <c r="Q46" s="707">
        <f t="shared" si="5"/>
        <v>0</v>
      </c>
      <c r="R46" s="707">
        <f ca="1">SUM(R39:R45)</f>
        <v>31194.717923515815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196.94303416898495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196.94303416898495</v>
      </c>
    </row>
    <row r="50" spans="1:18">
      <c r="A50" s="800" t="s">
        <v>306</v>
      </c>
      <c r="B50" s="810"/>
      <c r="C50" s="678">
        <f ca="1">transport!B18</f>
        <v>0.56832936269269119</v>
      </c>
      <c r="D50" s="678">
        <f>transport!C18</f>
        <v>0</v>
      </c>
      <c r="E50" s="678">
        <f>transport!D18</f>
        <v>3.383680892598631</v>
      </c>
      <c r="F50" s="678">
        <f>transport!E18</f>
        <v>39.877707614548378</v>
      </c>
      <c r="G50" s="678">
        <f>transport!F18</f>
        <v>0</v>
      </c>
      <c r="H50" s="678">
        <f>transport!G18</f>
        <v>20485.044375724447</v>
      </c>
      <c r="I50" s="678">
        <f>transport!H18</f>
        <v>2579.1292300211485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23108.003323615438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0.56832936269269119</v>
      </c>
      <c r="D52" s="707">
        <f t="shared" ref="D52:Q52" ca="1" si="6">SUM(D48:D51)</f>
        <v>0</v>
      </c>
      <c r="E52" s="707">
        <f t="shared" si="6"/>
        <v>3.383680892598631</v>
      </c>
      <c r="F52" s="707">
        <f t="shared" si="6"/>
        <v>39.877707614548378</v>
      </c>
      <c r="G52" s="707">
        <f t="shared" si="6"/>
        <v>0</v>
      </c>
      <c r="H52" s="707">
        <f t="shared" si="6"/>
        <v>20681.987409893431</v>
      </c>
      <c r="I52" s="707">
        <f t="shared" si="6"/>
        <v>2579.1292300211485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23304.946357784422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353.78140471870466</v>
      </c>
      <c r="D54" s="678">
        <f ca="1">+landbouw!C12</f>
        <v>0</v>
      </c>
      <c r="E54" s="678">
        <f>+landbouw!D12</f>
        <v>361.02984740030246</v>
      </c>
      <c r="F54" s="678">
        <f>+landbouw!E12</f>
        <v>11.271832448930327</v>
      </c>
      <c r="G54" s="678">
        <f>+landbouw!F12</f>
        <v>3631.6884912902929</v>
      </c>
      <c r="H54" s="678">
        <f>+landbouw!G12</f>
        <v>0</v>
      </c>
      <c r="I54" s="678">
        <f>+landbouw!H12</f>
        <v>0</v>
      </c>
      <c r="J54" s="678">
        <f>+landbouw!I12</f>
        <v>0</v>
      </c>
      <c r="K54" s="678">
        <f>+landbouw!J12</f>
        <v>290.95195761756167</v>
      </c>
      <c r="L54" s="678">
        <f>+landbouw!K12</f>
        <v>0</v>
      </c>
      <c r="M54" s="678">
        <f>+landbouw!L12</f>
        <v>0</v>
      </c>
      <c r="N54" s="678">
        <f>+landbouw!M12</f>
        <v>0</v>
      </c>
      <c r="O54" s="678">
        <f>+landbouw!N12</f>
        <v>0</v>
      </c>
      <c r="P54" s="678">
        <f>+landbouw!O12</f>
        <v>0</v>
      </c>
      <c r="Q54" s="679">
        <f>+landbouw!P12</f>
        <v>0</v>
      </c>
      <c r="R54" s="706">
        <f ca="1">SUM(C54:Q54)</f>
        <v>4648.7235334757925</v>
      </c>
    </row>
    <row r="55" spans="1:18" ht="15" thickBot="1">
      <c r="A55" s="800" t="s">
        <v>849</v>
      </c>
      <c r="B55" s="810"/>
      <c r="C55" s="678">
        <f ca="1">C25*'EF ele_warmte'!B12</f>
        <v>53.724759456931899</v>
      </c>
      <c r="D55" s="678"/>
      <c r="E55" s="678">
        <f>E25*EF_CO2_aardgas</f>
        <v>432.32886366782134</v>
      </c>
      <c r="F55" s="678"/>
      <c r="G55" s="678"/>
      <c r="H55" s="678"/>
      <c r="I55" s="678"/>
      <c r="J55" s="678"/>
      <c r="K55" s="678"/>
      <c r="L55" s="678"/>
      <c r="M55" s="678"/>
      <c r="N55" s="678"/>
      <c r="O55" s="678"/>
      <c r="P55" s="678"/>
      <c r="Q55" s="679"/>
      <c r="R55" s="706">
        <f ca="1">SUM(C55:Q55)</f>
        <v>486.05362312475324</v>
      </c>
    </row>
    <row r="56" spans="1:18" ht="15.75" thickBot="1">
      <c r="A56" s="798" t="s">
        <v>850</v>
      </c>
      <c r="B56" s="811"/>
      <c r="C56" s="707">
        <f ca="1">SUM(C54:C55)</f>
        <v>407.50616417563657</v>
      </c>
      <c r="D56" s="707">
        <f t="shared" ref="D56:Q56" ca="1" si="7">SUM(D54:D55)</f>
        <v>0</v>
      </c>
      <c r="E56" s="707">
        <f t="shared" si="7"/>
        <v>793.35871106812374</v>
      </c>
      <c r="F56" s="707">
        <f t="shared" si="7"/>
        <v>11.271832448930327</v>
      </c>
      <c r="G56" s="707">
        <f t="shared" si="7"/>
        <v>3631.6884912902929</v>
      </c>
      <c r="H56" s="707">
        <f t="shared" si="7"/>
        <v>0</v>
      </c>
      <c r="I56" s="707">
        <f t="shared" si="7"/>
        <v>0</v>
      </c>
      <c r="J56" s="707">
        <f t="shared" si="7"/>
        <v>0</v>
      </c>
      <c r="K56" s="707">
        <f t="shared" si="7"/>
        <v>290.95195761756167</v>
      </c>
      <c r="L56" s="707">
        <f t="shared" si="7"/>
        <v>0</v>
      </c>
      <c r="M56" s="707">
        <f t="shared" si="7"/>
        <v>0</v>
      </c>
      <c r="N56" s="707">
        <f t="shared" si="7"/>
        <v>0</v>
      </c>
      <c r="O56" s="707">
        <f t="shared" si="7"/>
        <v>0</v>
      </c>
      <c r="P56" s="707">
        <f t="shared" si="7"/>
        <v>0</v>
      </c>
      <c r="Q56" s="708">
        <f t="shared" si="7"/>
        <v>0</v>
      </c>
      <c r="R56" s="709">
        <f ca="1">SUM(R54:R55)</f>
        <v>5134.7771566005458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5930.5492525403761</v>
      </c>
      <c r="D61" s="715">
        <f t="shared" ref="D61:Q61" ca="1" si="8">D46+D52+D56</f>
        <v>0</v>
      </c>
      <c r="E61" s="715">
        <f t="shared" ca="1" si="8"/>
        <v>15473.011322446788</v>
      </c>
      <c r="F61" s="715">
        <f t="shared" si="8"/>
        <v>4587.5372356529087</v>
      </c>
      <c r="G61" s="715">
        <f t="shared" ca="1" si="8"/>
        <v>10080.390031693703</v>
      </c>
      <c r="H61" s="715">
        <f t="shared" si="8"/>
        <v>20681.987409893431</v>
      </c>
      <c r="I61" s="715">
        <f t="shared" si="8"/>
        <v>2579.1292300211485</v>
      </c>
      <c r="J61" s="715">
        <f t="shared" si="8"/>
        <v>0</v>
      </c>
      <c r="K61" s="715">
        <f t="shared" si="8"/>
        <v>301.8369556524263</v>
      </c>
      <c r="L61" s="715">
        <f t="shared" si="8"/>
        <v>0</v>
      </c>
      <c r="M61" s="715">
        <f t="shared" ca="1" si="8"/>
        <v>0</v>
      </c>
      <c r="N61" s="715">
        <f t="shared" si="8"/>
        <v>0</v>
      </c>
      <c r="O61" s="715">
        <f t="shared" ca="1" si="8"/>
        <v>0</v>
      </c>
      <c r="P61" s="715">
        <f t="shared" si="8"/>
        <v>0</v>
      </c>
      <c r="Q61" s="715">
        <f t="shared" si="8"/>
        <v>0</v>
      </c>
      <c r="R61" s="715">
        <f ca="1">R46+R52+R56</f>
        <v>59634.441437900787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6.599191788165043E-2</v>
      </c>
      <c r="D63" s="756">
        <f t="shared" ca="1" si="9"/>
        <v>0</v>
      </c>
      <c r="E63" s="1002">
        <f t="shared" ca="1" si="9"/>
        <v>0.20200000000000001</v>
      </c>
      <c r="F63" s="756">
        <f t="shared" si="9"/>
        <v>0.22699999999999995</v>
      </c>
      <c r="G63" s="756">
        <f t="shared" ca="1" si="9"/>
        <v>0.26700000000000002</v>
      </c>
      <c r="H63" s="756">
        <f t="shared" si="9"/>
        <v>0.26700000000000002</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24176.78066596196</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8057.9665827638146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30798</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36232.941176470587</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63032.747248725776</v>
      </c>
      <c r="C78" s="730">
        <f>SUM(C72:C77)</f>
        <v>0</v>
      </c>
      <c r="D78" s="731">
        <f t="shared" ref="D78:H78" si="10">SUM(D76:D77)</f>
        <v>0</v>
      </c>
      <c r="E78" s="731">
        <f t="shared" si="10"/>
        <v>0</v>
      </c>
      <c r="F78" s="731">
        <f t="shared" si="10"/>
        <v>0</v>
      </c>
      <c r="G78" s="731">
        <f t="shared" si="10"/>
        <v>0</v>
      </c>
      <c r="H78" s="731">
        <f t="shared" si="10"/>
        <v>0</v>
      </c>
      <c r="I78" s="731">
        <f>SUM(I76:I77)</f>
        <v>0</v>
      </c>
      <c r="J78" s="731">
        <f>SUM(J76:J77)</f>
        <v>36232.941176470587</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43997.142857142855</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51761.344537815123</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43997.142857142855</v>
      </c>
      <c r="C90" s="730">
        <f>SUM(C87:C89)</f>
        <v>0</v>
      </c>
      <c r="D90" s="730">
        <f t="shared" ref="D90:H90" si="12">SUM(D87:D89)</f>
        <v>0</v>
      </c>
      <c r="E90" s="730">
        <f t="shared" si="12"/>
        <v>0</v>
      </c>
      <c r="F90" s="730">
        <f t="shared" si="12"/>
        <v>0</v>
      </c>
      <c r="G90" s="730">
        <f t="shared" si="12"/>
        <v>0</v>
      </c>
      <c r="H90" s="730">
        <f t="shared" si="12"/>
        <v>0</v>
      </c>
      <c r="I90" s="730">
        <f>SUM(I87:I89)</f>
        <v>0</v>
      </c>
      <c r="J90" s="730">
        <f>SUM(J87:J89)</f>
        <v>51761.344537815123</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21730.703654301891</v>
      </c>
      <c r="C4" s="452">
        <f>huishoudens!C8</f>
        <v>0</v>
      </c>
      <c r="D4" s="452">
        <f>huishoudens!D8</f>
        <v>53241.399409312675</v>
      </c>
      <c r="E4" s="452">
        <f>huishoudens!E8</f>
        <v>17373.518792210056</v>
      </c>
      <c r="F4" s="452">
        <f>huishoudens!F8</f>
        <v>9055.8590901351145</v>
      </c>
      <c r="G4" s="452">
        <f>huishoudens!G8</f>
        <v>0</v>
      </c>
      <c r="H4" s="452">
        <f>huishoudens!H8</f>
        <v>0</v>
      </c>
      <c r="I4" s="452">
        <f>huishoudens!I8</f>
        <v>0</v>
      </c>
      <c r="J4" s="452">
        <f>huishoudens!J8</f>
        <v>0</v>
      </c>
      <c r="K4" s="452">
        <f>huishoudens!K8</f>
        <v>0</v>
      </c>
      <c r="L4" s="452">
        <f>huishoudens!L8</f>
        <v>0</v>
      </c>
      <c r="M4" s="452">
        <f>huishoudens!M8</f>
        <v>0</v>
      </c>
      <c r="N4" s="452">
        <f>huishoudens!N8</f>
        <v>21362.609042857679</v>
      </c>
      <c r="O4" s="452">
        <f>huishoudens!O8</f>
        <v>253.26</v>
      </c>
      <c r="P4" s="453">
        <f>huishoudens!P8</f>
        <v>705.4666666666667</v>
      </c>
      <c r="Q4" s="454">
        <f>SUM(B4:P4)</f>
        <v>123722.81665548409</v>
      </c>
    </row>
    <row r="5" spans="1:17">
      <c r="A5" s="451" t="s">
        <v>155</v>
      </c>
      <c r="B5" s="452">
        <f ca="1">tertiair!B16</f>
        <v>41787.548779999997</v>
      </c>
      <c r="C5" s="452">
        <f ca="1">tertiair!C16</f>
        <v>0</v>
      </c>
      <c r="D5" s="452">
        <f ca="1">tertiair!D16</f>
        <v>11989.590247747936</v>
      </c>
      <c r="E5" s="452">
        <f>tertiair!E16</f>
        <v>393.97897589341517</v>
      </c>
      <c r="F5" s="452">
        <f ca="1">tertiair!F16</f>
        <v>6257.4056126333726</v>
      </c>
      <c r="G5" s="452">
        <f>tertiair!G16</f>
        <v>0</v>
      </c>
      <c r="H5" s="452">
        <f>tertiair!H16</f>
        <v>0</v>
      </c>
      <c r="I5" s="452">
        <f>tertiair!I16</f>
        <v>0</v>
      </c>
      <c r="J5" s="452">
        <f>tertiair!J16</f>
        <v>0</v>
      </c>
      <c r="K5" s="452">
        <f>tertiair!K16</f>
        <v>0</v>
      </c>
      <c r="L5" s="452">
        <f ca="1">tertiair!L16</f>
        <v>0</v>
      </c>
      <c r="M5" s="452">
        <f>tertiair!M16</f>
        <v>0</v>
      </c>
      <c r="N5" s="452">
        <f ca="1">tertiair!N16</f>
        <v>4312.2957027617458</v>
      </c>
      <c r="O5" s="452">
        <f>tertiair!O16</f>
        <v>7.8166666666666664</v>
      </c>
      <c r="P5" s="453">
        <f>tertiair!P16</f>
        <v>38.133333333333333</v>
      </c>
      <c r="Q5" s="451">
        <f t="shared" ref="Q5:Q14" ca="1" si="0">SUM(B5:P5)</f>
        <v>64786.769319036466</v>
      </c>
    </row>
    <row r="6" spans="1:17">
      <c r="A6" s="451" t="s">
        <v>193</v>
      </c>
      <c r="B6" s="452">
        <f>'openbare verlichting'!B8</f>
        <v>814.3</v>
      </c>
      <c r="C6" s="452"/>
      <c r="D6" s="452"/>
      <c r="E6" s="452"/>
      <c r="F6" s="452"/>
      <c r="G6" s="452"/>
      <c r="H6" s="452"/>
      <c r="I6" s="452"/>
      <c r="J6" s="452"/>
      <c r="K6" s="452"/>
      <c r="L6" s="452"/>
      <c r="M6" s="452"/>
      <c r="N6" s="452"/>
      <c r="O6" s="452"/>
      <c r="P6" s="453"/>
      <c r="Q6" s="451">
        <f t="shared" si="0"/>
        <v>814.3</v>
      </c>
    </row>
    <row r="7" spans="1:17">
      <c r="A7" s="451" t="s">
        <v>111</v>
      </c>
      <c r="B7" s="452">
        <f>landbouw!B8</f>
        <v>5360.9807999999994</v>
      </c>
      <c r="C7" s="452">
        <f>landbouw!C8</f>
        <v>43997.142857142855</v>
      </c>
      <c r="D7" s="452">
        <f>landbouw!D8</f>
        <v>1787.2764722787249</v>
      </c>
      <c r="E7" s="452">
        <f>landbouw!E8</f>
        <v>49.655649554759151</v>
      </c>
      <c r="F7" s="452">
        <f>landbouw!F8</f>
        <v>13601.829555394355</v>
      </c>
      <c r="G7" s="452">
        <f>landbouw!G8</f>
        <v>0</v>
      </c>
      <c r="H7" s="452">
        <f>landbouw!H8</f>
        <v>0</v>
      </c>
      <c r="I7" s="452">
        <f>landbouw!I8</f>
        <v>0</v>
      </c>
      <c r="J7" s="452">
        <f>landbouw!J8</f>
        <v>821.89818536034375</v>
      </c>
      <c r="K7" s="452">
        <f>landbouw!K8</f>
        <v>0</v>
      </c>
      <c r="L7" s="452">
        <f>landbouw!L8</f>
        <v>0</v>
      </c>
      <c r="M7" s="452">
        <f>landbouw!M8</f>
        <v>0</v>
      </c>
      <c r="N7" s="452">
        <f>landbouw!N8</f>
        <v>0</v>
      </c>
      <c r="O7" s="452">
        <f>landbouw!O8</f>
        <v>0</v>
      </c>
      <c r="P7" s="453">
        <f>landbouw!P8</f>
        <v>0</v>
      </c>
      <c r="Q7" s="451">
        <f t="shared" si="0"/>
        <v>65618.783519731034</v>
      </c>
    </row>
    <row r="8" spans="1:17">
      <c r="A8" s="451" t="s">
        <v>649</v>
      </c>
      <c r="B8" s="452">
        <f>industrie!B18</f>
        <v>19351.555200000003</v>
      </c>
      <c r="C8" s="452">
        <f>industrie!C18</f>
        <v>0</v>
      </c>
      <c r="D8" s="452">
        <f>industrie!D18</f>
        <v>7423.8070285139647</v>
      </c>
      <c r="E8" s="452">
        <f>industrie!E18</f>
        <v>2216.5889966076766</v>
      </c>
      <c r="F8" s="452">
        <f>industrie!F18</f>
        <v>8839.1755234615102</v>
      </c>
      <c r="G8" s="452">
        <f>industrie!G18</f>
        <v>0</v>
      </c>
      <c r="H8" s="452">
        <f>industrie!H18</f>
        <v>0</v>
      </c>
      <c r="I8" s="452">
        <f>industrie!I18</f>
        <v>0</v>
      </c>
      <c r="J8" s="452">
        <f>industrie!J18</f>
        <v>30.748582019391598</v>
      </c>
      <c r="K8" s="452">
        <f>industrie!K18</f>
        <v>0</v>
      </c>
      <c r="L8" s="452">
        <f>industrie!L18</f>
        <v>0</v>
      </c>
      <c r="M8" s="452">
        <f>industrie!M18</f>
        <v>0</v>
      </c>
      <c r="N8" s="452">
        <f>industrie!N18</f>
        <v>1240.479800423569</v>
      </c>
      <c r="O8" s="452">
        <f>industrie!O18</f>
        <v>0</v>
      </c>
      <c r="P8" s="453">
        <f>industrie!P18</f>
        <v>0</v>
      </c>
      <c r="Q8" s="451">
        <f t="shared" si="0"/>
        <v>39102.355131026117</v>
      </c>
    </row>
    <row r="9" spans="1:17" s="457" customFormat="1">
      <c r="A9" s="455" t="s">
        <v>570</v>
      </c>
      <c r="B9" s="456">
        <f>transport!B14</f>
        <v>8.6121055568036393</v>
      </c>
      <c r="C9" s="456">
        <f>transport!C14</f>
        <v>0</v>
      </c>
      <c r="D9" s="456">
        <f>transport!D14</f>
        <v>16.750895507914013</v>
      </c>
      <c r="E9" s="456">
        <f>transport!E14</f>
        <v>175.67272076893559</v>
      </c>
      <c r="F9" s="456">
        <f>transport!F14</f>
        <v>0</v>
      </c>
      <c r="G9" s="456">
        <f>transport!G14</f>
        <v>76723.012643162714</v>
      </c>
      <c r="H9" s="456">
        <f>transport!H14</f>
        <v>10357.948714944372</v>
      </c>
      <c r="I9" s="456">
        <f>transport!I14</f>
        <v>0</v>
      </c>
      <c r="J9" s="456">
        <f>transport!J14</f>
        <v>0</v>
      </c>
      <c r="K9" s="456">
        <f>transport!K14</f>
        <v>0</v>
      </c>
      <c r="L9" s="456">
        <f>transport!L14</f>
        <v>0</v>
      </c>
      <c r="M9" s="456">
        <f>transport!M14</f>
        <v>4764.1287582260466</v>
      </c>
      <c r="N9" s="456">
        <f>transport!N14</f>
        <v>0</v>
      </c>
      <c r="O9" s="456">
        <f>transport!O14</f>
        <v>0</v>
      </c>
      <c r="P9" s="456">
        <f>transport!P14</f>
        <v>0</v>
      </c>
      <c r="Q9" s="455">
        <f>SUM(B9:P9)</f>
        <v>92046.125838166787</v>
      </c>
    </row>
    <row r="10" spans="1:17">
      <c r="A10" s="451" t="s">
        <v>560</v>
      </c>
      <c r="B10" s="452">
        <f>transport!B54</f>
        <v>0</v>
      </c>
      <c r="C10" s="452">
        <f>transport!C54</f>
        <v>0</v>
      </c>
      <c r="D10" s="452">
        <f>transport!D54</f>
        <v>0</v>
      </c>
      <c r="E10" s="452">
        <f>transport!E54</f>
        <v>0</v>
      </c>
      <c r="F10" s="452">
        <f>transport!F54</f>
        <v>0</v>
      </c>
      <c r="G10" s="452">
        <f>transport!G54</f>
        <v>737.61436018346421</v>
      </c>
      <c r="H10" s="452">
        <f>transport!H54</f>
        <v>0</v>
      </c>
      <c r="I10" s="452">
        <f>transport!I54</f>
        <v>0</v>
      </c>
      <c r="J10" s="452">
        <f>transport!J54</f>
        <v>0</v>
      </c>
      <c r="K10" s="452">
        <f>transport!K54</f>
        <v>0</v>
      </c>
      <c r="L10" s="452">
        <f>transport!L54</f>
        <v>0</v>
      </c>
      <c r="M10" s="452">
        <f>transport!M54</f>
        <v>42.159791745439442</v>
      </c>
      <c r="N10" s="452">
        <f>transport!N54</f>
        <v>0</v>
      </c>
      <c r="O10" s="452">
        <f>transport!O54</f>
        <v>0</v>
      </c>
      <c r="P10" s="453">
        <f>transport!P54</f>
        <v>0</v>
      </c>
      <c r="Q10" s="451">
        <f t="shared" si="0"/>
        <v>779.77415192890362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814.11119999999994</v>
      </c>
      <c r="C14" s="459"/>
      <c r="D14" s="459">
        <f>'SEAP template'!E25</f>
        <v>2140.2418993456499</v>
      </c>
      <c r="E14" s="459"/>
      <c r="F14" s="459"/>
      <c r="G14" s="459"/>
      <c r="H14" s="459"/>
      <c r="I14" s="459"/>
      <c r="J14" s="459"/>
      <c r="K14" s="459"/>
      <c r="L14" s="459"/>
      <c r="M14" s="459"/>
      <c r="N14" s="459"/>
      <c r="O14" s="459"/>
      <c r="P14" s="460"/>
      <c r="Q14" s="451">
        <f t="shared" si="0"/>
        <v>2954.3530993456498</v>
      </c>
    </row>
    <row r="15" spans="1:17" s="461" customFormat="1">
      <c r="A15" s="1017" t="s">
        <v>564</v>
      </c>
      <c r="B15" s="957">
        <f ca="1">SUM(B4:B14)</f>
        <v>89867.811739858706</v>
      </c>
      <c r="C15" s="957">
        <f t="shared" ref="C15:Q15" ca="1" si="1">SUM(C4:C14)</f>
        <v>43997.142857142855</v>
      </c>
      <c r="D15" s="957">
        <f t="shared" ca="1" si="1"/>
        <v>76599.065952706864</v>
      </c>
      <c r="E15" s="957">
        <f t="shared" si="1"/>
        <v>20209.415135034844</v>
      </c>
      <c r="F15" s="957">
        <f t="shared" ca="1" si="1"/>
        <v>37754.269781624353</v>
      </c>
      <c r="G15" s="957">
        <f t="shared" si="1"/>
        <v>77460.627003346177</v>
      </c>
      <c r="H15" s="957">
        <f t="shared" si="1"/>
        <v>10357.948714944372</v>
      </c>
      <c r="I15" s="957">
        <f t="shared" si="1"/>
        <v>0</v>
      </c>
      <c r="J15" s="957">
        <f t="shared" si="1"/>
        <v>852.64676737973537</v>
      </c>
      <c r="K15" s="957">
        <f t="shared" si="1"/>
        <v>0</v>
      </c>
      <c r="L15" s="957">
        <f t="shared" ca="1" si="1"/>
        <v>0</v>
      </c>
      <c r="M15" s="957">
        <f t="shared" si="1"/>
        <v>4806.2885499714857</v>
      </c>
      <c r="N15" s="957">
        <f t="shared" ca="1" si="1"/>
        <v>26915.384546042995</v>
      </c>
      <c r="O15" s="957">
        <f t="shared" si="1"/>
        <v>261.07666666666665</v>
      </c>
      <c r="P15" s="957">
        <f t="shared" si="1"/>
        <v>743.6</v>
      </c>
      <c r="Q15" s="957">
        <f t="shared" ca="1" si="1"/>
        <v>389825.27771471901</v>
      </c>
    </row>
    <row r="17" spans="1:17">
      <c r="A17" s="462" t="s">
        <v>565</v>
      </c>
      <c r="B17" s="761">
        <f ca="1">huishoudens!B10</f>
        <v>6.5991917881650444E-2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1434.0508110651717</v>
      </c>
      <c r="C22" s="452">
        <f t="shared" ref="C22:C32" ca="1" si="3">C4*$C$17</f>
        <v>0</v>
      </c>
      <c r="D22" s="452">
        <f t="shared" ref="D22:D32" si="4">D4*$D$17</f>
        <v>10754.76268068116</v>
      </c>
      <c r="E22" s="452">
        <f t="shared" ref="E22:E32" si="5">E4*$E$17</f>
        <v>3943.7887658316827</v>
      </c>
      <c r="F22" s="452">
        <f t="shared" ref="F22:F32" si="6">F4*$F$17</f>
        <v>2417.9143770660758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18550.516634644089</v>
      </c>
    </row>
    <row r="23" spans="1:17">
      <c r="A23" s="451" t="s">
        <v>155</v>
      </c>
      <c r="B23" s="452">
        <f t="shared" ca="1" si="2"/>
        <v>2757.640487565222</v>
      </c>
      <c r="C23" s="452">
        <f t="shared" ca="1" si="3"/>
        <v>0</v>
      </c>
      <c r="D23" s="452">
        <f t="shared" ca="1" si="4"/>
        <v>2421.8972300450832</v>
      </c>
      <c r="E23" s="452">
        <f t="shared" si="5"/>
        <v>89.433227527805244</v>
      </c>
      <c r="F23" s="452">
        <f t="shared" ca="1" si="6"/>
        <v>1670.7272985731106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6939.698243711221</v>
      </c>
    </row>
    <row r="24" spans="1:17">
      <c r="A24" s="451" t="s">
        <v>193</v>
      </c>
      <c r="B24" s="452">
        <f t="shared" ca="1" si="2"/>
        <v>53.737218731027951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53.737218731027951</v>
      </c>
    </row>
    <row r="25" spans="1:17">
      <c r="A25" s="451" t="s">
        <v>111</v>
      </c>
      <c r="B25" s="452">
        <f t="shared" ca="1" si="2"/>
        <v>353.78140471870466</v>
      </c>
      <c r="C25" s="452">
        <f t="shared" ca="1" si="3"/>
        <v>0</v>
      </c>
      <c r="D25" s="452">
        <f t="shared" si="4"/>
        <v>361.02984740030246</v>
      </c>
      <c r="E25" s="452">
        <f t="shared" si="5"/>
        <v>11.271832448930327</v>
      </c>
      <c r="F25" s="452">
        <f t="shared" si="6"/>
        <v>3631.6884912902929</v>
      </c>
      <c r="G25" s="452">
        <f t="shared" si="7"/>
        <v>0</v>
      </c>
      <c r="H25" s="452">
        <f t="shared" si="8"/>
        <v>0</v>
      </c>
      <c r="I25" s="452">
        <f t="shared" si="9"/>
        <v>0</v>
      </c>
      <c r="J25" s="452">
        <f t="shared" si="10"/>
        <v>290.95195761756167</v>
      </c>
      <c r="K25" s="452">
        <f t="shared" si="11"/>
        <v>0</v>
      </c>
      <c r="L25" s="452">
        <f t="shared" si="12"/>
        <v>0</v>
      </c>
      <c r="M25" s="452">
        <f t="shared" si="13"/>
        <v>0</v>
      </c>
      <c r="N25" s="452">
        <f t="shared" si="14"/>
        <v>0</v>
      </c>
      <c r="O25" s="452">
        <f t="shared" si="15"/>
        <v>0</v>
      </c>
      <c r="P25" s="453">
        <f t="shared" si="16"/>
        <v>0</v>
      </c>
      <c r="Q25" s="451">
        <f t="shared" ca="1" si="17"/>
        <v>4648.7235334757925</v>
      </c>
    </row>
    <row r="26" spans="1:17">
      <c r="A26" s="451" t="s">
        <v>649</v>
      </c>
      <c r="B26" s="452">
        <f t="shared" ca="1" si="2"/>
        <v>1277.0462416406258</v>
      </c>
      <c r="C26" s="452">
        <f t="shared" ca="1" si="3"/>
        <v>0</v>
      </c>
      <c r="D26" s="452">
        <f t="shared" si="4"/>
        <v>1499.609019759821</v>
      </c>
      <c r="E26" s="452">
        <f t="shared" si="5"/>
        <v>503.16570222994261</v>
      </c>
      <c r="F26" s="452">
        <f t="shared" si="6"/>
        <v>2360.0598647642232</v>
      </c>
      <c r="G26" s="452">
        <f t="shared" si="7"/>
        <v>0</v>
      </c>
      <c r="H26" s="452">
        <f t="shared" si="8"/>
        <v>0</v>
      </c>
      <c r="I26" s="452">
        <f t="shared" si="9"/>
        <v>0</v>
      </c>
      <c r="J26" s="452">
        <f t="shared" si="10"/>
        <v>10.884998034864624</v>
      </c>
      <c r="K26" s="452">
        <f t="shared" si="11"/>
        <v>0</v>
      </c>
      <c r="L26" s="452">
        <f t="shared" si="12"/>
        <v>0</v>
      </c>
      <c r="M26" s="452">
        <f t="shared" si="13"/>
        <v>0</v>
      </c>
      <c r="N26" s="452">
        <f t="shared" si="14"/>
        <v>0</v>
      </c>
      <c r="O26" s="452">
        <f t="shared" si="15"/>
        <v>0</v>
      </c>
      <c r="P26" s="453">
        <f t="shared" si="16"/>
        <v>0</v>
      </c>
      <c r="Q26" s="451">
        <f t="shared" ca="1" si="17"/>
        <v>5650.7658264294778</v>
      </c>
    </row>
    <row r="27" spans="1:17" s="457" customFormat="1">
      <c r="A27" s="455" t="s">
        <v>570</v>
      </c>
      <c r="B27" s="755">
        <f t="shared" ca="1" si="2"/>
        <v>0.56832936269269119</v>
      </c>
      <c r="C27" s="456">
        <f t="shared" ca="1" si="3"/>
        <v>0</v>
      </c>
      <c r="D27" s="456">
        <f t="shared" si="4"/>
        <v>3.383680892598631</v>
      </c>
      <c r="E27" s="456">
        <f t="shared" si="5"/>
        <v>39.877707614548378</v>
      </c>
      <c r="F27" s="456">
        <f t="shared" si="6"/>
        <v>0</v>
      </c>
      <c r="G27" s="456">
        <f t="shared" si="7"/>
        <v>20485.044375724447</v>
      </c>
      <c r="H27" s="456">
        <f t="shared" si="8"/>
        <v>2579.1292300211485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23108.003323615438</v>
      </c>
    </row>
    <row r="28" spans="1:17">
      <c r="A28" s="451" t="s">
        <v>560</v>
      </c>
      <c r="B28" s="452">
        <f t="shared" ca="1" si="2"/>
        <v>0</v>
      </c>
      <c r="C28" s="452">
        <f t="shared" ca="1" si="3"/>
        <v>0</v>
      </c>
      <c r="D28" s="452">
        <f t="shared" si="4"/>
        <v>0</v>
      </c>
      <c r="E28" s="452">
        <f t="shared" si="5"/>
        <v>0</v>
      </c>
      <c r="F28" s="452">
        <f t="shared" si="6"/>
        <v>0</v>
      </c>
      <c r="G28" s="452">
        <f t="shared" si="7"/>
        <v>196.94303416898495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196.94303416898495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53.724759456931899</v>
      </c>
      <c r="C32" s="452">
        <f t="shared" ca="1" si="3"/>
        <v>0</v>
      </c>
      <c r="D32" s="452">
        <f t="shared" si="4"/>
        <v>432.32886366782134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486.05362312475324</v>
      </c>
    </row>
    <row r="33" spans="1:17" s="461" customFormat="1">
      <c r="A33" s="1017" t="s">
        <v>564</v>
      </c>
      <c r="B33" s="957">
        <f ca="1">SUM(B22:B32)</f>
        <v>5930.549252540377</v>
      </c>
      <c r="C33" s="957">
        <f t="shared" ref="C33:Q33" ca="1" si="18">SUM(C22:C32)</f>
        <v>0</v>
      </c>
      <c r="D33" s="957">
        <f t="shared" ca="1" si="18"/>
        <v>15473.011322446788</v>
      </c>
      <c r="E33" s="957">
        <f t="shared" si="18"/>
        <v>4587.5372356529087</v>
      </c>
      <c r="F33" s="957">
        <f t="shared" ca="1" si="18"/>
        <v>10080.390031693703</v>
      </c>
      <c r="G33" s="957">
        <f t="shared" si="18"/>
        <v>20681.987409893431</v>
      </c>
      <c r="H33" s="957">
        <f t="shared" si="18"/>
        <v>2579.1292300211485</v>
      </c>
      <c r="I33" s="957">
        <f t="shared" si="18"/>
        <v>0</v>
      </c>
      <c r="J33" s="957">
        <f t="shared" si="18"/>
        <v>301.8369556524263</v>
      </c>
      <c r="K33" s="957">
        <f t="shared" si="18"/>
        <v>0</v>
      </c>
      <c r="L33" s="957">
        <f t="shared" ca="1" si="18"/>
        <v>0</v>
      </c>
      <c r="M33" s="957">
        <f t="shared" si="18"/>
        <v>0</v>
      </c>
      <c r="N33" s="957">
        <f t="shared" ca="1" si="18"/>
        <v>0</v>
      </c>
      <c r="O33" s="957">
        <f t="shared" si="18"/>
        <v>0</v>
      </c>
      <c r="P33" s="957">
        <f t="shared" si="18"/>
        <v>0</v>
      </c>
      <c r="Q33" s="957">
        <f t="shared" ca="1" si="18"/>
        <v>59634.441437900794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24176.78066596196</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8057.9665827638146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30798</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36232.941176470587</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63032.747248725776</v>
      </c>
      <c r="C10" s="1038">
        <f>SUM(C4:C9)</f>
        <v>0</v>
      </c>
      <c r="D10" s="1038">
        <f t="shared" ref="D10:H10" si="0">SUM(D8:D9)</f>
        <v>0</v>
      </c>
      <c r="E10" s="1038">
        <f t="shared" si="0"/>
        <v>0</v>
      </c>
      <c r="F10" s="1038">
        <f t="shared" si="0"/>
        <v>0</v>
      </c>
      <c r="G10" s="1038">
        <f t="shared" si="0"/>
        <v>0</v>
      </c>
      <c r="H10" s="1038">
        <f t="shared" si="0"/>
        <v>0</v>
      </c>
      <c r="I10" s="1038">
        <f>SUM(I8:I9)</f>
        <v>0</v>
      </c>
      <c r="J10" s="1038">
        <f>SUM(J8:J9)</f>
        <v>36232.941176470587</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6.5991917881650444E-2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43997.142857142855</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51761.344537815123</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43997.142857142855</v>
      </c>
      <c r="C20" s="1038">
        <f>SUM(C17:C19)</f>
        <v>0</v>
      </c>
      <c r="D20" s="1038">
        <f t="shared" ref="D20:H20" si="2">SUM(D17:D19)</f>
        <v>0</v>
      </c>
      <c r="E20" s="1038">
        <f t="shared" si="2"/>
        <v>0</v>
      </c>
      <c r="F20" s="1038">
        <f t="shared" si="2"/>
        <v>0</v>
      </c>
      <c r="G20" s="1038">
        <f t="shared" si="2"/>
        <v>0</v>
      </c>
      <c r="H20" s="1038">
        <f t="shared" si="2"/>
        <v>0</v>
      </c>
      <c r="I20" s="1038">
        <f>SUM(I17:I19)</f>
        <v>0</v>
      </c>
      <c r="J20" s="1038">
        <f>SUM(J17:J19)</f>
        <v>51761.344537815123</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6.5991917881650444E-2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6.5991917881650444E-2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6.5991917881650444E-2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5148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2410</v>
      </c>
      <c r="C14" s="330"/>
      <c r="D14" s="330"/>
      <c r="E14" s="330"/>
      <c r="F14" s="330"/>
    </row>
    <row r="15" spans="1:6">
      <c r="A15" s="1305" t="s">
        <v>183</v>
      </c>
      <c r="B15" s="1306">
        <v>4321</v>
      </c>
      <c r="C15" s="330"/>
      <c r="D15" s="330"/>
      <c r="E15" s="330"/>
      <c r="F15" s="330"/>
    </row>
    <row r="16" spans="1:6">
      <c r="A16" s="1305" t="s">
        <v>6</v>
      </c>
      <c r="B16" s="1306">
        <v>1424</v>
      </c>
      <c r="C16" s="330"/>
      <c r="D16" s="330"/>
      <c r="E16" s="330"/>
      <c r="F16" s="330"/>
    </row>
    <row r="17" spans="1:6">
      <c r="A17" s="1305" t="s">
        <v>7</v>
      </c>
      <c r="B17" s="1306">
        <v>116</v>
      </c>
      <c r="C17" s="330"/>
      <c r="D17" s="330"/>
      <c r="E17" s="330"/>
      <c r="F17" s="330"/>
    </row>
    <row r="18" spans="1:6">
      <c r="A18" s="1305" t="s">
        <v>8</v>
      </c>
      <c r="B18" s="1306">
        <v>825</v>
      </c>
      <c r="C18" s="330"/>
      <c r="D18" s="330"/>
      <c r="E18" s="330"/>
      <c r="F18" s="330"/>
    </row>
    <row r="19" spans="1:6">
      <c r="A19" s="1305" t="s">
        <v>9</v>
      </c>
      <c r="B19" s="1306">
        <v>740</v>
      </c>
      <c r="C19" s="330"/>
      <c r="D19" s="330"/>
      <c r="E19" s="330"/>
      <c r="F19" s="330"/>
    </row>
    <row r="20" spans="1:6">
      <c r="A20" s="1305" t="s">
        <v>10</v>
      </c>
      <c r="B20" s="1306">
        <v>336</v>
      </c>
      <c r="C20" s="330"/>
      <c r="D20" s="330"/>
      <c r="E20" s="330"/>
      <c r="F20" s="330"/>
    </row>
    <row r="21" spans="1:6">
      <c r="A21" s="1305" t="s">
        <v>11</v>
      </c>
      <c r="B21" s="1306">
        <v>17993</v>
      </c>
      <c r="C21" s="330"/>
      <c r="D21" s="330"/>
      <c r="E21" s="330"/>
      <c r="F21" s="330"/>
    </row>
    <row r="22" spans="1:6">
      <c r="A22" s="1305" t="s">
        <v>12</v>
      </c>
      <c r="B22" s="1306">
        <v>17367</v>
      </c>
      <c r="C22" s="330"/>
      <c r="D22" s="330"/>
      <c r="E22" s="330"/>
      <c r="F22" s="330"/>
    </row>
    <row r="23" spans="1:6">
      <c r="A23" s="1305" t="s">
        <v>13</v>
      </c>
      <c r="B23" s="1306">
        <v>1178</v>
      </c>
      <c r="C23" s="330"/>
      <c r="D23" s="330"/>
      <c r="E23" s="330"/>
      <c r="F23" s="330"/>
    </row>
    <row r="24" spans="1:6">
      <c r="A24" s="1305" t="s">
        <v>14</v>
      </c>
      <c r="B24" s="1306">
        <v>10</v>
      </c>
      <c r="C24" s="330"/>
      <c r="D24" s="330"/>
      <c r="E24" s="330"/>
      <c r="F24" s="330"/>
    </row>
    <row r="25" spans="1:6">
      <c r="A25" s="1305" t="s">
        <v>15</v>
      </c>
      <c r="B25" s="1306">
        <v>4659</v>
      </c>
      <c r="C25" s="330"/>
      <c r="D25" s="330"/>
      <c r="E25" s="330"/>
      <c r="F25" s="330"/>
    </row>
    <row r="26" spans="1:6">
      <c r="A26" s="1305" t="s">
        <v>16</v>
      </c>
      <c r="B26" s="1306">
        <v>17</v>
      </c>
      <c r="C26" s="330"/>
      <c r="D26" s="330"/>
      <c r="E26" s="330"/>
      <c r="F26" s="330"/>
    </row>
    <row r="27" spans="1:6">
      <c r="A27" s="1305" t="s">
        <v>17</v>
      </c>
      <c r="B27" s="1306">
        <v>0</v>
      </c>
      <c r="C27" s="330"/>
      <c r="D27" s="330"/>
      <c r="E27" s="330"/>
      <c r="F27" s="330"/>
    </row>
    <row r="28" spans="1:6" s="43" customFormat="1">
      <c r="A28" s="1307" t="s">
        <v>18</v>
      </c>
      <c r="B28" s="1308">
        <v>384368</v>
      </c>
      <c r="C28" s="336"/>
      <c r="D28" s="336"/>
      <c r="E28" s="336"/>
      <c r="F28" s="336"/>
    </row>
    <row r="29" spans="1:6">
      <c r="A29" s="1307" t="s">
        <v>909</v>
      </c>
      <c r="B29" s="1308">
        <v>60</v>
      </c>
      <c r="C29" s="336"/>
      <c r="D29" s="336"/>
      <c r="E29" s="336"/>
      <c r="F29" s="336"/>
    </row>
    <row r="30" spans="1:6">
      <c r="A30" s="1300" t="s">
        <v>910</v>
      </c>
      <c r="B30" s="1309">
        <v>13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154269.611322849</v>
      </c>
      <c r="E38" s="1306">
        <v>1</v>
      </c>
      <c r="F38" s="1306">
        <v>15765.75</v>
      </c>
    </row>
    <row r="39" spans="1:6">
      <c r="A39" s="1305" t="s">
        <v>29</v>
      </c>
      <c r="B39" s="1305" t="s">
        <v>30</v>
      </c>
      <c r="C39" s="1306">
        <v>3649</v>
      </c>
      <c r="D39" s="1306">
        <v>59025941.695468597</v>
      </c>
      <c r="E39" s="1306">
        <v>5050</v>
      </c>
      <c r="F39" s="1306">
        <v>18656747</v>
      </c>
    </row>
    <row r="40" spans="1:6">
      <c r="A40" s="1305" t="s">
        <v>29</v>
      </c>
      <c r="B40" s="1305" t="s">
        <v>28</v>
      </c>
      <c r="C40" s="1306">
        <v>0</v>
      </c>
      <c r="D40" s="1306">
        <v>0</v>
      </c>
      <c r="E40" s="1306">
        <v>0</v>
      </c>
      <c r="F40" s="1306">
        <v>0</v>
      </c>
    </row>
    <row r="41" spans="1:6">
      <c r="A41" s="1305" t="s">
        <v>31</v>
      </c>
      <c r="B41" s="1305" t="s">
        <v>32</v>
      </c>
      <c r="C41" s="1306">
        <v>54</v>
      </c>
      <c r="D41" s="1306">
        <v>1390072.66590964</v>
      </c>
      <c r="E41" s="1306">
        <v>116</v>
      </c>
      <c r="F41" s="1306">
        <v>6553433</v>
      </c>
    </row>
    <row r="42" spans="1:6">
      <c r="A42" s="1305" t="s">
        <v>31</v>
      </c>
      <c r="B42" s="1305" t="s">
        <v>33</v>
      </c>
      <c r="C42" s="1306">
        <v>0</v>
      </c>
      <c r="D42" s="1306">
        <v>0</v>
      </c>
      <c r="E42" s="1306">
        <v>3</v>
      </c>
      <c r="F42" s="1306">
        <v>312123.59999999998</v>
      </c>
    </row>
    <row r="43" spans="1:6">
      <c r="A43" s="1305" t="s">
        <v>31</v>
      </c>
      <c r="B43" s="1305" t="s">
        <v>34</v>
      </c>
      <c r="C43" s="1306">
        <v>0</v>
      </c>
      <c r="D43" s="1306">
        <v>0</v>
      </c>
      <c r="E43" s="1306">
        <v>0</v>
      </c>
      <c r="F43" s="1306">
        <v>0</v>
      </c>
    </row>
    <row r="44" spans="1:6">
      <c r="A44" s="1305" t="s">
        <v>31</v>
      </c>
      <c r="B44" s="1305" t="s">
        <v>35</v>
      </c>
      <c r="C44" s="1306">
        <v>14</v>
      </c>
      <c r="D44" s="1306">
        <v>3710596.87506891</v>
      </c>
      <c r="E44" s="1306">
        <v>28</v>
      </c>
      <c r="F44" s="1306">
        <v>5613165</v>
      </c>
    </row>
    <row r="45" spans="1:6">
      <c r="A45" s="1305" t="s">
        <v>31</v>
      </c>
      <c r="B45" s="1305" t="s">
        <v>36</v>
      </c>
      <c r="C45" s="1306">
        <v>3</v>
      </c>
      <c r="D45" s="1306">
        <v>127465.160892746</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1265146</v>
      </c>
    </row>
    <row r="48" spans="1:6">
      <c r="A48" s="1305" t="s">
        <v>31</v>
      </c>
      <c r="B48" s="1305" t="s">
        <v>28</v>
      </c>
      <c r="C48" s="1306">
        <v>27</v>
      </c>
      <c r="D48" s="1306">
        <v>2660301.3171942802</v>
      </c>
      <c r="E48" s="1306">
        <v>28</v>
      </c>
      <c r="F48" s="1306">
        <v>5241769</v>
      </c>
    </row>
    <row r="49" spans="1:6">
      <c r="A49" s="1305" t="s">
        <v>31</v>
      </c>
      <c r="B49" s="1305" t="s">
        <v>39</v>
      </c>
      <c r="C49" s="1306">
        <v>0</v>
      </c>
      <c r="D49" s="1306">
        <v>0</v>
      </c>
      <c r="E49" s="1306">
        <v>0</v>
      </c>
      <c r="F49" s="1306">
        <v>0</v>
      </c>
    </row>
    <row r="50" spans="1:6">
      <c r="A50" s="1305" t="s">
        <v>31</v>
      </c>
      <c r="B50" s="1305" t="s">
        <v>40</v>
      </c>
      <c r="C50" s="1306">
        <v>5</v>
      </c>
      <c r="D50" s="1306">
        <v>341948.713211547</v>
      </c>
      <c r="E50" s="1306">
        <v>10</v>
      </c>
      <c r="F50" s="1306">
        <v>365918.6</v>
      </c>
    </row>
    <row r="51" spans="1:6">
      <c r="A51" s="1305" t="s">
        <v>41</v>
      </c>
      <c r="B51" s="1305" t="s">
        <v>42</v>
      </c>
      <c r="C51" s="1306">
        <v>0</v>
      </c>
      <c r="D51" s="1306">
        <v>0</v>
      </c>
      <c r="E51" s="1306">
        <v>59</v>
      </c>
      <c r="F51" s="1306">
        <v>5107474</v>
      </c>
    </row>
    <row r="52" spans="1:6">
      <c r="A52" s="1305" t="s">
        <v>41</v>
      </c>
      <c r="B52" s="1305" t="s">
        <v>28</v>
      </c>
      <c r="C52" s="1306">
        <v>4</v>
      </c>
      <c r="D52" s="1306">
        <v>1981459.5036349499</v>
      </c>
      <c r="E52" s="1306">
        <v>7</v>
      </c>
      <c r="F52" s="1306">
        <v>253506.8</v>
      </c>
    </row>
    <row r="53" spans="1:6">
      <c r="A53" s="1305" t="s">
        <v>43</v>
      </c>
      <c r="B53" s="1305" t="s">
        <v>44</v>
      </c>
      <c r="C53" s="1306">
        <v>89</v>
      </c>
      <c r="D53" s="1306">
        <v>2140241.8993456499</v>
      </c>
      <c r="E53" s="1306">
        <v>166</v>
      </c>
      <c r="F53" s="1306">
        <v>814111.2</v>
      </c>
    </row>
    <row r="54" spans="1:6">
      <c r="A54" s="1305" t="s">
        <v>45</v>
      </c>
      <c r="B54" s="1305" t="s">
        <v>46</v>
      </c>
      <c r="C54" s="1306">
        <v>0</v>
      </c>
      <c r="D54" s="1306">
        <v>0</v>
      </c>
      <c r="E54" s="1306">
        <v>1</v>
      </c>
      <c r="F54" s="1306">
        <v>814300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15</v>
      </c>
      <c r="D57" s="1306">
        <v>250501.79244364399</v>
      </c>
      <c r="E57" s="1306">
        <v>65</v>
      </c>
      <c r="F57" s="1306">
        <v>2036957</v>
      </c>
    </row>
    <row r="58" spans="1:6">
      <c r="A58" s="1305" t="s">
        <v>48</v>
      </c>
      <c r="B58" s="1305" t="s">
        <v>50</v>
      </c>
      <c r="C58" s="1306">
        <v>20</v>
      </c>
      <c r="D58" s="1306">
        <v>405109.72178398498</v>
      </c>
      <c r="E58" s="1306">
        <v>23</v>
      </c>
      <c r="F58" s="1306">
        <v>181436.79999999999</v>
      </c>
    </row>
    <row r="59" spans="1:6">
      <c r="A59" s="1305" t="s">
        <v>48</v>
      </c>
      <c r="B59" s="1305" t="s">
        <v>51</v>
      </c>
      <c r="C59" s="1306">
        <v>61</v>
      </c>
      <c r="D59" s="1306">
        <v>1722673.9411154501</v>
      </c>
      <c r="E59" s="1306">
        <v>121</v>
      </c>
      <c r="F59" s="1306">
        <v>2761029</v>
      </c>
    </row>
    <row r="60" spans="1:6">
      <c r="A60" s="1305" t="s">
        <v>48</v>
      </c>
      <c r="B60" s="1305" t="s">
        <v>52</v>
      </c>
      <c r="C60" s="1306">
        <v>36</v>
      </c>
      <c r="D60" s="1306">
        <v>1429945.96783892</v>
      </c>
      <c r="E60" s="1306">
        <v>46</v>
      </c>
      <c r="F60" s="1306">
        <v>1196827</v>
      </c>
    </row>
    <row r="61" spans="1:6">
      <c r="A61" s="1305" t="s">
        <v>48</v>
      </c>
      <c r="B61" s="1305" t="s">
        <v>53</v>
      </c>
      <c r="C61" s="1306">
        <v>91</v>
      </c>
      <c r="D61" s="1306">
        <v>4881897.5060251597</v>
      </c>
      <c r="E61" s="1306">
        <v>171</v>
      </c>
      <c r="F61" s="1306">
        <v>2442793</v>
      </c>
    </row>
    <row r="62" spans="1:6">
      <c r="A62" s="1305" t="s">
        <v>48</v>
      </c>
      <c r="B62" s="1305" t="s">
        <v>54</v>
      </c>
      <c r="C62" s="1306">
        <v>0</v>
      </c>
      <c r="D62" s="1306">
        <v>0</v>
      </c>
      <c r="E62" s="1306">
        <v>0</v>
      </c>
      <c r="F62" s="1306">
        <v>0</v>
      </c>
    </row>
    <row r="63" spans="1:6">
      <c r="A63" s="1305" t="s">
        <v>48</v>
      </c>
      <c r="B63" s="1305" t="s">
        <v>28</v>
      </c>
      <c r="C63" s="1306">
        <v>89</v>
      </c>
      <c r="D63" s="1306">
        <v>4602099.7268326804</v>
      </c>
      <c r="E63" s="1306">
        <v>79</v>
      </c>
      <c r="F63" s="1306">
        <v>33168505.98</v>
      </c>
    </row>
    <row r="64" spans="1:6">
      <c r="A64" s="1305" t="s">
        <v>55</v>
      </c>
      <c r="B64" s="1305" t="s">
        <v>56</v>
      </c>
      <c r="C64" s="1306">
        <v>0</v>
      </c>
      <c r="D64" s="1306">
        <v>0</v>
      </c>
      <c r="E64" s="1306">
        <v>0</v>
      </c>
      <c r="F64" s="1306">
        <v>0</v>
      </c>
    </row>
    <row r="65" spans="1:6">
      <c r="A65" s="1305" t="s">
        <v>55</v>
      </c>
      <c r="B65" s="1305" t="s">
        <v>28</v>
      </c>
      <c r="C65" s="1306">
        <v>0</v>
      </c>
      <c r="D65" s="1306">
        <v>0</v>
      </c>
      <c r="E65" s="1306">
        <v>1</v>
      </c>
      <c r="F65" s="1306">
        <v>1073.4749999999999</v>
      </c>
    </row>
    <row r="66" spans="1:6">
      <c r="A66" s="1305" t="s">
        <v>55</v>
      </c>
      <c r="B66" s="1305" t="s">
        <v>57</v>
      </c>
      <c r="C66" s="1306">
        <v>0</v>
      </c>
      <c r="D66" s="1306">
        <v>0</v>
      </c>
      <c r="E66" s="1306">
        <v>5</v>
      </c>
      <c r="F66" s="1306">
        <v>16175</v>
      </c>
    </row>
    <row r="67" spans="1:6">
      <c r="A67" s="1307" t="s">
        <v>55</v>
      </c>
      <c r="B67" s="1307" t="s">
        <v>58</v>
      </c>
      <c r="C67" s="1306">
        <v>0</v>
      </c>
      <c r="D67" s="1306">
        <v>0</v>
      </c>
      <c r="E67" s="1306">
        <v>0</v>
      </c>
      <c r="F67" s="1306">
        <v>0</v>
      </c>
    </row>
    <row r="68" spans="1:6">
      <c r="A68" s="1300" t="s">
        <v>55</v>
      </c>
      <c r="B68" s="1300" t="s">
        <v>59</v>
      </c>
      <c r="C68" s="1309">
        <v>7</v>
      </c>
      <c r="D68" s="1309">
        <v>164809.00101555299</v>
      </c>
      <c r="E68" s="1309">
        <v>11</v>
      </c>
      <c r="F68" s="1309">
        <v>239947.8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32064002</v>
      </c>
      <c r="E73" s="450"/>
      <c r="F73" s="330"/>
    </row>
    <row r="74" spans="1:6">
      <c r="A74" s="1305" t="s">
        <v>63</v>
      </c>
      <c r="B74" s="1305" t="s">
        <v>710</v>
      </c>
      <c r="C74" s="1319" t="s">
        <v>712</v>
      </c>
      <c r="D74" s="1320">
        <v>1695027.2136989548</v>
      </c>
      <c r="E74" s="450"/>
      <c r="F74" s="330"/>
    </row>
    <row r="75" spans="1:6">
      <c r="A75" s="1305" t="s">
        <v>64</v>
      </c>
      <c r="B75" s="1305" t="s">
        <v>709</v>
      </c>
      <c r="C75" s="1319" t="s">
        <v>713</v>
      </c>
      <c r="D75" s="1320">
        <v>11679831</v>
      </c>
      <c r="E75" s="450"/>
      <c r="F75" s="330"/>
    </row>
    <row r="76" spans="1:6">
      <c r="A76" s="1305" t="s">
        <v>64</v>
      </c>
      <c r="B76" s="1305" t="s">
        <v>710</v>
      </c>
      <c r="C76" s="1319" t="s">
        <v>714</v>
      </c>
      <c r="D76" s="1320">
        <v>487027.21369895485</v>
      </c>
      <c r="E76" s="450"/>
      <c r="F76" s="330"/>
    </row>
    <row r="77" spans="1:6">
      <c r="A77" s="1305" t="s">
        <v>65</v>
      </c>
      <c r="B77" s="1305" t="s">
        <v>709</v>
      </c>
      <c r="C77" s="1319" t="s">
        <v>715</v>
      </c>
      <c r="D77" s="1320">
        <v>32373941</v>
      </c>
      <c r="E77" s="450"/>
      <c r="F77" s="330"/>
    </row>
    <row r="78" spans="1:6">
      <c r="A78" s="1300" t="s">
        <v>65</v>
      </c>
      <c r="B78" s="1300" t="s">
        <v>710</v>
      </c>
      <c r="C78" s="1300" t="s">
        <v>716</v>
      </c>
      <c r="D78" s="1321">
        <v>12796410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209369.57260209034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24176.78066596196</v>
      </c>
      <c r="C90" s="330"/>
      <c r="D90" s="330"/>
      <c r="E90" s="330"/>
      <c r="F90" s="330"/>
    </row>
    <row r="91" spans="1:6">
      <c r="A91" s="1305" t="s">
        <v>67</v>
      </c>
      <c r="B91" s="1306">
        <v>3073.9566543018905</v>
      </c>
      <c r="C91" s="330"/>
      <c r="D91" s="330"/>
      <c r="E91" s="330"/>
      <c r="F91" s="330"/>
    </row>
    <row r="92" spans="1:6">
      <c r="A92" s="1300" t="s">
        <v>68</v>
      </c>
      <c r="B92" s="1301">
        <v>4984.0099284619237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2294</v>
      </c>
      <c r="C97" s="330"/>
      <c r="D97" s="330"/>
      <c r="E97" s="330"/>
      <c r="F97" s="330"/>
    </row>
    <row r="98" spans="1:6">
      <c r="A98" s="1305" t="s">
        <v>71</v>
      </c>
      <c r="B98" s="1306">
        <v>6</v>
      </c>
      <c r="C98" s="330"/>
      <c r="D98" s="330"/>
      <c r="E98" s="330"/>
      <c r="F98" s="330"/>
    </row>
    <row r="99" spans="1:6">
      <c r="A99" s="1305" t="s">
        <v>72</v>
      </c>
      <c r="B99" s="1306">
        <v>78</v>
      </c>
      <c r="C99" s="330"/>
      <c r="D99" s="330"/>
      <c r="E99" s="330"/>
      <c r="F99" s="330"/>
    </row>
    <row r="100" spans="1:6">
      <c r="A100" s="1305" t="s">
        <v>73</v>
      </c>
      <c r="B100" s="1306">
        <v>168</v>
      </c>
      <c r="C100" s="330"/>
      <c r="D100" s="330"/>
      <c r="E100" s="330"/>
      <c r="F100" s="330"/>
    </row>
    <row r="101" spans="1:6">
      <c r="A101" s="1305" t="s">
        <v>74</v>
      </c>
      <c r="B101" s="1306">
        <v>133</v>
      </c>
      <c r="C101" s="330"/>
      <c r="D101" s="330"/>
      <c r="E101" s="330"/>
      <c r="F101" s="330"/>
    </row>
    <row r="102" spans="1:6">
      <c r="A102" s="1305" t="s">
        <v>75</v>
      </c>
      <c r="B102" s="1306">
        <v>48</v>
      </c>
      <c r="C102" s="330"/>
      <c r="D102" s="330"/>
      <c r="E102" s="330"/>
      <c r="F102" s="330"/>
    </row>
    <row r="103" spans="1:6">
      <c r="A103" s="1305" t="s">
        <v>76</v>
      </c>
      <c r="B103" s="1306">
        <v>44</v>
      </c>
      <c r="C103" s="330"/>
      <c r="D103" s="330"/>
      <c r="E103" s="330"/>
      <c r="F103" s="330"/>
    </row>
    <row r="104" spans="1:6">
      <c r="A104" s="1305" t="s">
        <v>77</v>
      </c>
      <c r="B104" s="1306">
        <v>1624</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20</v>
      </c>
      <c r="C123" s="1306">
        <v>17</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145</v>
      </c>
      <c r="C129" s="330"/>
      <c r="D129" s="330"/>
      <c r="E129" s="330"/>
      <c r="F129" s="330"/>
    </row>
    <row r="130" spans="1:6">
      <c r="A130" s="1305" t="s">
        <v>294</v>
      </c>
      <c r="B130" s="1306">
        <v>5</v>
      </c>
      <c r="C130" s="330"/>
      <c r="D130" s="330"/>
      <c r="E130" s="330"/>
      <c r="F130" s="330"/>
    </row>
    <row r="131" spans="1:6">
      <c r="A131" s="1305" t="s">
        <v>295</v>
      </c>
      <c r="B131" s="1306">
        <v>2</v>
      </c>
      <c r="C131" s="330"/>
      <c r="D131" s="330"/>
      <c r="E131" s="330"/>
      <c r="F131" s="330"/>
    </row>
    <row r="132" spans="1:6">
      <c r="A132" s="1300" t="s">
        <v>296</v>
      </c>
      <c r="B132" s="1301">
        <v>16</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89867.811739858706</v>
      </c>
      <c r="C3" s="43" t="s">
        <v>169</v>
      </c>
      <c r="D3" s="43"/>
      <c r="E3" s="154"/>
      <c r="F3" s="43"/>
      <c r="G3" s="43"/>
      <c r="H3" s="43"/>
      <c r="I3" s="43"/>
      <c r="J3" s="43"/>
      <c r="K3" s="96"/>
    </row>
    <row r="4" spans="1:11">
      <c r="A4" s="359" t="s">
        <v>170</v>
      </c>
      <c r="B4" s="49">
        <f>IF(ISERROR('SEAP template'!B78+'SEAP template'!C78),0,'SEAP template'!B78+'SEAP template'!C78)</f>
        <v>63032.747248725776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6.5991917881650444E-2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43997.142857142855</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814.3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814.3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6.5991917881650444E-2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53.737218731027951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18656.746999999999</v>
      </c>
      <c r="C5" s="17">
        <f>IF(ISERROR('Eigen informatie GS &amp; warmtenet'!B57),0,'Eigen informatie GS &amp; warmtenet'!B57)</f>
        <v>0</v>
      </c>
      <c r="D5" s="30">
        <f>(SUM(HH_hh_gas_kWh,HH_rest_gas_kWh)/1000)*0.902</f>
        <v>53241.399409312675</v>
      </c>
      <c r="E5" s="17">
        <f>B46*B57</f>
        <v>17373.518792210056</v>
      </c>
      <c r="F5" s="17">
        <f>B51*B62</f>
        <v>9055.8590901351145</v>
      </c>
      <c r="G5" s="18"/>
      <c r="H5" s="17"/>
      <c r="I5" s="17"/>
      <c r="J5" s="17">
        <f>B50*B61+C50*C61</f>
        <v>0</v>
      </c>
      <c r="K5" s="17"/>
      <c r="L5" s="17"/>
      <c r="M5" s="17"/>
      <c r="N5" s="17">
        <f>B48*B59+C48*C59</f>
        <v>21362.609042857679</v>
      </c>
      <c r="O5" s="17">
        <f>B69*B70*B71</f>
        <v>253.26</v>
      </c>
      <c r="P5" s="17">
        <f>B77*B78*B79/1000-B77*B78*B79/1000/B80</f>
        <v>705.4666666666667</v>
      </c>
    </row>
    <row r="6" spans="1:16">
      <c r="A6" s="16" t="s">
        <v>630</v>
      </c>
      <c r="B6" s="763">
        <f>kWh_PV_kleiner_dan_10kW</f>
        <v>3073.9566543018905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21730.703654301891</v>
      </c>
      <c r="C8" s="21">
        <f>C5</f>
        <v>0</v>
      </c>
      <c r="D8" s="21">
        <f>D5</f>
        <v>53241.399409312675</v>
      </c>
      <c r="E8" s="21">
        <f>E5</f>
        <v>17373.518792210056</v>
      </c>
      <c r="F8" s="21">
        <f>F5</f>
        <v>9055.8590901351145</v>
      </c>
      <c r="G8" s="21"/>
      <c r="H8" s="21"/>
      <c r="I8" s="21"/>
      <c r="J8" s="21">
        <f>J5</f>
        <v>0</v>
      </c>
      <c r="K8" s="21"/>
      <c r="L8" s="21">
        <f>L5</f>
        <v>0</v>
      </c>
      <c r="M8" s="21">
        <f>M5</f>
        <v>0</v>
      </c>
      <c r="N8" s="21">
        <f>N5</f>
        <v>21362.609042857679</v>
      </c>
      <c r="O8" s="21">
        <f>O5</f>
        <v>253.26</v>
      </c>
      <c r="P8" s="21">
        <f>P5</f>
        <v>705.4666666666667</v>
      </c>
    </row>
    <row r="9" spans="1:16">
      <c r="B9" s="19"/>
      <c r="C9" s="19"/>
      <c r="D9" s="258"/>
      <c r="E9" s="19"/>
      <c r="F9" s="19"/>
      <c r="G9" s="19"/>
      <c r="H9" s="19"/>
      <c r="I9" s="19"/>
      <c r="J9" s="19"/>
      <c r="K9" s="19"/>
      <c r="L9" s="19"/>
      <c r="M9" s="19"/>
      <c r="N9" s="19"/>
      <c r="O9" s="19"/>
      <c r="P9" s="19"/>
    </row>
    <row r="10" spans="1:16">
      <c r="A10" s="24" t="s">
        <v>213</v>
      </c>
      <c r="B10" s="25">
        <f ca="1">'EF ele_warmte'!B12</f>
        <v>6.5991917881650444E-2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1434.0508110651717</v>
      </c>
      <c r="C12" s="23">
        <f ca="1">C10*C8</f>
        <v>0</v>
      </c>
      <c r="D12" s="23">
        <f>D8*D10</f>
        <v>10754.76268068116</v>
      </c>
      <c r="E12" s="23">
        <f>E10*E8</f>
        <v>3943.7887658316827</v>
      </c>
      <c r="F12" s="23">
        <f>F10*F8</f>
        <v>2417.9143770660758</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2294</v>
      </c>
      <c r="C18" s="166" t="s">
        <v>110</v>
      </c>
      <c r="D18" s="228"/>
      <c r="E18" s="15"/>
    </row>
    <row r="19" spans="1:7">
      <c r="A19" s="171" t="s">
        <v>71</v>
      </c>
      <c r="B19" s="37">
        <f>aantalw2001_ander</f>
        <v>6</v>
      </c>
      <c r="C19" s="166" t="s">
        <v>110</v>
      </c>
      <c r="D19" s="229"/>
      <c r="E19" s="15"/>
    </row>
    <row r="20" spans="1:7">
      <c r="A20" s="171" t="s">
        <v>72</v>
      </c>
      <c r="B20" s="37">
        <f>aantalw2001_propaan</f>
        <v>78</v>
      </c>
      <c r="C20" s="167">
        <f>IF(ISERROR(B20/SUM($B$20,$B$21,$B$22)*100),0,B20/SUM($B$20,$B$21,$B$22)*100)</f>
        <v>20.580474934036939</v>
      </c>
      <c r="D20" s="229"/>
      <c r="E20" s="15"/>
    </row>
    <row r="21" spans="1:7">
      <c r="A21" s="171" t="s">
        <v>73</v>
      </c>
      <c r="B21" s="37">
        <f>aantalw2001_elektriciteit</f>
        <v>168</v>
      </c>
      <c r="C21" s="167">
        <f>IF(ISERROR(B21/SUM($B$20,$B$21,$B$22)*100),0,B21/SUM($B$20,$B$21,$B$22)*100)</f>
        <v>44.327176781002635</v>
      </c>
      <c r="D21" s="229"/>
      <c r="E21" s="15"/>
    </row>
    <row r="22" spans="1:7">
      <c r="A22" s="171" t="s">
        <v>74</v>
      </c>
      <c r="B22" s="37">
        <f>aantalw2001_hout</f>
        <v>133</v>
      </c>
      <c r="C22" s="167">
        <f>IF(ISERROR(B22/SUM($B$20,$B$21,$B$22)*100),0,B22/SUM($B$20,$B$21,$B$22)*100)</f>
        <v>35.092348284960423</v>
      </c>
      <c r="D22" s="229"/>
      <c r="E22" s="15"/>
    </row>
    <row r="23" spans="1:7">
      <c r="A23" s="171" t="s">
        <v>75</v>
      </c>
      <c r="B23" s="37">
        <f>aantalw2001_niet_gespec</f>
        <v>48</v>
      </c>
      <c r="C23" s="166" t="s">
        <v>110</v>
      </c>
      <c r="D23" s="228"/>
      <c r="E23" s="15"/>
    </row>
    <row r="24" spans="1:7">
      <c r="A24" s="171" t="s">
        <v>76</v>
      </c>
      <c r="B24" s="37">
        <f>aantalw2001_steenkool</f>
        <v>44</v>
      </c>
      <c r="C24" s="166" t="s">
        <v>110</v>
      </c>
      <c r="D24" s="229"/>
      <c r="E24" s="15"/>
    </row>
    <row r="25" spans="1:7">
      <c r="A25" s="171" t="s">
        <v>77</v>
      </c>
      <c r="B25" s="37">
        <f>aantalw2001_stookolie</f>
        <v>1624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5148</v>
      </c>
      <c r="C28" s="36"/>
      <c r="D28" s="228"/>
    </row>
    <row r="29" spans="1:7" s="15" customFormat="1">
      <c r="A29" s="230" t="s">
        <v>737</v>
      </c>
      <c r="B29" s="37">
        <f>SUM(HH_hh_gas_aantal,HH_rest_gas_aantal)</f>
        <v>3649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3649</v>
      </c>
      <c r="C32" s="167">
        <f>IF(ISERROR(B32/SUM($B$32,$B$34,$B$35,$B$36,$B$38,$B$39)*100),0,B32/SUM($B$32,$B$34,$B$35,$B$36,$B$38,$B$39)*100)</f>
        <v>71.395030326746237</v>
      </c>
      <c r="D32" s="233"/>
      <c r="G32" s="15"/>
    </row>
    <row r="33" spans="1:7">
      <c r="A33" s="171" t="s">
        <v>71</v>
      </c>
      <c r="B33" s="34" t="s">
        <v>110</v>
      </c>
      <c r="C33" s="167"/>
      <c r="D33" s="233"/>
      <c r="G33" s="15"/>
    </row>
    <row r="34" spans="1:7">
      <c r="A34" s="171" t="s">
        <v>72</v>
      </c>
      <c r="B34" s="33">
        <f>IF((($B$28-$B$32-$B$39-$B$77-$B$38)*C20/100)&lt;0,0,($B$28-$B$32-$B$39-$B$77-$B$38)*C20/100)</f>
        <v>217.63852242744062</v>
      </c>
      <c r="C34" s="167">
        <f>IF(ISERROR(B34/SUM($B$32,$B$34,$B$35,$B$36,$B$38,$B$39)*100),0,B34/SUM($B$32,$B$34,$B$35,$B$36,$B$38,$B$39)*100)</f>
        <v>4.2582375743971941</v>
      </c>
      <c r="D34" s="233"/>
      <c r="G34" s="15"/>
    </row>
    <row r="35" spans="1:7">
      <c r="A35" s="171" t="s">
        <v>73</v>
      </c>
      <c r="B35" s="33">
        <f>IF((($B$28-$B$32-$B$39-$B$77-$B$38)*C21/100)&lt;0,0,($B$28-$B$32-$B$39-$B$77-$B$38)*C21/100)</f>
        <v>468.7598944591029</v>
      </c>
      <c r="C35" s="167">
        <f>IF(ISERROR(B35/SUM($B$32,$B$34,$B$35,$B$36,$B$38,$B$39)*100),0,B35/SUM($B$32,$B$34,$B$35,$B$36,$B$38,$B$39)*100)</f>
        <v>9.1715886217785734</v>
      </c>
      <c r="D35" s="233"/>
      <c r="G35" s="15"/>
    </row>
    <row r="36" spans="1:7">
      <c r="A36" s="171" t="s">
        <v>74</v>
      </c>
      <c r="B36" s="33">
        <f>IF((($B$28-$B$32-$B$39-$B$77-$B$38)*C22/100)&lt;0,0,($B$28-$B$32-$B$39-$B$77-$B$38)*C22/100)</f>
        <v>371.10158311345646</v>
      </c>
      <c r="C36" s="167">
        <f>IF(ISERROR(B36/SUM($B$32,$B$34,$B$35,$B$36,$B$38,$B$39)*100),0,B36/SUM($B$32,$B$34,$B$35,$B$36,$B$38,$B$39)*100)</f>
        <v>7.2608409922413717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404.5</v>
      </c>
      <c r="C39" s="167">
        <f>IF(ISERROR(B39/SUM($B$32,$B$34,$B$35,$B$36,$B$38,$B$39)*100),0,B39/SUM($B$32,$B$34,$B$35,$B$36,$B$38,$B$39)*100)</f>
        <v>7.914302484836627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3649</v>
      </c>
      <c r="C44" s="34" t="s">
        <v>110</v>
      </c>
      <c r="D44" s="174"/>
    </row>
    <row r="45" spans="1:7">
      <c r="A45" s="171" t="s">
        <v>71</v>
      </c>
      <c r="B45" s="33" t="str">
        <f t="shared" si="0"/>
        <v>-</v>
      </c>
      <c r="C45" s="34" t="s">
        <v>110</v>
      </c>
      <c r="D45" s="174"/>
    </row>
    <row r="46" spans="1:7">
      <c r="A46" s="171" t="s">
        <v>72</v>
      </c>
      <c r="B46" s="33">
        <f t="shared" si="0"/>
        <v>217.63852242744062</v>
      </c>
      <c r="C46" s="34" t="s">
        <v>110</v>
      </c>
      <c r="D46" s="174"/>
    </row>
    <row r="47" spans="1:7">
      <c r="A47" s="171" t="s">
        <v>73</v>
      </c>
      <c r="B47" s="33">
        <f t="shared" si="0"/>
        <v>468.7598944591029</v>
      </c>
      <c r="C47" s="34" t="s">
        <v>110</v>
      </c>
      <c r="D47" s="174"/>
    </row>
    <row r="48" spans="1:7">
      <c r="A48" s="171" t="s">
        <v>74</v>
      </c>
      <c r="B48" s="33">
        <f t="shared" si="0"/>
        <v>371.10158311345646</v>
      </c>
      <c r="C48" s="33">
        <f>B48*10</f>
        <v>3711.0158311345645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404.5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41787.548779999997</v>
      </c>
      <c r="C5" s="17">
        <f>IF(ISERROR('Eigen informatie GS &amp; warmtenet'!B58),0,'Eigen informatie GS &amp; warmtenet'!B58)</f>
        <v>0</v>
      </c>
      <c r="D5" s="30">
        <f>SUM(D6:D12)</f>
        <v>11989.590247747936</v>
      </c>
      <c r="E5" s="17">
        <f>SUM(E6:E12)</f>
        <v>393.97897589341517</v>
      </c>
      <c r="F5" s="17">
        <f>SUM(F6:F12)</f>
        <v>6257.4056126333726</v>
      </c>
      <c r="G5" s="18"/>
      <c r="H5" s="17"/>
      <c r="I5" s="17"/>
      <c r="J5" s="17">
        <f>SUM(J6:J12)</f>
        <v>0</v>
      </c>
      <c r="K5" s="17"/>
      <c r="L5" s="17"/>
      <c r="M5" s="17"/>
      <c r="N5" s="17">
        <f>SUM(N6:N12)</f>
        <v>4312.2957027617458</v>
      </c>
      <c r="O5" s="17">
        <f>B38*B39*B40</f>
        <v>7.8166666666666664</v>
      </c>
      <c r="P5" s="17">
        <f>B46*B47*B48/1000-B46*B47*B48/1000/B49</f>
        <v>38.133333333333333</v>
      </c>
      <c r="R5" s="32"/>
    </row>
    <row r="6" spans="1:18">
      <c r="A6" s="32" t="s">
        <v>53</v>
      </c>
      <c r="B6" s="37">
        <f>B26</f>
        <v>2442.7930000000001</v>
      </c>
      <c r="C6" s="33"/>
      <c r="D6" s="37">
        <f>IF(ISERROR(TER_kantoor_gas_kWh/1000),0,TER_kantoor_gas_kWh/1000)*0.902</f>
        <v>4403.4715504346941</v>
      </c>
      <c r="E6" s="33">
        <f>$C$26*'E Balans VL '!I12/100/3.6*1000000</f>
        <v>7.0771297295527793</v>
      </c>
      <c r="F6" s="33">
        <f>$C$26*('E Balans VL '!L12+'E Balans VL '!N12)/100/3.6*1000000</f>
        <v>276.47034869750428</v>
      </c>
      <c r="G6" s="34"/>
      <c r="H6" s="33"/>
      <c r="I6" s="33"/>
      <c r="J6" s="33">
        <f>$C$26*('E Balans VL '!D12+'E Balans VL '!E12)/100/3.6*1000000</f>
        <v>0</v>
      </c>
      <c r="K6" s="33"/>
      <c r="L6" s="33"/>
      <c r="M6" s="33"/>
      <c r="N6" s="33">
        <f>$C$26*'E Balans VL '!Y12/100/3.6*1000000</f>
        <v>24.450557999752927</v>
      </c>
      <c r="O6" s="33"/>
      <c r="P6" s="33"/>
      <c r="R6" s="32"/>
    </row>
    <row r="7" spans="1:18">
      <c r="A7" s="32" t="s">
        <v>52</v>
      </c>
      <c r="B7" s="37">
        <f t="shared" ref="B7:B12" si="0">B27</f>
        <v>1196.827</v>
      </c>
      <c r="C7" s="33"/>
      <c r="D7" s="37">
        <f>IF(ISERROR(TER_horeca_gas_kWh/1000),0,TER_horeca_gas_kWh/1000)*0.902</f>
        <v>1289.8112629907057</v>
      </c>
      <c r="E7" s="33">
        <f>$C$27*'E Balans VL '!I9/100/3.6*1000000</f>
        <v>50.23945359144966</v>
      </c>
      <c r="F7" s="33">
        <f>$C$27*('E Balans VL '!L9+'E Balans VL '!N9)/100/3.6*1000000</f>
        <v>257.16282419919054</v>
      </c>
      <c r="G7" s="34"/>
      <c r="H7" s="33"/>
      <c r="I7" s="33"/>
      <c r="J7" s="33">
        <f>$C$27*('E Balans VL '!D9+'E Balans VL '!E9)/100/3.6*1000000</f>
        <v>0</v>
      </c>
      <c r="K7" s="33"/>
      <c r="L7" s="33"/>
      <c r="M7" s="33"/>
      <c r="N7" s="33">
        <f>$C$27*'E Balans VL '!Y9/100/3.6*1000000</f>
        <v>0.30841185126818371</v>
      </c>
      <c r="O7" s="33"/>
      <c r="P7" s="33"/>
      <c r="R7" s="32"/>
    </row>
    <row r="8" spans="1:18">
      <c r="A8" s="6" t="s">
        <v>51</v>
      </c>
      <c r="B8" s="37">
        <f t="shared" si="0"/>
        <v>2761.029</v>
      </c>
      <c r="C8" s="33"/>
      <c r="D8" s="37">
        <f>IF(ISERROR(TER_handel_gas_kWh/1000),0,TER_handel_gas_kWh/1000)*0.902</f>
        <v>1553.8518948861361</v>
      </c>
      <c r="E8" s="33">
        <f>$C$28*'E Balans VL '!I13/100/3.6*1000000</f>
        <v>29.655749399114125</v>
      </c>
      <c r="F8" s="33">
        <f>$C$28*('E Balans VL '!L13+'E Balans VL '!N13)/100/3.6*1000000</f>
        <v>357.43800415746256</v>
      </c>
      <c r="G8" s="34"/>
      <c r="H8" s="33"/>
      <c r="I8" s="33"/>
      <c r="J8" s="33">
        <f>$C$28*('E Balans VL '!D13+'E Balans VL '!E13)/100/3.6*1000000</f>
        <v>0</v>
      </c>
      <c r="K8" s="33"/>
      <c r="L8" s="33"/>
      <c r="M8" s="33"/>
      <c r="N8" s="33">
        <f>$C$28*'E Balans VL '!Y13/100/3.6*1000000</f>
        <v>22.39761800673832</v>
      </c>
      <c r="O8" s="33"/>
      <c r="P8" s="33"/>
      <c r="R8" s="32"/>
    </row>
    <row r="9" spans="1:18">
      <c r="A9" s="32" t="s">
        <v>50</v>
      </c>
      <c r="B9" s="37">
        <f t="shared" si="0"/>
        <v>181.43679999999998</v>
      </c>
      <c r="C9" s="33"/>
      <c r="D9" s="37">
        <f>IF(ISERROR(TER_gezond_gas_kWh/1000),0,TER_gezond_gas_kWh/1000)*0.902</f>
        <v>365.40896904915445</v>
      </c>
      <c r="E9" s="33">
        <f>$C$29*'E Balans VL '!I10/100/3.6*1000000</f>
        <v>0.14443542781783356</v>
      </c>
      <c r="F9" s="33">
        <f>$C$29*('E Balans VL '!L10+'E Balans VL '!N10)/100/3.6*1000000</f>
        <v>22.056265037924412</v>
      </c>
      <c r="G9" s="34"/>
      <c r="H9" s="33"/>
      <c r="I9" s="33"/>
      <c r="J9" s="33">
        <f>$C$29*('E Balans VL '!D10+'E Balans VL '!E10)/100/3.6*1000000</f>
        <v>0</v>
      </c>
      <c r="K9" s="33"/>
      <c r="L9" s="33"/>
      <c r="M9" s="33"/>
      <c r="N9" s="33">
        <f>$C$29*'E Balans VL '!Y10/100/3.6*1000000</f>
        <v>1.4655984018781196</v>
      </c>
      <c r="O9" s="33"/>
      <c r="P9" s="33"/>
      <c r="R9" s="32"/>
    </row>
    <row r="10" spans="1:18">
      <c r="A10" s="32" t="s">
        <v>49</v>
      </c>
      <c r="B10" s="37">
        <f t="shared" si="0"/>
        <v>2036.9570000000001</v>
      </c>
      <c r="C10" s="33"/>
      <c r="D10" s="37">
        <f>IF(ISERROR(TER_ander_gas_kWh/1000),0,TER_ander_gas_kWh/1000)*0.902</f>
        <v>225.95261678416691</v>
      </c>
      <c r="E10" s="33">
        <f>$C$30*'E Balans VL '!I14/100/3.6*1000000</f>
        <v>6.9807586470038565</v>
      </c>
      <c r="F10" s="33">
        <f>$C$30*('E Balans VL '!L14+'E Balans VL '!N14)/100/3.6*1000000</f>
        <v>454.97342161779358</v>
      </c>
      <c r="G10" s="34"/>
      <c r="H10" s="33"/>
      <c r="I10" s="33"/>
      <c r="J10" s="33">
        <f>$C$30*('E Balans VL '!D14+'E Balans VL '!E14)/100/3.6*1000000</f>
        <v>0</v>
      </c>
      <c r="K10" s="33"/>
      <c r="L10" s="33"/>
      <c r="M10" s="33"/>
      <c r="N10" s="33">
        <f>$C$30*'E Balans VL '!Y14/100/3.6*1000000</f>
        <v>1434.8436384785753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33168.505980000002</v>
      </c>
      <c r="C12" s="33"/>
      <c r="D12" s="37">
        <f>IF(ISERROR(TER_rest_gas_kWh/1000),0,TER_rest_gas_kWh/1000)*0.902</f>
        <v>4151.0939536030774</v>
      </c>
      <c r="E12" s="33">
        <f>$C$32*'E Balans VL '!I8/100/3.6*1000000</f>
        <v>299.88144909847688</v>
      </c>
      <c r="F12" s="33">
        <f>$C$32*('E Balans VL '!L8+'E Balans VL '!N8)/100/3.6*1000000</f>
        <v>4889.3047489234968</v>
      </c>
      <c r="G12" s="34"/>
      <c r="H12" s="33"/>
      <c r="I12" s="33"/>
      <c r="J12" s="33">
        <f>$C$32*('E Balans VL '!D8+'E Balans VL '!E8)/100/3.6*1000000</f>
        <v>0</v>
      </c>
      <c r="K12" s="33"/>
      <c r="L12" s="33"/>
      <c r="M12" s="33"/>
      <c r="N12" s="33">
        <f>$C$32*'E Balans VL '!Y8/100/3.6*1000000</f>
        <v>2828.8298780235327</v>
      </c>
      <c r="O12" s="33"/>
      <c r="P12" s="33"/>
      <c r="R12" s="32"/>
    </row>
    <row r="13" spans="1:18">
      <c r="A13" s="16" t="s">
        <v>493</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41787.548779999997</v>
      </c>
      <c r="C16" s="21">
        <f t="shared" ca="1" si="1"/>
        <v>0</v>
      </c>
      <c r="D16" s="21">
        <f t="shared" ca="1" si="1"/>
        <v>11989.590247747936</v>
      </c>
      <c r="E16" s="21">
        <f t="shared" si="1"/>
        <v>393.97897589341517</v>
      </c>
      <c r="F16" s="21">
        <f t="shared" ca="1" si="1"/>
        <v>6257.4056126333726</v>
      </c>
      <c r="G16" s="21">
        <f t="shared" si="1"/>
        <v>0</v>
      </c>
      <c r="H16" s="21">
        <f t="shared" si="1"/>
        <v>0</v>
      </c>
      <c r="I16" s="21">
        <f t="shared" si="1"/>
        <v>0</v>
      </c>
      <c r="J16" s="21">
        <f t="shared" si="1"/>
        <v>0</v>
      </c>
      <c r="K16" s="21">
        <f t="shared" si="1"/>
        <v>0</v>
      </c>
      <c r="L16" s="21">
        <f t="shared" ca="1" si="1"/>
        <v>0</v>
      </c>
      <c r="M16" s="21">
        <f t="shared" si="1"/>
        <v>0</v>
      </c>
      <c r="N16" s="21">
        <f t="shared" ca="1" si="1"/>
        <v>4312.2957027617458</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6.5991917881650444E-2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2757.640487565222</v>
      </c>
      <c r="C20" s="23">
        <f t="shared" ref="C20:P20" ca="1" si="2">C16*C18</f>
        <v>0</v>
      </c>
      <c r="D20" s="23">
        <f t="shared" ca="1" si="2"/>
        <v>2421.8972300450832</v>
      </c>
      <c r="E20" s="23">
        <f t="shared" si="2"/>
        <v>89.433227527805244</v>
      </c>
      <c r="F20" s="23">
        <f t="shared" ca="1" si="2"/>
        <v>1670.7272985731106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2442.7930000000001</v>
      </c>
      <c r="C26" s="39">
        <f>IF(ISERROR(B26*3.6/1000000/'E Balans VL '!Z12*100),0,B26*3.6/1000000/'E Balans VL '!Z12*100)</f>
        <v>5.3658772396510741E-2</v>
      </c>
      <c r="D26" s="237" t="s">
        <v>691</v>
      </c>
      <c r="F26" s="6"/>
    </row>
    <row r="27" spans="1:18">
      <c r="A27" s="231" t="s">
        <v>52</v>
      </c>
      <c r="B27" s="33">
        <f>IF(ISERROR(TER_horeca_ele_kWh/1000),0,TER_horeca_ele_kWh/1000)</f>
        <v>1196.827</v>
      </c>
      <c r="C27" s="39">
        <f>IF(ISERROR(B27*3.6/1000000/'E Balans VL '!Z9*100),0,B27*3.6/1000000/'E Balans VL '!Z9*100)</f>
        <v>9.6176979562443504E-2</v>
      </c>
      <c r="D27" s="237" t="s">
        <v>691</v>
      </c>
      <c r="F27" s="6"/>
    </row>
    <row r="28" spans="1:18">
      <c r="A28" s="171" t="s">
        <v>51</v>
      </c>
      <c r="B28" s="33">
        <f>IF(ISERROR(TER_handel_ele_kWh/1000),0,TER_handel_ele_kWh/1000)</f>
        <v>2761.029</v>
      </c>
      <c r="C28" s="39">
        <f>IF(ISERROR(B28*3.6/1000000/'E Balans VL '!Z13*100),0,B28*3.6/1000000/'E Balans VL '!Z13*100)</f>
        <v>8.1641698634640408E-2</v>
      </c>
      <c r="D28" s="237" t="s">
        <v>691</v>
      </c>
      <c r="F28" s="6"/>
    </row>
    <row r="29" spans="1:18">
      <c r="A29" s="231" t="s">
        <v>50</v>
      </c>
      <c r="B29" s="33">
        <f>IF(ISERROR(TER_gezond_ele_kWh/1000),0,TER_gezond_ele_kWh/1000)</f>
        <v>181.43679999999998</v>
      </c>
      <c r="C29" s="39">
        <f>IF(ISERROR(B29*3.6/1000000/'E Balans VL '!Z10*100),0,B29*3.6/1000000/'E Balans VL '!Z10*100)</f>
        <v>2.0443243074744787E-2</v>
      </c>
      <c r="D29" s="237" t="s">
        <v>691</v>
      </c>
      <c r="F29" s="6"/>
    </row>
    <row r="30" spans="1:18">
      <c r="A30" s="231" t="s">
        <v>49</v>
      </c>
      <c r="B30" s="33">
        <f>IF(ISERROR(TER_ander_ele_kWh/1000),0,TER_ander_ele_kWh/1000)</f>
        <v>2036.9570000000001</v>
      </c>
      <c r="C30" s="39">
        <f>IF(ISERROR(B30*3.6/1000000/'E Balans VL '!Z14*100),0,B30*3.6/1000000/'E Balans VL '!Z14*100)</f>
        <v>0.15405157588929161</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33168.505980000002</v>
      </c>
      <c r="C32" s="39">
        <f>IF(ISERROR(B32*3.6/1000000/'E Balans VL '!Z8*100),0,B32*3.6/1000000/'E Balans VL '!Z8*100)</f>
        <v>0.2794251505102115</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19351.555200000003</v>
      </c>
      <c r="C5" s="17">
        <f>IF(ISERROR('Eigen informatie GS &amp; warmtenet'!B59),0,'Eigen informatie GS &amp; warmtenet'!B59)</f>
        <v>0</v>
      </c>
      <c r="D5" s="30">
        <f>SUM(D6:D15)</f>
        <v>7423.8070285139647</v>
      </c>
      <c r="E5" s="17">
        <f>SUM(E6:E15)</f>
        <v>2216.5889966076766</v>
      </c>
      <c r="F5" s="17">
        <f>SUM(F6:F15)</f>
        <v>8839.1755234615102</v>
      </c>
      <c r="G5" s="18"/>
      <c r="H5" s="17"/>
      <c r="I5" s="17"/>
      <c r="J5" s="17">
        <f>SUM(J6:J15)</f>
        <v>30.748582019391598</v>
      </c>
      <c r="K5" s="17"/>
      <c r="L5" s="17"/>
      <c r="M5" s="17"/>
      <c r="N5" s="17">
        <f>SUM(N6:N15)</f>
        <v>1240.479800423569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5613.165</v>
      </c>
      <c r="C8" s="33"/>
      <c r="D8" s="37">
        <f>IF( ISERROR(IND_metaal_Gas_kWH/1000),0,IND_metaal_Gas_kWH/1000)*0.902</f>
        <v>3346.9583813121567</v>
      </c>
      <c r="E8" s="33">
        <f>C30*'E Balans VL '!I18/100/3.6*1000000</f>
        <v>140.47787429338078</v>
      </c>
      <c r="F8" s="33">
        <f>C30*'E Balans VL '!L18/100/3.6*1000000+C30*'E Balans VL '!N18/100/3.6*1000000</f>
        <v>1759.1938323186471</v>
      </c>
      <c r="G8" s="34"/>
      <c r="H8" s="33"/>
      <c r="I8" s="33"/>
      <c r="J8" s="40">
        <f>C30*'E Balans VL '!D18/100/3.6*1000000+C30*'E Balans VL '!E18/100/3.6*1000000</f>
        <v>0</v>
      </c>
      <c r="K8" s="33"/>
      <c r="L8" s="33"/>
      <c r="M8" s="33"/>
      <c r="N8" s="33">
        <f>C30*'E Balans VL '!Y18/100/3.6*1000000</f>
        <v>141.01727223346504</v>
      </c>
      <c r="O8" s="33"/>
      <c r="P8" s="33"/>
      <c r="R8" s="32"/>
    </row>
    <row r="9" spans="1:18">
      <c r="A9" s="6" t="s">
        <v>32</v>
      </c>
      <c r="B9" s="37">
        <f t="shared" si="0"/>
        <v>6553.433</v>
      </c>
      <c r="C9" s="33"/>
      <c r="D9" s="37">
        <f>IF( ISERROR(IND_andere_gas_kWh/1000),0,IND_andere_gas_kWh/1000)*0.902</f>
        <v>1253.8455446504954</v>
      </c>
      <c r="E9" s="33">
        <f>C31*'E Balans VL '!I19/100/3.6*1000000</f>
        <v>1801.9252855811721</v>
      </c>
      <c r="F9" s="33">
        <f>C31*'E Balans VL '!L19/100/3.6*1000000+C31*'E Balans VL '!N19/100/3.6*1000000</f>
        <v>5165.2455832189007</v>
      </c>
      <c r="G9" s="34"/>
      <c r="H9" s="33"/>
      <c r="I9" s="33"/>
      <c r="J9" s="40">
        <f>C31*'E Balans VL '!D19/100/3.6*1000000+C31*'E Balans VL '!E19/100/3.6*1000000</f>
        <v>0</v>
      </c>
      <c r="K9" s="33"/>
      <c r="L9" s="33"/>
      <c r="M9" s="33"/>
      <c r="N9" s="33">
        <f>C31*'E Balans VL '!Y19/100/3.6*1000000</f>
        <v>527.94869216167251</v>
      </c>
      <c r="O9" s="33"/>
      <c r="P9" s="33"/>
      <c r="R9" s="32"/>
    </row>
    <row r="10" spans="1:18">
      <c r="A10" s="6" t="s">
        <v>40</v>
      </c>
      <c r="B10" s="37">
        <f t="shared" si="0"/>
        <v>365.91859999999997</v>
      </c>
      <c r="C10" s="33"/>
      <c r="D10" s="37">
        <f>IF( ISERROR(IND_voed_gas_kWh/1000),0,IND_voed_gas_kWh/1000)*0.902</f>
        <v>308.4377393168154</v>
      </c>
      <c r="E10" s="33">
        <f>C32*'E Balans VL '!I20/100/3.6*1000000</f>
        <v>3.730338541293007</v>
      </c>
      <c r="F10" s="33">
        <f>C32*'E Balans VL '!L20/100/3.6*1000000+C32*'E Balans VL '!N20/100/3.6*1000000</f>
        <v>691.2179468000777</v>
      </c>
      <c r="G10" s="34"/>
      <c r="H10" s="33"/>
      <c r="I10" s="33"/>
      <c r="J10" s="40">
        <f>C32*'E Balans VL '!D20/100/3.6*1000000+C32*'E Balans VL '!E20/100/3.6*1000000</f>
        <v>8.7576293890798116</v>
      </c>
      <c r="K10" s="33"/>
      <c r="L10" s="33"/>
      <c r="M10" s="33"/>
      <c r="N10" s="33">
        <f>C32*'E Balans VL '!Y20/100/3.6*1000000</f>
        <v>192.88125085430173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114.9735751252569</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1265.146</v>
      </c>
      <c r="C13" s="33"/>
      <c r="D13" s="37">
        <f>IF( ISERROR(IND_papier_gas_kWh/1000),0,IND_papier_gas_kWh/1000)*0.902</f>
        <v>0</v>
      </c>
      <c r="E13" s="33">
        <f>C35*'E Balans VL '!I23/100/3.6*1000000</f>
        <v>2.6202027612987169</v>
      </c>
      <c r="F13" s="33">
        <f>C35*'E Balans VL '!L23/100/3.6*1000000+C35*'E Balans VL '!N23/100/3.6*1000000</f>
        <v>25.09055743745165</v>
      </c>
      <c r="G13" s="34"/>
      <c r="H13" s="33"/>
      <c r="I13" s="33"/>
      <c r="J13" s="40">
        <f>C35*'E Balans VL '!D23/100/3.6*1000000+C35*'E Balans VL '!E23/100/3.6*1000000</f>
        <v>0</v>
      </c>
      <c r="K13" s="33"/>
      <c r="L13" s="33"/>
      <c r="M13" s="33"/>
      <c r="N13" s="33">
        <f>C35*'E Balans VL '!Y23/100/3.6*1000000</f>
        <v>87.74426983975502</v>
      </c>
      <c r="O13" s="33"/>
      <c r="P13" s="33"/>
      <c r="R13" s="32"/>
    </row>
    <row r="14" spans="1:18">
      <c r="A14" s="6" t="s">
        <v>33</v>
      </c>
      <c r="B14" s="37">
        <f t="shared" si="0"/>
        <v>312.12359999999995</v>
      </c>
      <c r="C14" s="33"/>
      <c r="D14" s="37">
        <f>IF( ISERROR(IND_chemie_gas_kWh/1000),0,IND_chemie_gas_kWh/1000)*0.902</f>
        <v>0</v>
      </c>
      <c r="E14" s="33">
        <f>C36*'E Balans VL '!I24/100/3.6*1000000</f>
        <v>1.1702026717949938</v>
      </c>
      <c r="F14" s="33">
        <f>C36*'E Balans VL '!L24/100/3.6*1000000+C36*'E Balans VL '!N24/100/3.6*1000000</f>
        <v>3.6312311421589096</v>
      </c>
      <c r="G14" s="34"/>
      <c r="H14" s="33"/>
      <c r="I14" s="33"/>
      <c r="J14" s="40">
        <f>C36*'E Balans VL '!D24/100/3.6*1000000+C36*'E Balans VL '!E24/100/3.6*1000000</f>
        <v>0</v>
      </c>
      <c r="K14" s="33"/>
      <c r="L14" s="33"/>
      <c r="M14" s="33"/>
      <c r="N14" s="33">
        <f>C36*'E Balans VL '!Y24/100/3.6*1000000</f>
        <v>5.3324819117958926</v>
      </c>
      <c r="O14" s="33"/>
      <c r="P14" s="33"/>
      <c r="R14" s="32"/>
    </row>
    <row r="15" spans="1:18">
      <c r="A15" s="6" t="s">
        <v>269</v>
      </c>
      <c r="B15" s="37">
        <f t="shared" si="0"/>
        <v>5241.7690000000002</v>
      </c>
      <c r="C15" s="33"/>
      <c r="D15" s="37">
        <f>IF( ISERROR(IND_rest_gas_kWh/1000),0,IND_rest_gas_kWh/1000)*0.902</f>
        <v>2399.591788109241</v>
      </c>
      <c r="E15" s="33">
        <f>C37*'E Balans VL '!I15/100/3.6*1000000</f>
        <v>266.66509275873705</v>
      </c>
      <c r="F15" s="33">
        <f>C37*'E Balans VL '!L15/100/3.6*1000000+C37*'E Balans VL '!N15/100/3.6*1000000</f>
        <v>1194.7963725442742</v>
      </c>
      <c r="G15" s="34"/>
      <c r="H15" s="33"/>
      <c r="I15" s="33"/>
      <c r="J15" s="40">
        <f>C37*'E Balans VL '!D15/100/3.6*1000000+C37*'E Balans VL '!E15/100/3.6*1000000</f>
        <v>21.990952630311789</v>
      </c>
      <c r="K15" s="33"/>
      <c r="L15" s="33"/>
      <c r="M15" s="33"/>
      <c r="N15" s="33">
        <f>C37*'E Balans VL '!Y15/100/3.6*1000000</f>
        <v>285.55583342257898</v>
      </c>
      <c r="O15" s="33"/>
      <c r="P15" s="33"/>
      <c r="R15" s="32"/>
    </row>
    <row r="16" spans="1:18">
      <c r="A16" s="16" t="s">
        <v>493</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19351.555200000003</v>
      </c>
      <c r="C18" s="21">
        <f>C5+C16</f>
        <v>0</v>
      </c>
      <c r="D18" s="21">
        <f>MAX((D5+D16),0)</f>
        <v>7423.8070285139647</v>
      </c>
      <c r="E18" s="21">
        <f>MAX((E5+E16),0)</f>
        <v>2216.5889966076766</v>
      </c>
      <c r="F18" s="21">
        <f>MAX((F5+F16),0)</f>
        <v>8839.1755234615102</v>
      </c>
      <c r="G18" s="21"/>
      <c r="H18" s="21"/>
      <c r="I18" s="21"/>
      <c r="J18" s="21">
        <f>MAX((J5+J16),0)</f>
        <v>30.748582019391598</v>
      </c>
      <c r="K18" s="21"/>
      <c r="L18" s="21">
        <f>MAX((L5+L16),0)</f>
        <v>0</v>
      </c>
      <c r="M18" s="21"/>
      <c r="N18" s="21">
        <f>MAX((N5+N16),0)</f>
        <v>1240.479800423569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6.5991917881650444E-2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1277.0462416406258</v>
      </c>
      <c r="C22" s="23">
        <f ca="1">C18*C20</f>
        <v>0</v>
      </c>
      <c r="D22" s="23">
        <f>D18*D20</f>
        <v>1499.609019759821</v>
      </c>
      <c r="E22" s="23">
        <f>E18*E20</f>
        <v>503.16570222994261</v>
      </c>
      <c r="F22" s="23">
        <f>F18*F20</f>
        <v>2360.0598647642232</v>
      </c>
      <c r="G22" s="23"/>
      <c r="H22" s="23"/>
      <c r="I22" s="23"/>
      <c r="J22" s="23">
        <f>J18*J20</f>
        <v>10.884998034864624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5613.165</v>
      </c>
      <c r="C30" s="39">
        <f>IF(ISERROR(B30*3.6/1000000/'E Balans VL '!Z18*100),0,B30*3.6/1000000/'E Balans VL '!Z18*100)</f>
        <v>0.78565603920985749</v>
      </c>
      <c r="D30" s="237" t="s">
        <v>691</v>
      </c>
    </row>
    <row r="31" spans="1:18">
      <c r="A31" s="6" t="s">
        <v>32</v>
      </c>
      <c r="B31" s="37">
        <f>IF( ISERROR(IND_ander_ele_kWh/1000),0,IND_ander_ele_kWh/1000)</f>
        <v>6553.433</v>
      </c>
      <c r="C31" s="39">
        <f>IF(ISERROR(B31*3.6/1000000/'E Balans VL '!Z19*100),0,B31*3.6/1000000/'E Balans VL '!Z19*100)</f>
        <v>0.28684269929212564</v>
      </c>
      <c r="D31" s="237" t="s">
        <v>691</v>
      </c>
    </row>
    <row r="32" spans="1:18">
      <c r="A32" s="171" t="s">
        <v>40</v>
      </c>
      <c r="B32" s="37">
        <f>IF( ISERROR(IND_voed_ele_kWh/1000),0,IND_voed_ele_kWh/1000)</f>
        <v>365.91859999999997</v>
      </c>
      <c r="C32" s="39">
        <f>IF(ISERROR(B32*3.6/1000000/'E Balans VL '!Z20*100),0,B32*3.6/1000000/'E Balans VL '!Z20*100)</f>
        <v>9.05892938026754E-2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1265.146</v>
      </c>
      <c r="C35" s="39">
        <f>IF(ISERROR(B35*3.6/1000000/'E Balans VL '!Z22*100),0,B35*3.6/1000000/'E Balans VL '!Z22*100)</f>
        <v>3.5899681961722982E-2</v>
      </c>
      <c r="D35" s="237" t="s">
        <v>691</v>
      </c>
    </row>
    <row r="36" spans="1:5">
      <c r="A36" s="171" t="s">
        <v>33</v>
      </c>
      <c r="B36" s="37">
        <f>IF( ISERROR(IND_chemie_ele_kWh/1000),0,IND_chemie_ele_kWh/1000)</f>
        <v>312.12359999999995</v>
      </c>
      <c r="C36" s="39">
        <f>IF(ISERROR(B36*3.6/1000000/'E Balans VL '!Z24*100),0,B36*3.6/1000000/'E Balans VL '!Z24*100)</f>
        <v>7.9586753942260426E-3</v>
      </c>
      <c r="D36" s="237" t="s">
        <v>691</v>
      </c>
    </row>
    <row r="37" spans="1:5">
      <c r="A37" s="171" t="s">
        <v>269</v>
      </c>
      <c r="B37" s="37">
        <f>IF( ISERROR(IND_rest_ele_kWh/1000),0,IND_rest_ele_kWh/1000)</f>
        <v>5241.7690000000002</v>
      </c>
      <c r="C37" s="39">
        <f>IF(ISERROR(B37*3.6/1000000/'E Balans VL '!Z15*100),0,B37*3.6/1000000/'E Balans VL '!Z15*100)</f>
        <v>3.8866819706171209E-2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5360.9807999999994</v>
      </c>
      <c r="C5" s="17">
        <f>'Eigen informatie GS &amp; warmtenet'!B60</f>
        <v>0</v>
      </c>
      <c r="D5" s="30">
        <f>IF(ISERROR(SUM(LB_lb_gas_kWh,LB_rest_gas_kWh)/1000),0,SUM(LB_lb_gas_kWh,LB_rest_gas_kWh)/1000)*0.902</f>
        <v>1787.2764722787249</v>
      </c>
      <c r="E5" s="17">
        <f>B17*'E Balans VL '!I25/3.6*1000000/100</f>
        <v>49.655649554759151</v>
      </c>
      <c r="F5" s="17">
        <f>B17*('E Balans VL '!L25/3.6*1000000+'E Balans VL '!N25/3.6*1000000)/100</f>
        <v>13601.829555394355</v>
      </c>
      <c r="G5" s="18"/>
      <c r="H5" s="17"/>
      <c r="I5" s="17"/>
      <c r="J5" s="17">
        <f>('E Balans VL '!D25+'E Balans VL '!E25)/3.6*1000000*landbouw!B17/100</f>
        <v>821.89818536034375</v>
      </c>
      <c r="K5" s="17"/>
      <c r="L5" s="17">
        <f>L6*(-1)</f>
        <v>0</v>
      </c>
      <c r="M5" s="17"/>
      <c r="N5" s="17">
        <f>N6*(-1)</f>
        <v>87994.28571428571</v>
      </c>
      <c r="O5" s="17"/>
      <c r="P5" s="17"/>
      <c r="R5" s="32"/>
    </row>
    <row r="6" spans="1:18">
      <c r="A6" s="16" t="s">
        <v>493</v>
      </c>
      <c r="B6" s="17" t="s">
        <v>210</v>
      </c>
      <c r="C6" s="17">
        <f>'lokale energieproductie'!O40+'lokale energieproductie'!O33</f>
        <v>43997.142857142855</v>
      </c>
      <c r="D6" s="308">
        <f>('lokale energieproductie'!P33+'lokale energieproductie'!P40)*(-1)</f>
        <v>0</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-87994.28571428571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5360.9807999999994</v>
      </c>
      <c r="C8" s="21">
        <f>C5+C6</f>
        <v>43997.142857142855</v>
      </c>
      <c r="D8" s="21">
        <f>MAX((D5+D6),0)</f>
        <v>1787.2764722787249</v>
      </c>
      <c r="E8" s="21">
        <f>MAX((E5+E6),0)</f>
        <v>49.655649554759151</v>
      </c>
      <c r="F8" s="21">
        <f>MAX((F5+F6),0)</f>
        <v>13601.829555394355</v>
      </c>
      <c r="G8" s="21"/>
      <c r="H8" s="21"/>
      <c r="I8" s="21"/>
      <c r="J8" s="21">
        <f>MAX((J5+J6),0)</f>
        <v>821.89818536034375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6.5991917881650444E-2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353.78140471870466</v>
      </c>
      <c r="C12" s="23">
        <f ca="1">C8*C10</f>
        <v>0</v>
      </c>
      <c r="D12" s="23">
        <f>D8*D10</f>
        <v>361.02984740030246</v>
      </c>
      <c r="E12" s="23">
        <f>E8*E10</f>
        <v>11.271832448930327</v>
      </c>
      <c r="F12" s="23">
        <f>F8*F10</f>
        <v>3631.6884912902929</v>
      </c>
      <c r="G12" s="23"/>
      <c r="H12" s="23"/>
      <c r="I12" s="23"/>
      <c r="J12" s="23">
        <f>J8*J10</f>
        <v>290.95195761756167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0.76221779731886419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374.11198997443222</v>
      </c>
      <c r="C26" s="247">
        <f>B26*'GWP N2O_CH4'!B5</f>
        <v>7856.3517894630768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266.94396974021907</v>
      </c>
      <c r="C27" s="247">
        <f>B27*'GWP N2O_CH4'!B5</f>
        <v>5605.8233645446007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8.7063710436682449</v>
      </c>
      <c r="C28" s="247">
        <f>B28*'GWP N2O_CH4'!B4</f>
        <v>2698.9750235371557</v>
      </c>
      <c r="D28" s="50"/>
    </row>
    <row r="29" spans="1:4">
      <c r="A29" s="41" t="s">
        <v>276</v>
      </c>
      <c r="B29" s="247">
        <f>B34*'ha_N2O bodem landbouw'!B4</f>
        <v>15.953687025690401</v>
      </c>
      <c r="C29" s="247">
        <f>B29*'GWP N2O_CH4'!B4</f>
        <v>4945.6429779640248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3.5781309388065374E-3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3.1003580004493098E-5</v>
      </c>
      <c r="C5" s="438" t="s">
        <v>210</v>
      </c>
      <c r="D5" s="423">
        <f>SUM(D6:D11)</f>
        <v>6.0303223828490446E-5</v>
      </c>
      <c r="E5" s="423">
        <f>SUM(E6:E11)</f>
        <v>6.3242179476816814E-4</v>
      </c>
      <c r="F5" s="436" t="s">
        <v>210</v>
      </c>
      <c r="G5" s="423">
        <f>SUM(G6:G11)</f>
        <v>0.27620284551538576</v>
      </c>
      <c r="H5" s="423">
        <f>SUM(H6:H11)</f>
        <v>3.7288615373799738E-2</v>
      </c>
      <c r="I5" s="438" t="s">
        <v>210</v>
      </c>
      <c r="J5" s="438" t="s">
        <v>210</v>
      </c>
      <c r="K5" s="438" t="s">
        <v>210</v>
      </c>
      <c r="L5" s="438" t="s">
        <v>210</v>
      </c>
      <c r="M5" s="423">
        <f>SUM(M6:M11)</f>
        <v>1.7150863529613768E-2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1.3060009496221299E-5</v>
      </c>
      <c r="C6" s="424"/>
      <c r="D6" s="866">
        <f>vkm_GW_PW*SUMIFS(TableVerdeelsleutelVkm[CNG],TableVerdeelsleutelVkm[Voertuigtype],"Lichte voertuigen")*SUMIFS(TableECFTransport[EnergieConsumptieFactor (PJ per km)],TableECFTransport[Index],CONCATENATE($A6,"_CNG_CNG"))</f>
        <v>2.2789513975471455E-5</v>
      </c>
      <c r="E6" s="866">
        <f>vkm_GW_PW*SUMIFS(TableVerdeelsleutelVkm[LPG],TableVerdeelsleutelVkm[Voertuigtype],"Lichte voertuigen")*SUMIFS(TableECFTransport[EnergieConsumptieFactor (PJ per km)],TableECFTransport[Index],CONCATENATE($A6,"_LPG_LPG"))</f>
        <v>2.20727645544704E-4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5.1874794748818502E-2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1.3956167029642915E-2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3.4332560003691552E-3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1.5865181665896649E-2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3.0767630166909302E-7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9.1982736564461334E-4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4.7573195565001496E-6</v>
      </c>
      <c r="C8" s="424"/>
      <c r="D8" s="426">
        <f>vkm_NGW_PW*SUMIFS(TableVerdeelsleutelVkm[CNG],TableVerdeelsleutelVkm[Voertuigtype],"Lichte voertuigen")*SUMIFS(TableECFTransport[EnergieConsumptieFactor (PJ per km)],TableECFTransport[Index],CONCATENATE($A8,"_CNG_CNG"))</f>
        <v>1.4215116220830264E-5</v>
      </c>
      <c r="E8" s="426">
        <f>vkm_NGW_PW*SUMIFS(TableVerdeelsleutelVkm[LPG],TableVerdeelsleutelVkm[Voertuigtype],"Lichte voertuigen")*SUMIFS(TableECFTransport[EnergieConsumptieFactor (PJ per km)],TableECFTransport[Index],CONCATENATE($A8,"_LPG_LPG"))</f>
        <v>1.3029441939557858E-4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2.8743183945090241E-2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8.4052944011617364E-3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1.922833552708897E-3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5.8894889015991226E-3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1.4147604225000395E-7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3.4146008331539297E-4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1.3186250951771649E-5</v>
      </c>
      <c r="C10" s="424"/>
      <c r="D10" s="426">
        <f>vkm_SW_PW*SUMIFS(TableVerdeelsleutelVkm[CNG],TableVerdeelsleutelVkm[Voertuigtype],"Lichte voertuigen")*SUMIFS(TableECFTransport[EnergieConsumptieFactor (PJ per km)],TableECFTransport[Index],CONCATENATE($A10,"_CNG_CNG"))</f>
        <v>2.3298593632188731E-5</v>
      </c>
      <c r="E10" s="426">
        <f>vkm_SW_PW*SUMIFS(TableVerdeelsleutelVkm[LPG],TableVerdeelsleutelVkm[Voertuigtype],"Lichte voertuigen")*SUMIFS(TableECFTransport[EnergieConsumptieFactor (PJ per km)],TableECFTransport[Index],CONCATENATE($A10,"_LPG_LPG"))</f>
        <v>2.8139972982788551E-4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5.946569572069986E-2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1.4924348217206958E-2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3.9028871069620111E-3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0.11436450053328143</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2.3565734442120253E-6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6.6305994206137002E-3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8.6121055568036393</v>
      </c>
      <c r="C14" s="21"/>
      <c r="D14" s="21">
        <f t="shared" ref="D14:M14" si="0">((D5)*10^9/3600)+D12</f>
        <v>16.750895507914013</v>
      </c>
      <c r="E14" s="21">
        <f t="shared" si="0"/>
        <v>175.67272076893559</v>
      </c>
      <c r="F14" s="21"/>
      <c r="G14" s="21">
        <f t="shared" si="0"/>
        <v>76723.012643162714</v>
      </c>
      <c r="H14" s="21">
        <f t="shared" si="0"/>
        <v>10357.948714944372</v>
      </c>
      <c r="I14" s="21"/>
      <c r="J14" s="21"/>
      <c r="K14" s="21"/>
      <c r="L14" s="21"/>
      <c r="M14" s="21">
        <f t="shared" si="0"/>
        <v>4764.1287582260466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6.5991917881650444E-2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0.56832936269269119</v>
      </c>
      <c r="C18" s="23"/>
      <c r="D18" s="23">
        <f t="shared" ref="D18:M18" si="1">D14*D16</f>
        <v>3.383680892598631</v>
      </c>
      <c r="E18" s="23">
        <f t="shared" si="1"/>
        <v>39.877707614548378</v>
      </c>
      <c r="F18" s="23"/>
      <c r="G18" s="23">
        <f t="shared" si="1"/>
        <v>20485.044375724447</v>
      </c>
      <c r="H18" s="23">
        <f t="shared" si="1"/>
        <v>2579.1292300211485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2.6554116966604714E-3</v>
      </c>
      <c r="H50" s="319">
        <f t="shared" si="2"/>
        <v>0</v>
      </c>
      <c r="I50" s="319">
        <f t="shared" si="2"/>
        <v>0</v>
      </c>
      <c r="J50" s="319">
        <f t="shared" si="2"/>
        <v>0</v>
      </c>
      <c r="K50" s="319">
        <f t="shared" si="2"/>
        <v>0</v>
      </c>
      <c r="L50" s="319">
        <f t="shared" si="2"/>
        <v>0</v>
      </c>
      <c r="M50" s="319">
        <f t="shared" si="2"/>
        <v>1.5177525028358199E-4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2.6554116966604714E-3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1.5177525028358199E-4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737.61436018346421</v>
      </c>
      <c r="H54" s="21">
        <f t="shared" si="3"/>
        <v>0</v>
      </c>
      <c r="I54" s="21">
        <f t="shared" si="3"/>
        <v>0</v>
      </c>
      <c r="J54" s="21">
        <f t="shared" si="3"/>
        <v>0</v>
      </c>
      <c r="K54" s="21">
        <f t="shared" si="3"/>
        <v>0</v>
      </c>
      <c r="L54" s="21">
        <f t="shared" si="3"/>
        <v>0</v>
      </c>
      <c r="M54" s="21">
        <f t="shared" si="3"/>
        <v>42.159791745439442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6.5991917881650444E-2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196.94303416898495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24176.78066596196</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8057.9665827638146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30798</v>
      </c>
      <c r="C8" s="545">
        <f>B49</f>
        <v>0</v>
      </c>
      <c r="D8" s="1022"/>
      <c r="E8" s="1022">
        <f>E49</f>
        <v>0</v>
      </c>
      <c r="F8" s="1023"/>
      <c r="G8" s="546"/>
      <c r="H8" s="1022">
        <f>I49</f>
        <v>0</v>
      </c>
      <c r="I8" s="1022">
        <f>G49+F49</f>
        <v>0</v>
      </c>
      <c r="J8" s="1022">
        <f>H49+D49+C49</f>
        <v>36232.941176470587</v>
      </c>
      <c r="K8" s="1022"/>
      <c r="L8" s="1022"/>
      <c r="M8" s="1022"/>
      <c r="N8" s="547"/>
      <c r="O8" s="548">
        <f>C8*$C$12+D8*$D$12+E8*$E$12+F8*$F$12+G8*$G$12+H8*$H$12+I8*$I$12+J8*$J$12</f>
        <v>0</v>
      </c>
      <c r="P8" s="1253"/>
      <c r="Q8" s="1254"/>
      <c r="S8" s="986"/>
      <c r="T8" s="1274"/>
      <c r="U8" s="1274"/>
    </row>
    <row r="9" spans="1:21" s="534" customFormat="1" ht="17.45" customHeight="1" thickBot="1">
      <c r="A9" s="549" t="s">
        <v>247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63032.747248725776</v>
      </c>
      <c r="C10" s="558">
        <f t="shared" ref="C10:L10" si="0">SUM(C8:C9)</f>
        <v>0</v>
      </c>
      <c r="D10" s="558">
        <f t="shared" si="0"/>
        <v>0</v>
      </c>
      <c r="E10" s="558">
        <f t="shared" si="0"/>
        <v>0</v>
      </c>
      <c r="F10" s="558">
        <f t="shared" si="0"/>
        <v>0</v>
      </c>
      <c r="G10" s="558">
        <f t="shared" si="0"/>
        <v>0</v>
      </c>
      <c r="H10" s="558">
        <f t="shared" si="0"/>
        <v>0</v>
      </c>
      <c r="I10" s="558">
        <f t="shared" si="0"/>
        <v>0</v>
      </c>
      <c r="J10" s="558">
        <f t="shared" si="0"/>
        <v>36232.941176470587</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43997.142857142855</v>
      </c>
      <c r="C17" s="570">
        <f>B50</f>
        <v>0</v>
      </c>
      <c r="D17" s="571"/>
      <c r="E17" s="571">
        <f>E50</f>
        <v>0</v>
      </c>
      <c r="F17" s="1028"/>
      <c r="G17" s="572"/>
      <c r="H17" s="570">
        <f>I50</f>
        <v>0</v>
      </c>
      <c r="I17" s="571">
        <f>G50+F50</f>
        <v>0</v>
      </c>
      <c r="J17" s="571">
        <f>H50+D50+C50</f>
        <v>51761.344537815123</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43997.142857142855</v>
      </c>
      <c r="C20" s="557">
        <f>SUM(C17:C19)</f>
        <v>0</v>
      </c>
      <c r="D20" s="557">
        <f t="shared" ref="D20:L20" si="1">SUM(D17:D19)</f>
        <v>0</v>
      </c>
      <c r="E20" s="557">
        <f t="shared" si="1"/>
        <v>0</v>
      </c>
      <c r="F20" s="557">
        <f t="shared" si="1"/>
        <v>0</v>
      </c>
      <c r="G20" s="557">
        <f t="shared" si="1"/>
        <v>0</v>
      </c>
      <c r="H20" s="557">
        <f t="shared" si="1"/>
        <v>0</v>
      </c>
      <c r="I20" s="557">
        <f t="shared" si="1"/>
        <v>0</v>
      </c>
      <c r="J20" s="557">
        <f t="shared" si="1"/>
        <v>51761.344537815123</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13001</v>
      </c>
      <c r="C28" s="771">
        <v>2370</v>
      </c>
      <c r="D28" s="628" t="s">
        <v>913</v>
      </c>
      <c r="E28" s="627" t="s">
        <v>914</v>
      </c>
      <c r="F28" s="627" t="s">
        <v>915</v>
      </c>
      <c r="G28" s="627" t="s">
        <v>916</v>
      </c>
      <c r="H28" s="627" t="s">
        <v>917</v>
      </c>
      <c r="I28" s="627" t="s">
        <v>914</v>
      </c>
      <c r="J28" s="770">
        <v>40813</v>
      </c>
      <c r="K28" s="770">
        <v>40150</v>
      </c>
      <c r="L28" s="627" t="s">
        <v>918</v>
      </c>
      <c r="M28" s="627">
        <v>3277</v>
      </c>
      <c r="N28" s="627">
        <v>14746.5</v>
      </c>
      <c r="O28" s="627">
        <v>21066.428571428572</v>
      </c>
      <c r="P28" s="627">
        <v>0</v>
      </c>
      <c r="Q28" s="627">
        <v>42132.857142857145</v>
      </c>
      <c r="R28" s="627">
        <v>0</v>
      </c>
      <c r="S28" s="627">
        <v>0</v>
      </c>
      <c r="T28" s="627">
        <v>0</v>
      </c>
      <c r="U28" s="627">
        <v>0</v>
      </c>
      <c r="V28" s="627">
        <v>0</v>
      </c>
      <c r="W28" s="627">
        <v>0</v>
      </c>
      <c r="X28" s="627">
        <v>10</v>
      </c>
      <c r="Y28" s="627" t="s">
        <v>111</v>
      </c>
      <c r="Z28" s="629" t="s">
        <v>111</v>
      </c>
    </row>
    <row r="29" spans="1:26" s="581" customFormat="1" ht="25.5">
      <c r="A29" s="580"/>
      <c r="B29" s="771">
        <v>13001</v>
      </c>
      <c r="C29" s="771">
        <v>2370</v>
      </c>
      <c r="D29" s="628" t="s">
        <v>919</v>
      </c>
      <c r="E29" s="627" t="s">
        <v>920</v>
      </c>
      <c r="F29" s="627" t="s">
        <v>921</v>
      </c>
      <c r="G29" s="627" t="s">
        <v>916</v>
      </c>
      <c r="H29" s="627" t="s">
        <v>917</v>
      </c>
      <c r="I29" s="627" t="s">
        <v>920</v>
      </c>
      <c r="J29" s="770">
        <v>41313</v>
      </c>
      <c r="K29" s="770">
        <v>41313</v>
      </c>
      <c r="L29" s="627" t="s">
        <v>918</v>
      </c>
      <c r="M29" s="627">
        <v>3567</v>
      </c>
      <c r="N29" s="627">
        <v>16051.5</v>
      </c>
      <c r="O29" s="627">
        <v>22930.714285714286</v>
      </c>
      <c r="P29" s="627">
        <v>0</v>
      </c>
      <c r="Q29" s="627">
        <v>45861.428571428572</v>
      </c>
      <c r="R29" s="627">
        <v>0</v>
      </c>
      <c r="S29" s="627">
        <v>0</v>
      </c>
      <c r="T29" s="627">
        <v>0</v>
      </c>
      <c r="U29" s="627">
        <v>0</v>
      </c>
      <c r="V29" s="627">
        <v>0</v>
      </c>
      <c r="W29" s="627">
        <v>0</v>
      </c>
      <c r="X29" s="627">
        <v>10</v>
      </c>
      <c r="Y29" s="627" t="s">
        <v>111</v>
      </c>
      <c r="Z29" s="629" t="s">
        <v>111</v>
      </c>
    </row>
    <row r="30" spans="1:26" s="565" customFormat="1">
      <c r="A30" s="583" t="s">
        <v>279</v>
      </c>
      <c r="B30" s="584"/>
      <c r="C30" s="584"/>
      <c r="D30" s="584"/>
      <c r="E30" s="584"/>
      <c r="F30" s="584"/>
      <c r="G30" s="584"/>
      <c r="H30" s="584"/>
      <c r="I30" s="584"/>
      <c r="J30" s="584"/>
      <c r="K30" s="584"/>
      <c r="L30" s="585"/>
      <c r="M30" s="585">
        <f>SUM(M28:M29)</f>
        <v>6844</v>
      </c>
      <c r="N30" s="585">
        <f>SUM(N28:N29)</f>
        <v>30798</v>
      </c>
      <c r="O30" s="585">
        <f>SUM(O28:O29)</f>
        <v>43997.142857142855</v>
      </c>
      <c r="P30" s="585">
        <f>SUM(P28:P29)</f>
        <v>0</v>
      </c>
      <c r="Q30" s="585">
        <f>SUM(Q28:Q29)</f>
        <v>87994.28571428571</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6844</v>
      </c>
      <c r="N33" s="590">
        <f>SUMIF($Z$28:$Z$29,"landbouw",N28:N29)</f>
        <v>30798</v>
      </c>
      <c r="O33" s="590">
        <f>SUMIF($Z$28:$Z$29,"landbouw",O28:O29)</f>
        <v>43997.142857142855</v>
      </c>
      <c r="P33" s="590">
        <f>SUMIF($Z$28:$Z$29,"landbouw",P28:P29)</f>
        <v>0</v>
      </c>
      <c r="Q33" s="590">
        <f>SUMIF($Z$28:$Z$29,"landbouw",Q28:Q29)</f>
        <v>87994.28571428571</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12.75">
      <c r="A36" s="582"/>
      <c r="B36" s="771"/>
      <c r="C36" s="771"/>
      <c r="D36" s="630"/>
      <c r="E36" s="630"/>
      <c r="F36" s="630"/>
      <c r="G36" s="630"/>
      <c r="H36" s="630"/>
      <c r="I36" s="630"/>
      <c r="J36" s="770"/>
      <c r="K36" s="770"/>
      <c r="L36" s="630"/>
      <c r="M36" s="630"/>
      <c r="N36" s="630"/>
      <c r="O36" s="630"/>
      <c r="P36" s="630"/>
      <c r="Q36" s="630"/>
      <c r="R36" s="630"/>
      <c r="S36" s="630"/>
      <c r="T36" s="630"/>
      <c r="U36" s="630"/>
      <c r="V36" s="630"/>
      <c r="W36" s="630"/>
      <c r="X36" s="630"/>
      <c r="Y36" s="630"/>
      <c r="Z36" s="631"/>
    </row>
    <row r="37" spans="1:27" s="565" customFormat="1">
      <c r="A37" s="583" t="s">
        <v>279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0.58823529411764708</v>
      </c>
      <c r="C46" s="610">
        <f>IF(ISERROR(N30/(O30+N30)),0,N30/(N30+O30))</f>
        <v>0.41176470588235298</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0</v>
      </c>
      <c r="C49" s="619">
        <f t="shared" si="2"/>
        <v>36232.941176470587</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0</v>
      </c>
      <c r="C50" s="622">
        <f t="shared" si="3"/>
        <v>51761.344537815123</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2020-06-20T16:02:46Z</dcterms:modified>
</cp:coreProperties>
</file>