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E8" i="48"/>
  <c r="F13" i="14"/>
  <c r="F16" i="14" s="1"/>
  <c r="F27" i="14" s="1"/>
  <c r="F63" i="14" s="1"/>
  <c r="J22" i="16"/>
  <c r="K43" i="14" s="1"/>
  <c r="K46" i="14" s="1"/>
  <c r="K61" i="14" s="1"/>
  <c r="K63" i="14" s="1"/>
  <c r="J8" i="48"/>
  <c r="K13" i="14"/>
  <c r="G33" i="48"/>
  <c r="I22" i="14"/>
  <c r="I27" i="14" s="1"/>
  <c r="I63" i="14" s="1"/>
  <c r="R20" i="14"/>
  <c r="R22" i="14" s="1"/>
  <c r="H27" i="48"/>
  <c r="H33" i="48" s="1"/>
  <c r="H15" i="48"/>
  <c r="O13" i="14"/>
  <c r="N8" i="48"/>
  <c r="N26" i="48" s="1"/>
  <c r="F8" i="48"/>
  <c r="G13" i="14"/>
  <c r="J26" i="48" l="1"/>
  <c r="J33" i="48" s="1"/>
  <c r="J15" i="48"/>
  <c r="E26" i="48"/>
  <c r="E33" i="48" s="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<sst xmlns="http://schemas.openxmlformats.org/spreadsheetml/2006/main" count="2452" uniqueCount="925">
  <si>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</si>
  <si>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</si>
  <si>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</si>
  <si>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</si>
  <si>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</si>
  <si>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</si>
  <si>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</si>
  <si>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</si>
  <si>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</si>
  <si>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</si>
  <si>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</si>
  <si>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</si>
  <si>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</si>
  <si>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</si>
  <si>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</si>
  <si>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</si>
  <si>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</si>
  <si>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</si>
  <si>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</si>
  <si>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</si>
  <si>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</si>
  <si>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</si>
  <si>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</si>
  <si>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</si>
  <si>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</si>
  <si>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</si>
  <si>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</si>
  <si>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</si>
  <si>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</si>
  <si>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</si>
  <si>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</si>
  <si>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</si>
  <si>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</si>
  <si>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</si>
  <si>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</si>
  <si>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</si>
  <si>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</si>
  <si>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</si>
  <si>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</si>
  <si>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</si>
  <si>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</si>
  <si>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</si>
  <si>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</si>
  <si>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</si>
  <si>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</si>
  <si>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</si>
  <si>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</si>
  <si>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</si>
  <si>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</si>
  <si>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</si>
  <si>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</si>
  <si>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</si>
  <si>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</si>
  <si>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</si>
  <si>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</si>
  <si>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</si>
  <si>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</si>
  <si>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</si>
  <si>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</si>
  <si>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</si>
  <si>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</si>
  <si>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</si>
  <si>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</si>
  <si>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</si>
  <si>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</si>
  <si>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</si>
  <si>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</si>
  <si>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</si>
  <si>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</si>
  <si>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</si>
  <si>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</si>
  <si>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</si>
  <si>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</si>
  <si>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</si>
  <si>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</si>
  <si>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</si>
  <si>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</si>
  <si>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</si>
  <si>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</si>
  <si>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</si>
  <si>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</si>
  <si>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</si>
  <si>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</si>
  <si>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</si>
  <si>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</si>
  <si>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</si>
  <si>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</si>
  <si>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</si>
  <si>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</si>
  <si>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</si>
  <si>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</si>
  <si>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</si>
  <si>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</si>
  <si>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</si>
  <si>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</si>
  <si>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</si>
  <si>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</si>
  <si>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</si>
  <si>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</si>
  <si>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</si>
  <si>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</si>
  <si>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</si>
  <si>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</si>
  <si>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</si>
  <si>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</si>
  <si>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</si>
  <si>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</si>
  <si>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</si>
  <si>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</si>
  <si>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</si>
  <si>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</si>
  <si>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</si>
  <si>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</si>
  <si>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</si>
  <si>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</si>
  <si>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</si>
  <si>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</si>
  <si>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</si>
  <si>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</si>
  <si>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</si>
  <si>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</si>
  <si>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</si>
  <si>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</si>
  <si>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</si>
  <si>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</si>
  <si>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</si>
  <si>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</si>
  <si>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</si>
  <si>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</si>
  <si>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</si>
  <si>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</si>
  <si>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</si>
  <si>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</si>
  <si>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</si>
  <si>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</si>
  <si>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</si>
  <si>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</si>
  <si>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</si>
  <si>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</si>
  <si>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</si>
  <si>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</si>
  <si>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</si>
  <si>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</si>
  <si>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</si>
  <si>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</si>
  <si>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</si>
  <si>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</si>
  <si>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</si>
  <si>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</si>
  <si>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</si>
  <si>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</si>
  <si>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</si>
  <si>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</si>
  <si>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</si>
  <si>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</si>
  <si>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</si>
  <si>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</si>
  <si>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</si>
  <si>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</si>
  <si>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</si>
  <si>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</si>
  <si>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</si>
  <si>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</si>
  <si>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</si>
  <si>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</si>
  <si>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</si>
  <si>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</si>
  <si>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</si>
  <si>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</si>
  <si>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</si>
  <si>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</si>
  <si>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</si>
  <si>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</si>
  <si>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</si>
  <si>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</si>
  <si>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</si>
  <si>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</si>
  <si>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</si>
  <si>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</si>
  <si>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</si>
  <si>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</si>
  <si>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</si>
  <si>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</si>
  <si>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</si>
  <si>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</si>
  <si>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</si>
  <si>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</si>
  <si>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</si>
  <si>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</si>
  <si>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</si>
  <si>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</si>
  <si>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</si>
  <si>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</si>
  <si>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</si>
  <si>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</si>
  <si>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</si>
  <si>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</si>
  <si>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</si>
  <si>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</si>
  <si>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</si>
  <si>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</si>
  <si>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</si>
  <si>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</si>
  <si>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</si>
  <si>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</si>
  <si>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</si>
  <si>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</si>
  <si>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</si>
  <si>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</si>
  <si>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</si>
  <si>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</si>
  <si>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</si>
  <si>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</si>
  <si>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</si>
  <si>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</si>
  <si>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</si>
  <si>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</si>
  <si>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</si>
  <si>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</si>
  <si>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</si>
  <si>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</si>
  <si>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</si>
  <si>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</si>
  <si>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</si>
  <si>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</si>
  <si>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</si>
  <si>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</si>
  <si>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</si>
  <si>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</si>
  <si>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</si>
  <si>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</si>
  <si>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</si>
  <si>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</si>
  <si>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</si>
  <si>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</si>
  <si>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</si>
  <si>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</si>
  <si>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</si>
  <si>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</si>
  <si>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</si>
  <si>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</si>
  <si>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</si>
  <si>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</si>
  <si>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</si>
  <si>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</si>
  <si>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</si>
  <si>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</si>
  <si>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</si>
  <si>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</si>
  <si>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</si>
  <si>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</si>
  <si>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</si>
  <si>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</si>
  <si>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</si>
  <si>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</si>
  <si>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</si>
  <si>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</si>
  <si>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</si>
  <si>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</si>
  <si>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</si>
  <si>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</si>
  <si>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</si>
  <si>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</si>
  <si>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</si>
  <si>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</si>
  <si>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</si>
  <si>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</si>
  <si>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</si>
  <si>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</si>
  <si>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</si>
  <si>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</si>
  <si>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</si>
  <si>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</si>
  <si>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</si>
  <si>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</si>
  <si>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</si>
  <si>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</si>
  <si>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</si>
  <si>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</si>
  <si>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</si>
  <si>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</si>
  <si>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</si>
  <si>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</si>
  <si>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</si>
  <si>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</si>
  <si>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</si>
  <si>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</si>
  <si>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</si>
  <si>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</si>
  <si>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</si>
  <si>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</si>
  <si>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</si>
  <si>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</si>
  <si>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</si>
  <si>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</si>
  <si>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</si>
  <si>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</si>
  <si>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</si>
  <si>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</si>
  <si>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</si>
  <si>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</si>
  <si>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</si>
  <si>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</si>
  <si>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</si>
  <si>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</si>
  <si>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</si>
  <si>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</si>
  <si>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</si>
  <si>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</si>
  <si>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</si>
  <si>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</si>
  <si>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</si>
  <si>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</si>
  <si>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</si>
  <si>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</si>
  <si>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</si>
  <si>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</si>
  <si>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</si>
  <si>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</si>
  <si>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</si>
  <si>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</si>
  <si>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</si>
  <si>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</si>
  <si>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</si>
  <si>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</si>
  <si>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</si>
  <si>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</si>
  <si>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</si>
  <si>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</si>
  <si>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</si>
  <si>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</si>
  <si>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</si>
  <si>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</si>
  <si>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</si>
  <si>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</si>
  <si>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</si>
  <si>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</si>
  <si>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</si>
  <si>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</si>
  <si>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</si>
  <si>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</si>
  <si>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</si>
  <si>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</si>
  <si>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</si>
  <si>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</si>
  <si>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</si>
  <si>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</si>
  <si>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</si>
  <si>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</si>
  <si>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</si>
  <si>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</si>
  <si>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</si>
  <si>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</si>
  <si>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</si>
  <si>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</si>
  <si>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</si>
  <si>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</si>
  <si>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</si>
  <si>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</si>
  <si>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</si>
  <si>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</si>
  <si>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</si>
  <si>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</si>
  <si>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</si>
  <si>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</si>
  <si>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</si>
  <si>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</si>
  <si>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</si>
  <si>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</si>
  <si>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</si>
  <si>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</si>
  <si>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</si>
  <si>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</si>
  <si>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</si>
  <si>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</si>
  <si>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</si>
  <si>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</si>
  <si>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</si>
  <si>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</si>
  <si>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</si>
  <si>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</si>
  <si>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</si>
  <si>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</si>
  <si>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</si>
  <si>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</si>
  <si>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</si>
  <si>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</si>
  <si>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</si>
  <si>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</si>
  <si>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</si>
  <si>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</si>
  <si>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</si>
  <si>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</si>
  <si>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</si>
  <si>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</si>
  <si>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</si>
  <si>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</si>
  <si>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</si>
  <si>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</si>
  <si>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</si>
  <si>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</si>
  <si>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</si>
  <si>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</si>
  <si>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</si>
  <si>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</si>
  <si>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</si>
  <si>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</si>
  <si>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</si>
  <si>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</si>
  <si>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</si>
  <si>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</si>
  <si>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</si>
  <si>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</si>
  <si>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</si>
  <si>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</si>
  <si>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</si>
  <si>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</si>
  <si>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</si>
  <si>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</si>
  <si>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</si>
  <si>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</si>
  <si>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</si>
  <si>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</si>
  <si>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</si>
  <si>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</si>
  <si>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</si>
  <si>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</si>
  <si>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</si>
  <si>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</si>
  <si>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</si>
  <si>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</si>
  <si>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</si>
  <si>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</si>
  <si>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</si>
  <si>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</si>
  <si>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</si>
  <si>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</si>
  <si>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</si>
  <si>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</si>
  <si>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</si>
  <si>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</si>
  <si>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</si>
  <si>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</si>
  <si>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</si>
  <si>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</si>
  <si>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</si>
  <si>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</si>
  <si>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</si>
  <si>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</si>
  <si>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</si>
  <si>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</si>
  <si>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</si>
  <si>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</si>
  <si>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</si>
  <si>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</si>
  <si>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</si>
  <si>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</si>
  <si>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</si>
  <si>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</si>
  <si>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</si>
  <si>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</si>
  <si>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</si>
  <si>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</si>
  <si>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</si>
  <si>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</si>
  <si>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</si>
  <si>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</si>
  <si>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</si>
  <si>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</si>
  <si>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</si>
  <si>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</si>
  <si>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</si>
  <si>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</si>
  <si>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</si>
  <si>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</si>
  <si>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</si>
  <si>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</si>
  <si>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</si>
  <si>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</si>
  <si>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</si>
  <si>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</si>
  <si>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</si>
  <si>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</si>
  <si>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</si>
  <si>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</si>
  <si>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</si>
  <si>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</si>
  <si>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</si>
  <si>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</si>
  <si>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</si>
  <si>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</si>
  <si>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</si>
  <si>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</si>
  <si>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</si>
  <si>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</si>
  <si>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</si>
  <si>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</si>
  <si>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</si>
  <si>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</si>
  <si>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</si>
  <si>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</si>
  <si>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</si>
  <si>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</si>
  <si>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</si>
  <si>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</si>
  <si>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</si>
  <si>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</si>
  <si>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</si>
  <si>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</si>
  <si>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</si>
  <si>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</si>
  <si>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</si>
  <si>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</si>
  <si>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</si>
  <si>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</si>
  <si>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</si>
  <si>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</si>
  <si>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</si>
  <si>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</si>
  <si>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</si>
  <si>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</si>
  <si>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</si>
  <si>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</si>
  <si>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</si>
  <si>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</si>
  <si>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</si>
  <si>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</si>
  <si>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</si>
  <si>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</si>
  <si>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</si>
  <si>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</si>
  <si>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</si>
  <si>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</si>
  <si>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</si>
  <si>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</si>
  <si>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</si>
  <si>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</si>
  <si>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</si>
  <si>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</si>
  <si>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</si>
  <si>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</si>
  <si>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</si>
  <si>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</si>
  <si>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</si>
  <si>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</si>
  <si>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</si>
  <si>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</si>
  <si>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</si>
  <si>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</si>
  <si>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</si>
  <si>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</si>
  <si>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</si>
  <si>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</si>
  <si>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</si>
  <si>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</si>
  <si>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</si>
  <si>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</si>
  <si>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</si>
  <si>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</si>
  <si>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</si>
  <si>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</si>
  <si>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</si>
  <si>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</si>
  <si>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</si>
  <si>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</si>
  <si>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</si>
  <si>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</si>
  <si>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</si>
  <si>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</si>
  <si>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</si>
  <si>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</si>
  <si>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</si>
  <si>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</si>
  <si>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</si>
  <si>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</si>
  <si>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</si>
  <si>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</si>
  <si>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</si>
  <si>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</si>
  <si>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</si>
  <si>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</si>
  <si>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</si>
  <si>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</si>
  <si>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</si>
  <si>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</si>
  <si>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</si>
  <si>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</si>
  <si>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</si>
  <si>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</si>
  <si>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</si>
  <si>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</si>
  <si>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</si>
  <si>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</si>
  <si>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</si>
  <si>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</si>
  <si>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</si>
  <si>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</si>
  <si>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</si>
  <si>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</si>
  <si>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</si>
  <si>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</si>
  <si>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</si>
  <si>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</si>
  <si>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</si>
  <si>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</si>
  <si>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</si>
  <si>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</si>
  <si>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</si>
  <si>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</si>
  <si>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</si>
  <si>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</si>
  <si>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</si>
  <si>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</si>
  <si>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</si>
  <si>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</si>
  <si>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</si>
  <si>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</si>
  <si>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</si>
  <si>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</si>
  <si>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</si>
  <si>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</si>
  <si>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</si>
  <si>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</si>
  <si>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</si>
  <si>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</si>
  <si>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</si>
  <si>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</si>
  <si>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</si>
  <si>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</si>
  <si>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</si>
  <si>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</si>
  <si>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</si>
  <si>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</si>
  <si>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</si>
  <si>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</si>
  <si>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</si>
  <si>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</si>
  <si>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</si>
  <si>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</si>
  <si>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</si>
  <si>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</si>
  <si>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</si>
  <si>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</si>
  <si>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</si>
  <si>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</si>
  <si>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</si>
  <si>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</si>
  <si>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</si>
  <si>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</si>
  <si>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</si>
  <si>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</si>
  <si>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</si>
  <si>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</si>
  <si>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</si>
  <si>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</si>
  <si>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</si>
  <si>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</si>
  <si>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</si>
  <si>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</si>
  <si>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</si>
  <si>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</si>
  <si>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</si>
  <si>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</si>
  <si>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</si>
  <si>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</si>
  <si>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</si>
  <si>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</si>
  <si>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</si>
  <si>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</si>
  <si>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</si>
  <si>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</si>
  <si>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</si>
  <si>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</si>
  <si>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</si>
  <si>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</si>
  <si>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</si>
  <si>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</si>
  <si>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</si>
  <si>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</si>
  <si>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</si>
  <si>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</si>
  <si>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</si>
  <si>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</si>
  <si>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</si>
  <si>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</si>
  <si>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</si>
  <si>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</si>
  <si>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</si>
  <si>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</si>
  <si>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</si>
  <si>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</si>
  <si>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</si>
  <si>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</si>
  <si>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</si>
  <si>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</si>
  <si>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</si>
  <si>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</si>
  <si>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</si>
  <si>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</si>
  <si>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</si>
  <si>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</si>
  <si>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</si>
  <si>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</si>
  <si>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</si>
  <si>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</si>
  <si>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</si>
  <si>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</si>
  <si>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</si>
  <si>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</si>
  <si>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</si>
  <si>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</si>
  <si>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</si>
  <si>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</si>
  <si>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</si>
  <si>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</si>
  <si>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</si>
  <si>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</si>
  <si>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</si>
  <si>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</si>
  <si>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</si>
  <si>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</si>
  <si>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</si>
  <si>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</si>
  <si>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</si>
  <si>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</si>
  <si>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</si>
  <si>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</si>
  <si>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</si>
  <si>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</si>
  <si>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</si>
  <si>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</si>
  <si>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</si>
  <si>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</si>
  <si>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</si>
  <si>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</si>
  <si>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</si>
  <si>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</si>
  <si>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</si>
  <si>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</si>
  <si>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</si>
  <si>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</si>
  <si>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</si>
  <si>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</si>
  <si>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</si>
  <si>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</si>
  <si>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</si>
  <si>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</si>
  <si>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</si>
  <si>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</si>
  <si>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</si>
  <si>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</si>
  <si>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</si>
  <si>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</si>
  <si>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</si>
  <si>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</si>
  <si>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</si>
  <si>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</si>
  <si>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</si>
  <si>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</si>
  <si>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</si>
  <si>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</si>
  <si>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</si>
  <si>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</si>
  <si>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</si>
  <si>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</si>
  <si>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</si>
  <si>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</si>
  <si>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</si>
  <si>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</si>
  <si>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</si>
  <si>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</si>
  <si>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</si>
  <si>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</si>
  <si>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</si>
  <si>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</si>
  <si>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</si>
  <si>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</si>
  <si>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</si>
  <si>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</si>
  <si>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</si>
  <si>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</si>
  <si>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</si>
  <si>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</si>
  <si>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</si>
  <si>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</si>
  <si>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</si>
  <si>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</si>
  <si>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</si>
  <si>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</si>
  <si>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</si>
  <si>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</si>
  <si>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</si>
  <si>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</si>
  <si>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</si>
  <si>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</si>
  <si>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</si>
  <si>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</si>
  <si>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</si>
  <si>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</si>
  <si>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</si>
  <si>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</si>
  <si>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</si>
  <si>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</si>
  <si>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</si>
  <si>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</si>
  <si>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</si>
  <si>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</si>
  <si>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</si>
  <si>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</si>
  <si>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</si>
  <si>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</si>
  <si>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</si>
  <si>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</si>
  <si>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</si>
  <si>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</si>
  <si>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</si>
  <si>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</si>
  <si>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</si>
  <si>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</si>
  <si>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</si>
  <si>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</si>
  <si>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</si>
  <si>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</si>
  <si>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</si>
  <si>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</si>
  <si>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</si>
  <si>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</si>
  <si>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</si>
  <si>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</si>
  <si>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</si>
  <si>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</si>
  <si>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</si>
  <si>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</si>
  <si>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</si>
  <si>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</si>
  <si>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</si>
  <si>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</si>
  <si>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</si>
  <si>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</si>
  <si>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</si>
  <si>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</si>
  <si>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</si>
  <si>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</si>
  <si>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</si>
  <si>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</si>
  <si>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</si>
  <si>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</si>
  <si>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</si>
  <si>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</si>
  <si>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</si>
  <si>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</si>
  <si>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</si>
  <si>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</si>
  <si>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</si>
  <si>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</si>
  <si>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</si>
  <si>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</si>
  <si>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</si>
  <si>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</si>
  <si>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</si>
  <si>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</si>
  <si>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</si>
  <si>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</si>
  <si>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</si>
  <si>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</si>
  <si>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</si>
  <si>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</si>
  <si>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</si>
  <si>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</si>
  <si>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</si>
  <si>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</si>
  <si>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</si>
  <si>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</si>
  <si>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</si>
  <si>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</si>
  <si>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</si>
  <si>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</si>
  <si>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</si>
  <si>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</si>
  <si>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</si>
  <si>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</si>
  <si>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</si>
  <si>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</si>
  <si>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</si>
  <si>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</si>
  <si>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</si>
  <si>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</si>
  <si>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</si>
  <si>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</si>
  <si>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</si>
  <si>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</si>
  <si>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</si>
  <si>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</si>
  <si>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</si>
  <si>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</si>
  <si>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</si>
  <si>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</si>
  <si>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</si>
  <si>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</si>
  <si>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</si>
  <si>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</si>
  <si>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</si>
  <si>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</si>
  <si>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</si>
  <si>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</si>
  <si>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</si>
  <si>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</si>
  <si>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11057</t>
  </si>
  <si>
    <t>MALLE</t>
  </si>
  <si>
    <t>Paarden&amp;pony's 200 - 600 kg</t>
  </si>
  <si>
    <t>Paarden&amp;pony's &lt; 200 kg</t>
  </si>
  <si>
    <t>Fluvius</t>
  </si>
  <si>
    <t>referentietaak LNE (2017); Jaarverslag De Lijn</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</si>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</sst>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120791.67457120048</c:v>
                </c:pt>
                <c:pt idx="1">
                  <c:v>99344.98808521351</c:v>
                </c:pt>
                <c:pt idx="2">
                  <c:v>634.14499999999998</c:v>
                </c:pt>
                <c:pt idx="3">
                  <c:v>9202.855156444899</c:v>
                </c:pt>
                <c:pt idx="4">
                  <c:v>145291.30276212867</c:v>
                </c:pt>
                <c:pt idx="5">
                  <c:v>93517.17535479003</c:v>
                </c:pt>
                <c:pt idx="6">
                  <c:v>2939.5315766348367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120791.67457120048</c:v>
                </c:pt>
                <c:pt idx="1">
                  <c:v>99344.98808521351</c:v>
                </c:pt>
                <c:pt idx="2">
                  <c:v>634.14499999999998</c:v>
                </c:pt>
                <c:pt idx="3">
                  <c:v>9202.855156444899</c:v>
                </c:pt>
                <c:pt idx="4">
                  <c:v>145291.30276212867</c:v>
                </c:pt>
                <c:pt idx="5">
                  <c:v>93517.17535479003</c:v>
                </c:pt>
                <c:pt idx="6">
                  <c:v>2939.5315766348367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20031.439542236538</c:v>
                </c:pt>
                <c:pt idx="2">
                  <c:v>13681.316726280707</c:v>
                </c:pt>
                <c:pt idx="3">
                  <c:v>94.631620626659895</c:v>
                </c:pt>
                <c:pt idx="4">
                  <c:v>2043.5063036374786</c:v>
                </c:pt>
                <c:pt idx="5">
                  <c:v>27094.058754959038</c:v>
                </c:pt>
                <c:pt idx="6">
                  <c:v>23441.976831615655</c:v>
                </c:pt>
                <c:pt idx="7">
                  <c:v>742.42043841277291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20031.439542236538</c:v>
                </c:pt>
                <c:pt idx="2">
                  <c:v>13681.316726280707</c:v>
                </c:pt>
                <c:pt idx="3">
                  <c:v>94.631620626659895</c:v>
                </c:pt>
                <c:pt idx="4">
                  <c:v>2043.5063036374786</c:v>
                </c:pt>
                <c:pt idx="5">
                  <c:v>27094.058754959038</c:v>
                </c:pt>
                <c:pt idx="6">
                  <c:v>23441.976831615655</c:v>
                </c:pt>
                <c:pt idx="7">
                  <c:v>742.42043841277291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11057</v>
      </c>
      <c r="B6" s="391"/>
      <c r="C6" s="392"/>
    </row>
    <row r="7" spans="1:7" s="389" customFormat="1" ht="15.75" customHeight="1">
      <c r="A7" s="393" t="str">
        <f>txtMunicipality</f>
        <v>MALLE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0.14922710204552569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0.14922710204552569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5895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2385</v>
      </c>
      <c r="C14" s="330"/>
      <c r="D14" s="330"/>
      <c r="E14" s="330"/>
      <c r="F14" s="330"/>
    </row>
    <row r="15" spans="1:6">
      <c r="A15" s="1305" t="s">
        <v>183</v>
      </c>
      <c r="B15" s="1306">
        <v>811</v>
      </c>
      <c r="C15" s="330"/>
      <c r="D15" s="330"/>
      <c r="E15" s="330"/>
      <c r="F15" s="330"/>
    </row>
    <row r="16" spans="1:6">
      <c r="A16" s="1305" t="s">
        <v>6</v>
      </c>
      <c r="B16" s="1306">
        <v>1872</v>
      </c>
      <c r="C16" s="330"/>
      <c r="D16" s="330"/>
      <c r="E16" s="330"/>
      <c r="F16" s="330"/>
    </row>
    <row r="17" spans="1:6">
      <c r="A17" s="1305" t="s">
        <v>7</v>
      </c>
      <c r="B17" s="1306">
        <v>573</v>
      </c>
      <c r="C17" s="330"/>
      <c r="D17" s="330"/>
      <c r="E17" s="330"/>
      <c r="F17" s="330"/>
    </row>
    <row r="18" spans="1:6">
      <c r="A18" s="1305" t="s">
        <v>8</v>
      </c>
      <c r="B18" s="1306">
        <v>1551</v>
      </c>
      <c r="C18" s="330"/>
      <c r="D18" s="330"/>
      <c r="E18" s="330"/>
      <c r="F18" s="330"/>
    </row>
    <row r="19" spans="1:6">
      <c r="A19" s="1305" t="s">
        <v>9</v>
      </c>
      <c r="B19" s="1306">
        <v>1364</v>
      </c>
      <c r="C19" s="330"/>
      <c r="D19" s="330"/>
      <c r="E19" s="330"/>
      <c r="F19" s="330"/>
    </row>
    <row r="20" spans="1:6">
      <c r="A20" s="1305" t="s">
        <v>10</v>
      </c>
      <c r="B20" s="1306">
        <v>945</v>
      </c>
      <c r="C20" s="330"/>
      <c r="D20" s="330"/>
      <c r="E20" s="330"/>
      <c r="F20" s="330"/>
    </row>
    <row r="21" spans="1:6">
      <c r="A21" s="1305" t="s">
        <v>11</v>
      </c>
      <c r="B21" s="1306">
        <v>1098</v>
      </c>
      <c r="C21" s="330"/>
      <c r="D21" s="330"/>
      <c r="E21" s="330"/>
      <c r="F21" s="330"/>
    </row>
    <row r="22" spans="1:6">
      <c r="A22" s="1305" t="s">
        <v>12</v>
      </c>
      <c r="B22" s="1306">
        <v>7952</v>
      </c>
      <c r="C22" s="330"/>
      <c r="D22" s="330"/>
      <c r="E22" s="330"/>
      <c r="F22" s="330"/>
    </row>
    <row r="23" spans="1:6">
      <c r="A23" s="1305" t="s">
        <v>13</v>
      </c>
      <c r="B23" s="1306">
        <v>122</v>
      </c>
      <c r="C23" s="330"/>
      <c r="D23" s="330"/>
      <c r="E23" s="330"/>
      <c r="F23" s="330"/>
    </row>
    <row r="24" spans="1:6">
      <c r="A24" s="1305" t="s">
        <v>14</v>
      </c>
      <c r="B24" s="1306">
        <v>4</v>
      </c>
      <c r="C24" s="330"/>
      <c r="D24" s="330"/>
      <c r="E24" s="330"/>
      <c r="F24" s="330"/>
    </row>
    <row r="25" spans="1:6">
      <c r="A25" s="1305" t="s">
        <v>15</v>
      </c>
      <c r="B25" s="1306">
        <v>483</v>
      </c>
      <c r="C25" s="330"/>
      <c r="D25" s="330"/>
      <c r="E25" s="330"/>
      <c r="F25" s="330"/>
    </row>
    <row r="26" spans="1:6">
      <c r="A26" s="1305" t="s">
        <v>16</v>
      </c>
      <c r="B26" s="1306">
        <v>121</v>
      </c>
      <c r="C26" s="330"/>
      <c r="D26" s="330"/>
      <c r="E26" s="330"/>
      <c r="F26" s="330"/>
    </row>
    <row r="27" spans="1:6">
      <c r="A27" s="1305" t="s">
        <v>17</v>
      </c>
      <c r="B27" s="1306">
        <v>0</v>
      </c>
      <c r="C27" s="330"/>
      <c r="D27" s="330"/>
      <c r="E27" s="330"/>
      <c r="F27" s="330"/>
    </row>
    <row r="28" spans="1:6" s="43" customFormat="1">
      <c r="A28" s="1307" t="s">
        <v>18</v>
      </c>
      <c r="B28" s="1308">
        <v>111705</v>
      </c>
      <c r="C28" s="336"/>
      <c r="D28" s="336"/>
      <c r="E28" s="336"/>
      <c r="F28" s="336"/>
    </row>
    <row r="29" spans="1:6">
      <c r="A29" s="1307" t="s">
        <v>909</v>
      </c>
      <c r="B29" s="1308">
        <v>190</v>
      </c>
      <c r="C29" s="336"/>
      <c r="D29" s="336"/>
      <c r="E29" s="336"/>
      <c r="F29" s="336"/>
    </row>
    <row r="30" spans="1:6">
      <c r="A30" s="1300" t="s">
        <v>910</v>
      </c>
      <c r="B30" s="1309">
        <v>36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35847.761793375001</v>
      </c>
      <c r="E38" s="1306">
        <v>3</v>
      </c>
      <c r="F38" s="1306">
        <v>22055.54</v>
      </c>
    </row>
    <row r="39" spans="1:6">
      <c r="A39" s="1305" t="s">
        <v>29</v>
      </c>
      <c r="B39" s="1305" t="s">
        <v>30</v>
      </c>
      <c r="C39" s="1306">
        <v>4348</v>
      </c>
      <c r="D39" s="1306">
        <v>74399932.650149807</v>
      </c>
      <c r="E39" s="1306">
        <v>5694</v>
      </c>
      <c r="F39" s="1306">
        <v>25338271</v>
      </c>
    </row>
    <row r="40" spans="1:6">
      <c r="A40" s="1305" t="s">
        <v>29</v>
      </c>
      <c r="B40" s="1305" t="s">
        <v>28</v>
      </c>
      <c r="C40" s="1306">
        <v>0</v>
      </c>
      <c r="D40" s="1306">
        <v>0</v>
      </c>
      <c r="E40" s="1306">
        <v>0</v>
      </c>
      <c r="F40" s="1306">
        <v>0</v>
      </c>
    </row>
    <row r="41" spans="1:6">
      <c r="A41" s="1305" t="s">
        <v>31</v>
      </c>
      <c r="B41" s="1305" t="s">
        <v>32</v>
      </c>
      <c r="C41" s="1306">
        <v>51</v>
      </c>
      <c r="D41" s="1306">
        <v>1951041.11425351</v>
      </c>
      <c r="E41" s="1306">
        <v>139</v>
      </c>
      <c r="F41" s="1306">
        <v>6674915</v>
      </c>
    </row>
    <row r="42" spans="1:6">
      <c r="A42" s="1305" t="s">
        <v>31</v>
      </c>
      <c r="B42" s="1305" t="s">
        <v>33</v>
      </c>
      <c r="C42" s="1306">
        <v>0</v>
      </c>
      <c r="D42" s="1306">
        <v>0</v>
      </c>
      <c r="E42" s="1306">
        <v>4</v>
      </c>
      <c r="F42" s="1306">
        <v>884080.4</v>
      </c>
    </row>
    <row r="43" spans="1:6">
      <c r="A43" s="1305" t="s">
        <v>31</v>
      </c>
      <c r="B43" s="1305" t="s">
        <v>34</v>
      </c>
      <c r="C43" s="1306">
        <v>0</v>
      </c>
      <c r="D43" s="1306">
        <v>0</v>
      </c>
      <c r="E43" s="1306">
        <v>0</v>
      </c>
      <c r="F43" s="1306">
        <v>0</v>
      </c>
    </row>
    <row r="44" spans="1:6">
      <c r="A44" s="1305" t="s">
        <v>31</v>
      </c>
      <c r="B44" s="1305" t="s">
        <v>35</v>
      </c>
      <c r="C44" s="1306">
        <v>3</v>
      </c>
      <c r="D44" s="1306">
        <v>757589.602257077</v>
      </c>
      <c r="E44" s="1306">
        <v>24</v>
      </c>
      <c r="F44" s="1306">
        <v>5840270</v>
      </c>
    </row>
    <row r="45" spans="1:6">
      <c r="A45" s="1305" t="s">
        <v>31</v>
      </c>
      <c r="B45" s="1305" t="s">
        <v>36</v>
      </c>
      <c r="C45" s="1306">
        <v>0</v>
      </c>
      <c r="D45" s="1306">
        <v>0</v>
      </c>
      <c r="E45" s="1306">
        <v>3</v>
      </c>
      <c r="F45" s="1306">
        <v>1059110</v>
      </c>
    </row>
    <row r="46" spans="1:6">
      <c r="A46" s="1305" t="s">
        <v>31</v>
      </c>
      <c r="B46" s="1305" t="s">
        <v>37</v>
      </c>
      <c r="C46" s="1306">
        <v>0</v>
      </c>
      <c r="D46" s="1306">
        <v>0</v>
      </c>
      <c r="E46" s="1306">
        <v>0</v>
      </c>
      <c r="F46" s="1306">
        <v>0</v>
      </c>
    </row>
    <row r="47" spans="1:6">
      <c r="A47" s="1305" t="s">
        <v>31</v>
      </c>
      <c r="B47" s="1305" t="s">
        <v>38</v>
      </c>
      <c r="C47" s="1306">
        <v>3</v>
      </c>
      <c r="D47" s="1306">
        <v>64808.250545678697</v>
      </c>
      <c r="E47" s="1306">
        <v>3</v>
      </c>
      <c r="F47" s="1306">
        <v>38970.51</v>
      </c>
    </row>
    <row r="48" spans="1:6">
      <c r="A48" s="1305" t="s">
        <v>31</v>
      </c>
      <c r="B48" s="1305" t="s">
        <v>28</v>
      </c>
      <c r="C48" s="1306">
        <v>39</v>
      </c>
      <c r="D48" s="1306">
        <v>41029650.577987999</v>
      </c>
      <c r="E48" s="1306">
        <v>46</v>
      </c>
      <c r="F48" s="1306">
        <v>32278536</v>
      </c>
    </row>
    <row r="49" spans="1:6">
      <c r="A49" s="1305" t="s">
        <v>31</v>
      </c>
      <c r="B49" s="1305" t="s">
        <v>39</v>
      </c>
      <c r="C49" s="1306">
        <v>0</v>
      </c>
      <c r="D49" s="1306">
        <v>0</v>
      </c>
      <c r="E49" s="1306">
        <v>0</v>
      </c>
      <c r="F49" s="1306">
        <v>0</v>
      </c>
    </row>
    <row r="50" spans="1:6">
      <c r="A50" s="1305" t="s">
        <v>31</v>
      </c>
      <c r="B50" s="1305" t="s">
        <v>40</v>
      </c>
      <c r="C50" s="1306">
        <v>19</v>
      </c>
      <c r="D50" s="1306">
        <v>2182390.2209053999</v>
      </c>
      <c r="E50" s="1306">
        <v>18</v>
      </c>
      <c r="F50" s="1306">
        <v>10525542</v>
      </c>
    </row>
    <row r="51" spans="1:6">
      <c r="A51" s="1305" t="s">
        <v>41</v>
      </c>
      <c r="B51" s="1305" t="s">
        <v>42</v>
      </c>
      <c r="C51" s="1306">
        <v>3</v>
      </c>
      <c r="D51" s="1306">
        <v>72184.111961431903</v>
      </c>
      <c r="E51" s="1306">
        <v>73</v>
      </c>
      <c r="F51" s="1306">
        <v>1258658</v>
      </c>
    </row>
    <row r="52" spans="1:6">
      <c r="A52" s="1305" t="s">
        <v>41</v>
      </c>
      <c r="B52" s="1305" t="s">
        <v>28</v>
      </c>
      <c r="C52" s="1306">
        <v>5</v>
      </c>
      <c r="D52" s="1306">
        <v>4552008.4925663201</v>
      </c>
      <c r="E52" s="1306">
        <v>6</v>
      </c>
      <c r="F52" s="1306">
        <v>101383.7</v>
      </c>
    </row>
    <row r="53" spans="1:6">
      <c r="A53" s="1305" t="s">
        <v>43</v>
      </c>
      <c r="B53" s="1305" t="s">
        <v>44</v>
      </c>
      <c r="C53" s="1306">
        <v>94</v>
      </c>
      <c r="D53" s="1306">
        <v>3016941.1712799398</v>
      </c>
      <c r="E53" s="1306">
        <v>188</v>
      </c>
      <c r="F53" s="1306">
        <v>776973.4</v>
      </c>
    </row>
    <row r="54" spans="1:6">
      <c r="A54" s="1305" t="s">
        <v>45</v>
      </c>
      <c r="B54" s="1305" t="s">
        <v>46</v>
      </c>
      <c r="C54" s="1306">
        <v>0</v>
      </c>
      <c r="D54" s="1306">
        <v>0</v>
      </c>
      <c r="E54" s="1306">
        <v>1</v>
      </c>
      <c r="F54" s="1306">
        <v>634145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37</v>
      </c>
      <c r="D57" s="1306">
        <v>2143002.7188497698</v>
      </c>
      <c r="E57" s="1306">
        <v>76</v>
      </c>
      <c r="F57" s="1306">
        <v>2599381</v>
      </c>
    </row>
    <row r="58" spans="1:6">
      <c r="A58" s="1305" t="s">
        <v>48</v>
      </c>
      <c r="B58" s="1305" t="s">
        <v>50</v>
      </c>
      <c r="C58" s="1306">
        <v>24</v>
      </c>
      <c r="D58" s="1306">
        <v>10395182.4963654</v>
      </c>
      <c r="E58" s="1306">
        <v>34</v>
      </c>
      <c r="F58" s="1306">
        <v>1448825</v>
      </c>
    </row>
    <row r="59" spans="1:6">
      <c r="A59" s="1305" t="s">
        <v>48</v>
      </c>
      <c r="B59" s="1305" t="s">
        <v>51</v>
      </c>
      <c r="C59" s="1306">
        <v>96</v>
      </c>
      <c r="D59" s="1306">
        <v>3640396.81994096</v>
      </c>
      <c r="E59" s="1306">
        <v>187</v>
      </c>
      <c r="F59" s="1306">
        <v>6921183</v>
      </c>
    </row>
    <row r="60" spans="1:6">
      <c r="A60" s="1305" t="s">
        <v>48</v>
      </c>
      <c r="B60" s="1305" t="s">
        <v>52</v>
      </c>
      <c r="C60" s="1306">
        <v>61</v>
      </c>
      <c r="D60" s="1306">
        <v>3419426.8090014299</v>
      </c>
      <c r="E60" s="1306">
        <v>80</v>
      </c>
      <c r="F60" s="1306">
        <v>3094511</v>
      </c>
    </row>
    <row r="61" spans="1:6">
      <c r="A61" s="1305" t="s">
        <v>48</v>
      </c>
      <c r="B61" s="1305" t="s">
        <v>53</v>
      </c>
      <c r="C61" s="1306">
        <v>164</v>
      </c>
      <c r="D61" s="1306">
        <v>6531157.1294399602</v>
      </c>
      <c r="E61" s="1306">
        <v>275</v>
      </c>
      <c r="F61" s="1306">
        <v>4199954</v>
      </c>
    </row>
    <row r="62" spans="1:6">
      <c r="A62" s="1305" t="s">
        <v>48</v>
      </c>
      <c r="B62" s="1305" t="s">
        <v>54</v>
      </c>
      <c r="C62" s="1306">
        <v>21</v>
      </c>
      <c r="D62" s="1306">
        <v>4591284.5264093103</v>
      </c>
      <c r="E62" s="1306">
        <v>23</v>
      </c>
      <c r="F62" s="1306">
        <v>1592737</v>
      </c>
    </row>
    <row r="63" spans="1:6">
      <c r="A63" s="1305" t="s">
        <v>48</v>
      </c>
      <c r="B63" s="1305" t="s">
        <v>28</v>
      </c>
      <c r="C63" s="1306">
        <v>110</v>
      </c>
      <c r="D63" s="1306">
        <v>7899477.9981837403</v>
      </c>
      <c r="E63" s="1306">
        <v>109</v>
      </c>
      <c r="F63" s="1306">
        <v>2050357</v>
      </c>
    </row>
    <row r="64" spans="1:6">
      <c r="A64" s="1305" t="s">
        <v>55</v>
      </c>
      <c r="B64" s="1305" t="s">
        <v>56</v>
      </c>
      <c r="C64" s="1306">
        <v>0</v>
      </c>
      <c r="D64" s="1306">
        <v>0</v>
      </c>
      <c r="E64" s="1306">
        <v>0</v>
      </c>
      <c r="F64" s="1306">
        <v>0</v>
      </c>
    </row>
    <row r="65" spans="1:6">
      <c r="A65" s="1305" t="s">
        <v>55</v>
      </c>
      <c r="B65" s="1305" t="s">
        <v>28</v>
      </c>
      <c r="C65" s="1306">
        <v>2</v>
      </c>
      <c r="D65" s="1306">
        <v>53328.74230179</v>
      </c>
      <c r="E65" s="1306">
        <v>3</v>
      </c>
      <c r="F65" s="1306">
        <v>223757.7</v>
      </c>
    </row>
    <row r="66" spans="1:6">
      <c r="A66" s="1305" t="s">
        <v>55</v>
      </c>
      <c r="B66" s="1305" t="s">
        <v>57</v>
      </c>
      <c r="C66" s="1306">
        <v>0</v>
      </c>
      <c r="D66" s="1306">
        <v>0</v>
      </c>
      <c r="E66" s="1306">
        <v>13</v>
      </c>
      <c r="F66" s="1306">
        <v>386729.6</v>
      </c>
    </row>
    <row r="67" spans="1:6">
      <c r="A67" s="1307" t="s">
        <v>55</v>
      </c>
      <c r="B67" s="1307" t="s">
        <v>58</v>
      </c>
      <c r="C67" s="1306">
        <v>0</v>
      </c>
      <c r="D67" s="1306">
        <v>0</v>
      </c>
      <c r="E67" s="1306">
        <v>0</v>
      </c>
      <c r="F67" s="1306">
        <v>0</v>
      </c>
    </row>
    <row r="68" spans="1:6">
      <c r="A68" s="1300" t="s">
        <v>55</v>
      </c>
      <c r="B68" s="1300" t="s">
        <v>59</v>
      </c>
      <c r="C68" s="1309">
        <v>6</v>
      </c>
      <c r="D68" s="1309">
        <v>301936.22869535501</v>
      </c>
      <c r="E68" s="1309">
        <v>18</v>
      </c>
      <c r="F68" s="1309">
        <v>316652.40000000002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89611445</v>
      </c>
      <c r="E73" s="450"/>
      <c r="F73" s="330"/>
    </row>
    <row r="74" spans="1:6">
      <c r="A74" s="1305" t="s">
        <v>63</v>
      </c>
      <c r="B74" s="1305" t="s">
        <v>710</v>
      </c>
      <c r="C74" s="1319" t="s">
        <v>712</v>
      </c>
      <c r="D74" s="1320">
        <v>8019118.4847210767</v>
      </c>
      <c r="E74" s="450"/>
      <c r="F74" s="330"/>
    </row>
    <row r="75" spans="1:6">
      <c r="A75" s="1305" t="s">
        <v>64</v>
      </c>
      <c r="B75" s="1305" t="s">
        <v>709</v>
      </c>
      <c r="C75" s="1319" t="s">
        <v>713</v>
      </c>
      <c r="D75" s="1320">
        <v>10734803</v>
      </c>
      <c r="E75" s="450"/>
      <c r="F75" s="330"/>
    </row>
    <row r="76" spans="1:6">
      <c r="A76" s="1305" t="s">
        <v>64</v>
      </c>
      <c r="B76" s="1305" t="s">
        <v>710</v>
      </c>
      <c r="C76" s="1319" t="s">
        <v>714</v>
      </c>
      <c r="D76" s="1320">
        <v>188341.48472107708</v>
      </c>
      <c r="E76" s="450"/>
      <c r="F76" s="330"/>
    </row>
    <row r="77" spans="1:6">
      <c r="A77" s="1305" t="s">
        <v>65</v>
      </c>
      <c r="B77" s="1305" t="s">
        <v>709</v>
      </c>
      <c r="C77" s="1319" t="s">
        <v>715</v>
      </c>
      <c r="D77" s="1320">
        <v>5143674</v>
      </c>
      <c r="E77" s="450"/>
      <c r="F77" s="330"/>
    </row>
    <row r="78" spans="1:6">
      <c r="A78" s="1300" t="s">
        <v>65</v>
      </c>
      <c r="B78" s="1300" t="s">
        <v>710</v>
      </c>
      <c r="C78" s="1300" t="s">
        <v>716</v>
      </c>
      <c r="D78" s="1321">
        <v>1270124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789265.03055784584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3003.3645087280197</v>
      </c>
      <c r="C91" s="330"/>
      <c r="D91" s="330"/>
      <c r="E91" s="330"/>
      <c r="F91" s="330"/>
    </row>
    <row r="92" spans="1:6">
      <c r="A92" s="1300" t="s">
        <v>68</v>
      </c>
      <c r="B92" s="1301">
        <v>4708.1067223932523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3064</v>
      </c>
      <c r="C97" s="330"/>
      <c r="D97" s="330"/>
      <c r="E97" s="330"/>
      <c r="F97" s="330"/>
    </row>
    <row r="98" spans="1:6">
      <c r="A98" s="1305" t="s">
        <v>71</v>
      </c>
      <c r="B98" s="1306">
        <v>2</v>
      </c>
      <c r="C98" s="330"/>
      <c r="D98" s="330"/>
      <c r="E98" s="330"/>
      <c r="F98" s="330"/>
    </row>
    <row r="99" spans="1:6">
      <c r="A99" s="1305" t="s">
        <v>72</v>
      </c>
      <c r="B99" s="1306">
        <v>56</v>
      </c>
      <c r="C99" s="330"/>
      <c r="D99" s="330"/>
      <c r="E99" s="330"/>
      <c r="F99" s="330"/>
    </row>
    <row r="100" spans="1:6">
      <c r="A100" s="1305" t="s">
        <v>73</v>
      </c>
      <c r="B100" s="1306">
        <v>513</v>
      </c>
      <c r="C100" s="330"/>
      <c r="D100" s="330"/>
      <c r="E100" s="330"/>
      <c r="F100" s="330"/>
    </row>
    <row r="101" spans="1:6">
      <c r="A101" s="1305" t="s">
        <v>74</v>
      </c>
      <c r="B101" s="1306">
        <v>115</v>
      </c>
      <c r="C101" s="330"/>
      <c r="D101" s="330"/>
      <c r="E101" s="330"/>
      <c r="F101" s="330"/>
    </row>
    <row r="102" spans="1:6">
      <c r="A102" s="1305" t="s">
        <v>75</v>
      </c>
      <c r="B102" s="1306">
        <v>55</v>
      </c>
      <c r="C102" s="330"/>
      <c r="D102" s="330"/>
      <c r="E102" s="330"/>
      <c r="F102" s="330"/>
    </row>
    <row r="103" spans="1:6">
      <c r="A103" s="1305" t="s">
        <v>76</v>
      </c>
      <c r="B103" s="1306">
        <v>102</v>
      </c>
      <c r="C103" s="330"/>
      <c r="D103" s="330"/>
      <c r="E103" s="330"/>
      <c r="F103" s="330"/>
    </row>
    <row r="104" spans="1:6">
      <c r="A104" s="1305" t="s">
        <v>77</v>
      </c>
      <c r="B104" s="1306">
        <v>1072</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1</v>
      </c>
      <c r="C122" s="1306">
        <v>0</v>
      </c>
      <c r="D122" s="330"/>
      <c r="E122" s="330"/>
      <c r="F122" s="330"/>
    </row>
    <row r="123" spans="1:6">
      <c r="A123" s="1305" t="s">
        <v>87</v>
      </c>
      <c r="B123" s="1306">
        <v>22</v>
      </c>
      <c r="C123" s="1306">
        <v>14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91</v>
      </c>
      <c r="C129" s="330"/>
      <c r="D129" s="330"/>
      <c r="E129" s="330"/>
      <c r="F129" s="330"/>
    </row>
    <row r="130" spans="1:6">
      <c r="A130" s="1305" t="s">
        <v>294</v>
      </c>
      <c r="B130" s="1306">
        <v>3</v>
      </c>
      <c r="C130" s="330"/>
      <c r="D130" s="330"/>
      <c r="E130" s="330"/>
      <c r="F130" s="330"/>
    </row>
    <row r="131" spans="1:6">
      <c r="A131" s="1305" t="s">
        <v>295</v>
      </c>
      <c r="B131" s="1306">
        <v>3</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126294.60284336643</v>
      </c>
      <c r="C3" s="43" t="s">
        <v>169</v>
      </c>
      <c r="D3" s="43"/>
      <c r="E3" s="154"/>
      <c r="F3" s="43"/>
      <c r="G3" s="43"/>
      <c r="H3" s="43"/>
      <c r="I3" s="43"/>
      <c r="J3" s="43"/>
      <c r="K3" s="96"/>
    </row>
    <row r="4" spans="1:11">
      <c r="A4" s="359" t="s">
        <v>170</v>
      </c>
      <c r="B4" s="49">
        <f>IF(ISERROR('SEAP template'!B78+'SEAP template'!C78),0,'SEAP template'!B78+'SEAP template'!C78)</f>
        <v>41015.971231121272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0.14922710204552569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22802.142857142859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634.14499999999998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634.14499999999998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0.14922710204552569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94.631620626659895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25338.271000000001</v>
      </c>
      <c r="C5" s="17">
        <f>IF(ISERROR('Eigen informatie GS &amp; warmtenet'!B57),0,'Eigen informatie GS &amp; warmtenet'!B57)</f>
        <v>0</v>
      </c>
      <c r="D5" s="30">
        <f>(SUM(HH_hh_gas_kWh,HH_rest_gas_kWh)/1000)*0.902</f>
        <v>67108.73925043513</v>
      </c>
      <c r="E5" s="17">
        <f>B46*B57</f>
        <v>9894.8637861259467</v>
      </c>
      <c r="F5" s="17">
        <f>B51*B62</f>
        <v>0</v>
      </c>
      <c r="G5" s="18"/>
      <c r="H5" s="17"/>
      <c r="I5" s="17"/>
      <c r="J5" s="17">
        <f>B50*B61+C50*C61</f>
        <v>0</v>
      </c>
      <c r="K5" s="17"/>
      <c r="L5" s="17"/>
      <c r="M5" s="17"/>
      <c r="N5" s="17">
        <f>B48*B59+C48*C59</f>
        <v>14653.08602591138</v>
      </c>
      <c r="O5" s="17">
        <f>B69*B70*B71</f>
        <v>164.15</v>
      </c>
      <c r="P5" s="17">
        <f>B77*B78*B79/1000-B77*B78*B79/1000/B80</f>
        <v>629.20000000000005</v>
      </c>
    </row>
    <row r="6" spans="1:16">
      <c r="A6" s="16" t="s">
        <v>630</v>
      </c>
      <c r="B6" s="763">
        <f>kWh_PV_kleiner_dan_10kW</f>
        <v>3003.3645087280197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28341.635508728021</v>
      </c>
      <c r="C8" s="21">
        <f>C5</f>
        <v>0</v>
      </c>
      <c r="D8" s="21">
        <f>D5</f>
        <v>67108.73925043513</v>
      </c>
      <c r="E8" s="21">
        <f>E5</f>
        <v>9894.8637861259467</v>
      </c>
      <c r="F8" s="21">
        <f>F5</f>
        <v>0</v>
      </c>
      <c r="G8" s="21"/>
      <c r="H8" s="21"/>
      <c r="I8" s="21"/>
      <c r="J8" s="21">
        <f>J5</f>
        <v>0</v>
      </c>
      <c r="K8" s="21"/>
      <c r="L8" s="21">
        <f>L5</f>
        <v>0</v>
      </c>
      <c r="M8" s="21">
        <f>M5</f>
        <v>0</v>
      </c>
      <c r="N8" s="21">
        <f>N5</f>
        <v>14653.08602591138</v>
      </c>
      <c r="O8" s="21">
        <f>O5</f>
        <v>164.15</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0.14922710204552569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4229.3401341980507</v>
      </c>
      <c r="C12" s="23">
        <f ca="1">C10*C8</f>
        <v>0</v>
      </c>
      <c r="D12" s="23">
        <f>D8*D10</f>
        <v>13555.965328587898</v>
      </c>
      <c r="E12" s="23">
        <f>E10*E8</f>
        <v>2246.13407945059</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3064</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8.1871345029239766</v>
      </c>
      <c r="D20" s="229"/>
      <c r="E20" s="15"/>
    </row>
    <row r="21" spans="1:7">
      <c r="A21" s="171" t="s">
        <v>73</v>
      </c>
      <c r="B21" s="37">
        <f>aantalw2001_elektriciteit</f>
        <v>513</v>
      </c>
      <c r="C21" s="167">
        <f>IF(ISERROR(B21/SUM($B$20,$B$21,$B$22)*100),0,B21/SUM($B$20,$B$21,$B$22)*100)</f>
        <v>75</v>
      </c>
      <c r="D21" s="229"/>
      <c r="E21" s="15"/>
    </row>
    <row r="22" spans="1:7">
      <c r="A22" s="171" t="s">
        <v>74</v>
      </c>
      <c r="B22" s="37">
        <f>aantalw2001_hout</f>
        <v>115</v>
      </c>
      <c r="C22" s="167">
        <f>IF(ISERROR(B22/SUM($B$20,$B$21,$B$22)*100),0,B22/SUM($B$20,$B$21,$B$22)*100)</f>
        <v>16.812865497076025</v>
      </c>
      <c r="D22" s="229"/>
      <c r="E22" s="15"/>
    </row>
    <row r="23" spans="1:7">
      <c r="A23" s="171" t="s">
        <v>75</v>
      </c>
      <c r="B23" s="37">
        <f>aantalw2001_niet_gespec</f>
        <v>55</v>
      </c>
      <c r="C23" s="166" t="s">
        <v>110</v>
      </c>
      <c r="D23" s="228"/>
      <c r="E23" s="15"/>
    </row>
    <row r="24" spans="1:7">
      <c r="A24" s="171" t="s">
        <v>76</v>
      </c>
      <c r="B24" s="37">
        <f>aantalw2001_steenkool</f>
        <v>102</v>
      </c>
      <c r="C24" s="166" t="s">
        <v>110</v>
      </c>
      <c r="D24" s="229"/>
      <c r="E24" s="15"/>
    </row>
    <row r="25" spans="1:7">
      <c r="A25" s="171" t="s">
        <v>77</v>
      </c>
      <c r="B25" s="37">
        <f>aantalw2001_stookolie</f>
        <v>1072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5895</v>
      </c>
      <c r="C28" s="36"/>
      <c r="D28" s="228"/>
    </row>
    <row r="29" spans="1:7" s="15" customFormat="1">
      <c r="A29" s="230" t="s">
        <v>737</v>
      </c>
      <c r="B29" s="37">
        <f>SUM(HH_hh_gas_aantal,HH_rest_gas_aantal)</f>
        <v>4348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4348</v>
      </c>
      <c r="C32" s="167">
        <f>IF(ISERROR(B32/SUM($B$32,$B$34,$B$35,$B$36,$B$38,$B$39)*100),0,B32/SUM($B$32,$B$34,$B$35,$B$36,$B$38,$B$39)*100)</f>
        <v>74.17263732514499</v>
      </c>
      <c r="D32" s="233"/>
      <c r="G32" s="15"/>
    </row>
    <row r="33" spans="1:7">
      <c r="A33" s="171" t="s">
        <v>71</v>
      </c>
      <c r="B33" s="34" t="s">
        <v>110</v>
      </c>
      <c r="C33" s="167"/>
      <c r="D33" s="233"/>
      <c r="G33" s="15"/>
    </row>
    <row r="34" spans="1:7">
      <c r="A34" s="171" t="s">
        <v>72</v>
      </c>
      <c r="B34" s="33">
        <f>IF((($B$28-$B$32-$B$39-$B$77-$B$38)*C20/100)&lt;0,0,($B$28-$B$32-$B$39-$B$77-$B$38)*C20/100)</f>
        <v>123.95321637426902</v>
      </c>
      <c r="C34" s="167">
        <f>IF(ISERROR(B34/SUM($B$32,$B$34,$B$35,$B$36,$B$38,$B$39)*100),0,B34/SUM($B$32,$B$34,$B$35,$B$36,$B$38,$B$39)*100)</f>
        <v>2.1145209207483626</v>
      </c>
      <c r="D34" s="233"/>
      <c r="G34" s="15"/>
    </row>
    <row r="35" spans="1:7">
      <c r="A35" s="171" t="s">
        <v>73</v>
      </c>
      <c r="B35" s="33">
        <f>IF((($B$28-$B$32-$B$39-$B$77-$B$38)*C21/100)&lt;0,0,($B$28-$B$32-$B$39-$B$77-$B$38)*C21/100)</f>
        <v>1135.5</v>
      </c>
      <c r="C35" s="167">
        <f>IF(ISERROR(B35/SUM($B$32,$B$34,$B$35,$B$36,$B$38,$B$39)*100),0,B35/SUM($B$32,$B$34,$B$35,$B$36,$B$38,$B$39)*100)</f>
        <v>19.37052200614125</v>
      </c>
      <c r="D35" s="233"/>
      <c r="G35" s="15"/>
    </row>
    <row r="36" spans="1:7">
      <c r="A36" s="171" t="s">
        <v>74</v>
      </c>
      <c r="B36" s="33">
        <f>IF((($B$28-$B$32-$B$39-$B$77-$B$38)*C22/100)&lt;0,0,($B$28-$B$32-$B$39-$B$77-$B$38)*C22/100)</f>
        <v>254.546783625731</v>
      </c>
      <c r="C36" s="167">
        <f>IF(ISERROR(B36/SUM($B$32,$B$34,$B$35,$B$36,$B$38,$B$39)*100),0,B36/SUM($B$32,$B$34,$B$35,$B$36,$B$38,$B$39)*100)</f>
        <v>4.3423197479653872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4348</v>
      </c>
      <c r="C44" s="34" t="s">
        <v>110</v>
      </c>
      <c r="D44" s="174"/>
    </row>
    <row r="45" spans="1:7">
      <c r="A45" s="171" t="s">
        <v>71</v>
      </c>
      <c r="B45" s="33" t="str">
        <f t="shared" si="0"/>
        <v>-</v>
      </c>
      <c r="C45" s="34" t="s">
        <v>110</v>
      </c>
      <c r="D45" s="174"/>
    </row>
    <row r="46" spans="1:7">
      <c r="A46" s="171" t="s">
        <v>72</v>
      </c>
      <c r="B46" s="33">
        <f t="shared" si="0"/>
        <v>123.95321637426902</v>
      </c>
      <c r="C46" s="34" t="s">
        <v>110</v>
      </c>
      <c r="D46" s="174"/>
    </row>
    <row r="47" spans="1:7">
      <c r="A47" s="171" t="s">
        <v>73</v>
      </c>
      <c r="B47" s="33">
        <f t="shared" si="0"/>
        <v>1135.5</v>
      </c>
      <c r="C47" s="34" t="s">
        <v>110</v>
      </c>
      <c r="D47" s="174"/>
    </row>
    <row r="48" spans="1:7">
      <c r="A48" s="171" t="s">
        <v>74</v>
      </c>
      <c r="B48" s="33">
        <f t="shared" si="0"/>
        <v>254.546783625731</v>
      </c>
      <c r="C48" s="33">
        <f>B48*10</f>
        <v>2545.46783625731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21906.948000000004</v>
      </c>
      <c r="C5" s="17">
        <f>IF(ISERROR('Eigen informatie GS &amp; warmtenet'!B58),0,'Eigen informatie GS &amp; warmtenet'!B58)</f>
        <v>0</v>
      </c>
      <c r="D5" s="30">
        <f>SUM(D6:D12)</f>
        <v>34835.175505367893</v>
      </c>
      <c r="E5" s="17">
        <f>SUM(E6:E12)</f>
        <v>246.10624417320008</v>
      </c>
      <c r="F5" s="17">
        <f>SUM(F6:F12)</f>
        <v>3512.1588118628911</v>
      </c>
      <c r="G5" s="18"/>
      <c r="H5" s="17"/>
      <c r="I5" s="17"/>
      <c r="J5" s="17">
        <f>SUM(J6:J12)</f>
        <v>0</v>
      </c>
      <c r="K5" s="17"/>
      <c r="L5" s="17"/>
      <c r="M5" s="17"/>
      <c r="N5" s="17">
        <f>SUM(N6:N12)</f>
        <v>2118.1557480616998</v>
      </c>
      <c r="O5" s="17">
        <f>B38*B39*B40</f>
        <v>4.6900000000000004</v>
      </c>
      <c r="P5" s="17">
        <f>B46*B47*B48/1000-B46*B47*B48/1000/B49</f>
        <v>76.266666666666666</v>
      </c>
      <c r="R5" s="32"/>
    </row>
    <row r="6" spans="1:18">
      <c r="A6" s="32" t="s">
        <v>53</v>
      </c>
      <c r="B6" s="37">
        <f>B26</f>
        <v>4199.9539999999997</v>
      </c>
      <c r="C6" s="33"/>
      <c r="D6" s="37">
        <f>IF(ISERROR(TER_kantoor_gas_kWh/1000),0,TER_kantoor_gas_kWh/1000)*0.902</f>
        <v>5891.103730754844</v>
      </c>
      <c r="E6" s="33">
        <f>$C$26*'E Balans VL '!I12/100/3.6*1000000</f>
        <v>12.167882958627322</v>
      </c>
      <c r="F6" s="33">
        <f>$C$26*('E Balans VL '!L12+'E Balans VL '!N12)/100/3.6*1000000</f>
        <v>475.34226063914457</v>
      </c>
      <c r="G6" s="34"/>
      <c r="H6" s="33"/>
      <c r="I6" s="33"/>
      <c r="J6" s="33">
        <f>$C$26*('E Balans VL '!D12+'E Balans VL '!E12)/100/3.6*1000000</f>
        <v>0</v>
      </c>
      <c r="K6" s="33"/>
      <c r="L6" s="33"/>
      <c r="M6" s="33"/>
      <c r="N6" s="33">
        <f>$C$26*'E Balans VL '!Y12/100/3.6*1000000</f>
        <v>42.038444875719854</v>
      </c>
      <c r="O6" s="33"/>
      <c r="P6" s="33"/>
      <c r="R6" s="32"/>
    </row>
    <row r="7" spans="1:18">
      <c r="A7" s="32" t="s">
        <v>52</v>
      </c>
      <c r="B7" s="37">
        <f t="shared" ref="B7:B12" si="0">B27</f>
        <v>3094.511</v>
      </c>
      <c r="C7" s="33"/>
      <c r="D7" s="37">
        <f>IF(ISERROR(TER_horeca_gas_kWh/1000),0,TER_horeca_gas_kWh/1000)*0.902</f>
        <v>3084.3229817192896</v>
      </c>
      <c r="E7" s="33">
        <f>$C$27*'E Balans VL '!I9/100/3.6*1000000</f>
        <v>129.89892588714201</v>
      </c>
      <c r="F7" s="33">
        <f>$C$27*('E Balans VL '!L9+'E Balans VL '!N9)/100/3.6*1000000</f>
        <v>664.91914727480366</v>
      </c>
      <c r="G7" s="34"/>
      <c r="H7" s="33"/>
      <c r="I7" s="33"/>
      <c r="J7" s="33">
        <f>$C$27*('E Balans VL '!D9+'E Balans VL '!E9)/100/3.6*1000000</f>
        <v>0</v>
      </c>
      <c r="K7" s="33"/>
      <c r="L7" s="33"/>
      <c r="M7" s="33"/>
      <c r="N7" s="33">
        <f>$C$27*'E Balans VL '!Y9/100/3.6*1000000</f>
        <v>0.79742842221955101</v>
      </c>
      <c r="O7" s="33"/>
      <c r="P7" s="33"/>
      <c r="R7" s="32"/>
    </row>
    <row r="8" spans="1:18">
      <c r="A8" s="6" t="s">
        <v>51</v>
      </c>
      <c r="B8" s="37">
        <f t="shared" si="0"/>
        <v>6921.183</v>
      </c>
      <c r="C8" s="33"/>
      <c r="D8" s="37">
        <f>IF(ISERROR(TER_handel_gas_kWh/1000),0,TER_handel_gas_kWh/1000)*0.902</f>
        <v>3283.6379315867462</v>
      </c>
      <c r="E8" s="33">
        <f>$C$28*'E Balans VL '!I13/100/3.6*1000000</f>
        <v>74.339265756864151</v>
      </c>
      <c r="F8" s="33">
        <f>$C$28*('E Balans VL '!L13+'E Balans VL '!N13)/100/3.6*1000000</f>
        <v>896.00429330099712</v>
      </c>
      <c r="G8" s="34"/>
      <c r="H8" s="33"/>
      <c r="I8" s="33"/>
      <c r="J8" s="33">
        <f>$C$28*('E Balans VL '!D13+'E Balans VL '!E13)/100/3.6*1000000</f>
        <v>0</v>
      </c>
      <c r="K8" s="33"/>
      <c r="L8" s="33"/>
      <c r="M8" s="33"/>
      <c r="N8" s="33">
        <f>$C$28*'E Balans VL '!Y13/100/3.6*1000000</f>
        <v>56.145014409023275</v>
      </c>
      <c r="O8" s="33"/>
      <c r="P8" s="33"/>
      <c r="R8" s="32"/>
    </row>
    <row r="9" spans="1:18">
      <c r="A9" s="32" t="s">
        <v>50</v>
      </c>
      <c r="B9" s="37">
        <f t="shared" si="0"/>
        <v>1448.825</v>
      </c>
      <c r="C9" s="33"/>
      <c r="D9" s="37">
        <f>IF(ISERROR(TER_gezond_gas_kWh/1000),0,TER_gezond_gas_kWh/1000)*0.902</f>
        <v>9376.4546117215905</v>
      </c>
      <c r="E9" s="33">
        <f>$C$29*'E Balans VL '!I10/100/3.6*1000000</f>
        <v>1.1533584074905021</v>
      </c>
      <c r="F9" s="33">
        <f>$C$29*('E Balans VL '!L10+'E Balans VL '!N10)/100/3.6*1000000</f>
        <v>176.12561615709075</v>
      </c>
      <c r="G9" s="34"/>
      <c r="H9" s="33"/>
      <c r="I9" s="33"/>
      <c r="J9" s="33">
        <f>$C$29*('E Balans VL '!D10+'E Balans VL '!E10)/100/3.6*1000000</f>
        <v>0</v>
      </c>
      <c r="K9" s="33"/>
      <c r="L9" s="33"/>
      <c r="M9" s="33"/>
      <c r="N9" s="33">
        <f>$C$29*'E Balans VL '!Y10/100/3.6*1000000</f>
        <v>11.703224509036025</v>
      </c>
      <c r="O9" s="33"/>
      <c r="P9" s="33"/>
      <c r="R9" s="32"/>
    </row>
    <row r="10" spans="1:18">
      <c r="A10" s="32" t="s">
        <v>49</v>
      </c>
      <c r="B10" s="37">
        <f t="shared" si="0"/>
        <v>2599.3809999999999</v>
      </c>
      <c r="C10" s="33"/>
      <c r="D10" s="37">
        <f>IF(ISERROR(TER_ander_gas_kWh/1000),0,TER_ander_gas_kWh/1000)*0.902</f>
        <v>1932.9884524024924</v>
      </c>
      <c r="E10" s="33">
        <f>$C$30*'E Balans VL '!I14/100/3.6*1000000</f>
        <v>8.9082152409734405</v>
      </c>
      <c r="F10" s="33">
        <f>$C$30*('E Balans VL '!L14+'E Balans VL '!N14)/100/3.6*1000000</f>
        <v>580.59608899858063</v>
      </c>
      <c r="G10" s="34"/>
      <c r="H10" s="33"/>
      <c r="I10" s="33"/>
      <c r="J10" s="33">
        <f>$C$30*('E Balans VL '!D14+'E Balans VL '!E14)/100/3.6*1000000</f>
        <v>0</v>
      </c>
      <c r="K10" s="33"/>
      <c r="L10" s="33"/>
      <c r="M10" s="33"/>
      <c r="N10" s="33">
        <f>$C$30*'E Balans VL '!Y14/100/3.6*1000000</f>
        <v>1831.0181765408288</v>
      </c>
      <c r="O10" s="33"/>
      <c r="P10" s="33"/>
      <c r="R10" s="32"/>
    </row>
    <row r="11" spans="1:18">
      <c r="A11" s="32" t="s">
        <v>54</v>
      </c>
      <c r="B11" s="37">
        <f t="shared" si="0"/>
        <v>1592.7370000000001</v>
      </c>
      <c r="C11" s="33"/>
      <c r="D11" s="37">
        <f>IF(ISERROR(TER_onderwijs_gas_kWh/1000),0,TER_onderwijs_gas_kWh/1000)*0.902</f>
        <v>4141.3386428211979</v>
      </c>
      <c r="E11" s="33">
        <f>$C$31*'E Balans VL '!I11/100/3.6*1000000</f>
        <v>1.1010100356608878</v>
      </c>
      <c r="F11" s="33">
        <f>$C$31*('E Balans VL '!L11+'E Balans VL '!N11)/100/3.6*1000000</f>
        <v>416.93228072936472</v>
      </c>
      <c r="G11" s="34"/>
      <c r="H11" s="33"/>
      <c r="I11" s="33"/>
      <c r="J11" s="33">
        <f>$C$31*('E Balans VL '!D11+'E Balans VL '!E11)/100/3.6*1000000</f>
        <v>0</v>
      </c>
      <c r="K11" s="33"/>
      <c r="L11" s="33"/>
      <c r="M11" s="33"/>
      <c r="N11" s="33">
        <f>$C$31*'E Balans VL '!Y11/100/3.6*1000000</f>
        <v>1.5854340247448435</v>
      </c>
      <c r="O11" s="33"/>
      <c r="P11" s="33"/>
      <c r="R11" s="32"/>
    </row>
    <row r="12" spans="1:18">
      <c r="A12" s="32" t="s">
        <v>259</v>
      </c>
      <c r="B12" s="37">
        <f t="shared" si="0"/>
        <v>2050.357</v>
      </c>
      <c r="C12" s="33"/>
      <c r="D12" s="37">
        <f>IF(ISERROR(TER_rest_gas_kWh/1000),0,TER_rest_gas_kWh/1000)*0.902</f>
        <v>7125.3291543617333</v>
      </c>
      <c r="E12" s="33">
        <f>$C$32*'E Balans VL '!I8/100/3.6*1000000</f>
        <v>18.537585886441722</v>
      </c>
      <c r="F12" s="33">
        <f>$C$32*('E Balans VL '!L8+'E Balans VL '!N8)/100/3.6*1000000</f>
        <v>302.23912476290963</v>
      </c>
      <c r="G12" s="34"/>
      <c r="H12" s="33"/>
      <c r="I12" s="33"/>
      <c r="J12" s="33">
        <f>$C$32*('E Balans VL '!D8+'E Balans VL '!E8)/100/3.6*1000000</f>
        <v>0</v>
      </c>
      <c r="K12" s="33"/>
      <c r="L12" s="33"/>
      <c r="M12" s="33"/>
      <c r="N12" s="33">
        <f>$C$32*'E Balans VL '!Y8/100/3.6*1000000</f>
        <v>174.8680252801274</v>
      </c>
      <c r="O12" s="33"/>
      <c r="P12" s="33"/>
      <c r="R12" s="32"/>
    </row>
    <row r="13" spans="1:18">
      <c r="A13" s="16" t="s">
        <v>493</v>
      </c>
      <c r="B13" s="247">
        <f ca="1">'lokale energieproductie'!N38+'lokale energieproductie'!N31</f>
        <v>15961.5</v>
      </c>
      <c r="C13" s="247">
        <f ca="1">'lokale energieproductie'!O38+'lokale energieproductie'!O31</f>
        <v>22802.142857142859</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-45604.285714285717</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37868.448000000004</v>
      </c>
      <c r="C16" s="21">
        <f t="shared" ca="1" si="1"/>
        <v>22802.142857142859</v>
      </c>
      <c r="D16" s="21">
        <f t="shared" ca="1" si="1"/>
        <v>34835.175505367893</v>
      </c>
      <c r="E16" s="21">
        <f t="shared" si="1"/>
        <v>246.10624417320008</v>
      </c>
      <c r="F16" s="21">
        <f t="shared" ca="1" si="1"/>
        <v>3512.1588118628911</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0.14922710204552569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5650.9987540016837</v>
      </c>
      <c r="C20" s="23">
        <f t="shared" ref="C20:P20" ca="1" si="2">C16*C18</f>
        <v>0</v>
      </c>
      <c r="D20" s="23">
        <f t="shared" ca="1" si="2"/>
        <v>7036.7054520843149</v>
      </c>
      <c r="E20" s="23">
        <f t="shared" si="2"/>
        <v>55.866117427316418</v>
      </c>
      <c r="F20" s="23">
        <f t="shared" ca="1" si="2"/>
        <v>937.74640276739194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4199.9539999999997</v>
      </c>
      <c r="C26" s="39">
        <f>IF(ISERROR(B26*3.6/1000000/'E Balans VL '!Z12*100),0,B26*3.6/1000000/'E Balans VL '!Z12*100)</f>
        <v>9.2256845243053706E-2</v>
      </c>
      <c r="D26" s="237" t="s">
        <v>691</v>
      </c>
      <c r="F26" s="6"/>
    </row>
    <row r="27" spans="1:18">
      <c r="A27" s="231" t="s">
        <v>52</v>
      </c>
      <c r="B27" s="33">
        <f>IF(ISERROR(TER_horeca_ele_kWh/1000),0,TER_horeca_ele_kWh/1000)</f>
        <v>3094.511</v>
      </c>
      <c r="C27" s="39">
        <f>IF(ISERROR(B27*3.6/1000000/'E Balans VL '!Z9*100),0,B27*3.6/1000000/'E Balans VL '!Z9*100)</f>
        <v>0.2486748052999779</v>
      </c>
      <c r="D27" s="237" t="s">
        <v>691</v>
      </c>
      <c r="F27" s="6"/>
    </row>
    <row r="28" spans="1:18">
      <c r="A28" s="171" t="s">
        <v>51</v>
      </c>
      <c r="B28" s="33">
        <f>IF(ISERROR(TER_handel_ele_kWh/1000),0,TER_handel_ele_kWh/1000)</f>
        <v>6921.183</v>
      </c>
      <c r="C28" s="39">
        <f>IF(ISERROR(B28*3.6/1000000/'E Balans VL '!Z13*100),0,B28*3.6/1000000/'E Balans VL '!Z13*100)</f>
        <v>0.20465454607003272</v>
      </c>
      <c r="D28" s="237" t="s">
        <v>691</v>
      </c>
      <c r="F28" s="6"/>
    </row>
    <row r="29" spans="1:18">
      <c r="A29" s="231" t="s">
        <v>50</v>
      </c>
      <c r="B29" s="33">
        <f>IF(ISERROR(TER_gezond_ele_kWh/1000),0,TER_gezond_ele_kWh/1000)</f>
        <v>1448.825</v>
      </c>
      <c r="C29" s="39">
        <f>IF(ISERROR(B29*3.6/1000000/'E Balans VL '!Z10*100),0,B29*3.6/1000000/'E Balans VL '!Z10*100)</f>
        <v>0.16324517213579121</v>
      </c>
      <c r="D29" s="237" t="s">
        <v>691</v>
      </c>
      <c r="F29" s="6"/>
    </row>
    <row r="30" spans="1:18">
      <c r="A30" s="231" t="s">
        <v>49</v>
      </c>
      <c r="B30" s="33">
        <f>IF(ISERROR(TER_ander_ele_kWh/1000),0,TER_ander_ele_kWh/1000)</f>
        <v>2599.3809999999999</v>
      </c>
      <c r="C30" s="39">
        <f>IF(ISERROR(B30*3.6/1000000/'E Balans VL '!Z14*100),0,B30*3.6/1000000/'E Balans VL '!Z14*100)</f>
        <v>0.19658674158889103</v>
      </c>
      <c r="D30" s="237" t="s">
        <v>691</v>
      </c>
      <c r="F30" s="6"/>
    </row>
    <row r="31" spans="1:18">
      <c r="A31" s="231" t="s">
        <v>54</v>
      </c>
      <c r="B31" s="33">
        <f>IF(ISERROR(TER_onderwijs_ele_kWh/1000),0,TER_onderwijs_ele_kWh/1000)</f>
        <v>1592.7370000000001</v>
      </c>
      <c r="C31" s="39">
        <f>IF(ISERROR(B31*3.6/1000000/'E Balans VL '!Z11*100),0,B31*3.6/1000000/'E Balans VL '!Z11*100)</f>
        <v>0.33061522739784605</v>
      </c>
      <c r="D31" s="237" t="s">
        <v>691</v>
      </c>
    </row>
    <row r="32" spans="1:18">
      <c r="A32" s="231" t="s">
        <v>259</v>
      </c>
      <c r="B32" s="33">
        <f>IF(ISERROR(TER_rest_ele_kWh/1000),0,TER_rest_ele_kWh/1000)</f>
        <v>2050.357</v>
      </c>
      <c r="C32" s="39">
        <f>IF(ISERROR(B32*3.6/1000000/'E Balans VL '!Z8*100),0,B32*3.6/1000000/'E Balans VL '!Z8*100)</f>
        <v>1.7273051540823901E-2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57301.423909999998</v>
      </c>
      <c r="C5" s="17">
        <f>IF(ISERROR('Eigen informatie GS &amp; warmtenet'!B59),0,'Eigen informatie GS &amp; warmtenet'!B59)</f>
        <v>0</v>
      </c>
      <c r="D5" s="30">
        <f>SUM(D6:D15)</f>
        <v>41478.902748886598</v>
      </c>
      <c r="E5" s="17">
        <f>SUM(E6:E15)</f>
        <v>3737.5038349047118</v>
      </c>
      <c r="F5" s="17">
        <f>SUM(F6:F15)</f>
        <v>34375.696339882503</v>
      </c>
      <c r="G5" s="18"/>
      <c r="H5" s="17"/>
      <c r="I5" s="17"/>
      <c r="J5" s="17">
        <f>SUM(J6:J15)</f>
        <v>388.90020689393543</v>
      </c>
      <c r="K5" s="17"/>
      <c r="L5" s="17"/>
      <c r="M5" s="17"/>
      <c r="N5" s="17">
        <f>SUM(N6:N15)</f>
        <v>8008.8757215609003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5840.27</v>
      </c>
      <c r="C8" s="33"/>
      <c r="D8" s="37">
        <f>IF( ISERROR(IND_metaal_Gas_kWH/1000),0,IND_metaal_Gas_kWH/1000)*0.902</f>
        <v>683.34582123588348</v>
      </c>
      <c r="E8" s="33">
        <f>C30*'E Balans VL '!I18/100/3.6*1000000</f>
        <v>146.16151759290935</v>
      </c>
      <c r="F8" s="33">
        <f>C30*'E Balans VL '!L18/100/3.6*1000000+C30*'E Balans VL '!N18/100/3.6*1000000</f>
        <v>1830.3696689970141</v>
      </c>
      <c r="G8" s="34"/>
      <c r="H8" s="33"/>
      <c r="I8" s="33"/>
      <c r="J8" s="40">
        <f>C30*'E Balans VL '!D18/100/3.6*1000000+C30*'E Balans VL '!E18/100/3.6*1000000</f>
        <v>0</v>
      </c>
      <c r="K8" s="33"/>
      <c r="L8" s="33"/>
      <c r="M8" s="33"/>
      <c r="N8" s="33">
        <f>C30*'E Balans VL '!Y18/100/3.6*1000000</f>
        <v>146.72273922233512</v>
      </c>
      <c r="O8" s="33"/>
      <c r="P8" s="33"/>
      <c r="R8" s="32"/>
    </row>
    <row r="9" spans="1:18">
      <c r="A9" s="6" t="s">
        <v>32</v>
      </c>
      <c r="B9" s="37">
        <f t="shared" si="0"/>
        <v>6674.915</v>
      </c>
      <c r="C9" s="33"/>
      <c r="D9" s="37">
        <f>IF( ISERROR(IND_andere_gas_kWh/1000),0,IND_andere_gas_kWh/1000)*0.902</f>
        <v>1759.8390850566659</v>
      </c>
      <c r="E9" s="33">
        <f>C31*'E Balans VL '!I19/100/3.6*1000000</f>
        <v>1835.3278529901886</v>
      </c>
      <c r="F9" s="33">
        <f>C31*'E Balans VL '!L19/100/3.6*1000000+C31*'E Balans VL '!N19/100/3.6*1000000</f>
        <v>5260.9945386046647</v>
      </c>
      <c r="G9" s="34"/>
      <c r="H9" s="33"/>
      <c r="I9" s="33"/>
      <c r="J9" s="40">
        <f>C31*'E Balans VL '!D19/100/3.6*1000000+C31*'E Balans VL '!E19/100/3.6*1000000</f>
        <v>0</v>
      </c>
      <c r="K9" s="33"/>
      <c r="L9" s="33"/>
      <c r="M9" s="33"/>
      <c r="N9" s="33">
        <f>C31*'E Balans VL '!Y19/100/3.6*1000000</f>
        <v>537.73535863421966</v>
      </c>
      <c r="O9" s="33"/>
      <c r="P9" s="33"/>
      <c r="R9" s="32"/>
    </row>
    <row r="10" spans="1:18">
      <c r="A10" s="6" t="s">
        <v>40</v>
      </c>
      <c r="B10" s="37">
        <f t="shared" si="0"/>
        <v>10525.541999999999</v>
      </c>
      <c r="C10" s="33"/>
      <c r="D10" s="37">
        <f>IF( ISERROR(IND_voed_gas_kWh/1000),0,IND_voed_gas_kWh/1000)*0.902</f>
        <v>1968.5159792566708</v>
      </c>
      <c r="E10" s="33">
        <f>C32*'E Balans VL '!I20/100/3.6*1000000</f>
        <v>107.30210213582548</v>
      </c>
      <c r="F10" s="33">
        <f>C32*'E Balans VL '!L20/100/3.6*1000000+C32*'E Balans VL '!N20/100/3.6*1000000</f>
        <v>19882.683007089512</v>
      </c>
      <c r="G10" s="34"/>
      <c r="H10" s="33"/>
      <c r="I10" s="33"/>
      <c r="J10" s="40">
        <f>C32*'E Balans VL '!D20/100/3.6*1000000+C32*'E Balans VL '!E20/100/3.6*1000000</f>
        <v>251.91065978934631</v>
      </c>
      <c r="K10" s="33"/>
      <c r="L10" s="33"/>
      <c r="M10" s="33"/>
      <c r="N10" s="33">
        <f>C32*'E Balans VL '!Y20/100/3.6*1000000</f>
        <v>5548.1730277703518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1059.1099999999999</v>
      </c>
      <c r="C12" s="33"/>
      <c r="D12" s="37">
        <f>IF( ISERROR(IND_min_gas_kWh/1000),0,IND_min_gas_kWh/1000)*0.902</f>
        <v>0</v>
      </c>
      <c r="E12" s="33">
        <f>C34*'E Balans VL '!I22/100/3.6*1000000</f>
        <v>3.2075650984852677</v>
      </c>
      <c r="F12" s="33">
        <f>C34*'E Balans VL '!L22/100/3.6*1000000+C34*'E Balans VL '!N22/100/3.6*1000000</f>
        <v>33.098098055106163</v>
      </c>
      <c r="G12" s="34"/>
      <c r="H12" s="33"/>
      <c r="I12" s="33"/>
      <c r="J12" s="40">
        <f>C34*'E Balans VL '!D22/100/3.6*1000000+C34*'E Balans VL '!E22/100/3.6*1000000</f>
        <v>1.5704250196950063</v>
      </c>
      <c r="K12" s="33"/>
      <c r="L12" s="33"/>
      <c r="M12" s="33"/>
      <c r="N12" s="33">
        <f>C34*'E Balans VL '!Y22/100/3.6*1000000</f>
        <v>0</v>
      </c>
      <c r="O12" s="33"/>
      <c r="P12" s="33"/>
      <c r="R12" s="32"/>
    </row>
    <row r="13" spans="1:18">
      <c r="A13" s="6" t="s">
        <v>38</v>
      </c>
      <c r="B13" s="37">
        <f t="shared" si="0"/>
        <v>38.970510000000004</v>
      </c>
      <c r="C13" s="33"/>
      <c r="D13" s="37">
        <f>IF( ISERROR(IND_papier_gas_kWh/1000),0,IND_papier_gas_kWh/1000)*0.902</f>
        <v>58.457041992202193</v>
      </c>
      <c r="E13" s="33">
        <f>C35*'E Balans VL '!I23/100/3.6*1000000</f>
        <v>8.0710556656084967E-2</v>
      </c>
      <c r="F13" s="33">
        <f>C35*'E Balans VL '!L23/100/3.6*1000000+C35*'E Balans VL '!N23/100/3.6*1000000</f>
        <v>0.77286875943312794</v>
      </c>
      <c r="G13" s="34"/>
      <c r="H13" s="33"/>
      <c r="I13" s="33"/>
      <c r="J13" s="40">
        <f>C35*'E Balans VL '!D23/100/3.6*1000000+C35*'E Balans VL '!E23/100/3.6*1000000</f>
        <v>0</v>
      </c>
      <c r="K13" s="33"/>
      <c r="L13" s="33"/>
      <c r="M13" s="33"/>
      <c r="N13" s="33">
        <f>C35*'E Balans VL '!Y23/100/3.6*1000000</f>
        <v>2.7028018467693631</v>
      </c>
      <c r="O13" s="33"/>
      <c r="P13" s="33"/>
      <c r="R13" s="32"/>
    </row>
    <row r="14" spans="1:18">
      <c r="A14" s="6" t="s">
        <v>33</v>
      </c>
      <c r="B14" s="37">
        <f t="shared" si="0"/>
        <v>884.08040000000005</v>
      </c>
      <c r="C14" s="33"/>
      <c r="D14" s="37">
        <f>IF( ISERROR(IND_chemie_gas_kWh/1000),0,IND_chemie_gas_kWh/1000)*0.902</f>
        <v>0</v>
      </c>
      <c r="E14" s="33">
        <f>C36*'E Balans VL '!I24/100/3.6*1000000</f>
        <v>3.3145627122126848</v>
      </c>
      <c r="F14" s="33">
        <f>C36*'E Balans VL '!L24/100/3.6*1000000+C36*'E Balans VL '!N24/100/3.6*1000000</f>
        <v>10.285349395727549</v>
      </c>
      <c r="G14" s="34"/>
      <c r="H14" s="33"/>
      <c r="I14" s="33"/>
      <c r="J14" s="40">
        <f>C36*'E Balans VL '!D24/100/3.6*1000000+C36*'E Balans VL '!E24/100/3.6*1000000</f>
        <v>0</v>
      </c>
      <c r="K14" s="33"/>
      <c r="L14" s="33"/>
      <c r="M14" s="33"/>
      <c r="N14" s="33">
        <f>C36*'E Balans VL '!Y24/100/3.6*1000000</f>
        <v>15.10408934657065</v>
      </c>
      <c r="O14" s="33"/>
      <c r="P14" s="33"/>
      <c r="R14" s="32"/>
    </row>
    <row r="15" spans="1:18">
      <c r="A15" s="6" t="s">
        <v>269</v>
      </c>
      <c r="B15" s="37">
        <f t="shared" si="0"/>
        <v>32278.536</v>
      </c>
      <c r="C15" s="33"/>
      <c r="D15" s="37">
        <f>IF( ISERROR(IND_rest_gas_kWh/1000),0,IND_rest_gas_kWh/1000)*0.902</f>
        <v>37008.744821345172</v>
      </c>
      <c r="E15" s="33">
        <f>C37*'E Balans VL '!I15/100/3.6*1000000</f>
        <v>1642.1095238184346</v>
      </c>
      <c r="F15" s="33">
        <f>C37*'E Balans VL '!L15/100/3.6*1000000+C37*'E Balans VL '!N15/100/3.6*1000000</f>
        <v>7357.4928089810428</v>
      </c>
      <c r="G15" s="34"/>
      <c r="H15" s="33"/>
      <c r="I15" s="33"/>
      <c r="J15" s="40">
        <f>C37*'E Balans VL '!D15/100/3.6*1000000+C37*'E Balans VL '!E15/100/3.6*1000000</f>
        <v>135.41912208489416</v>
      </c>
      <c r="K15" s="33"/>
      <c r="L15" s="33"/>
      <c r="M15" s="33"/>
      <c r="N15" s="33">
        <f>C37*'E Balans VL '!Y15/100/3.6*1000000</f>
        <v>1758.4377047406547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57301.423909999998</v>
      </c>
      <c r="C18" s="21">
        <f>C5+C16</f>
        <v>0</v>
      </c>
      <c r="D18" s="21">
        <f>MAX((D5+D16),0)</f>
        <v>41478.902748886598</v>
      </c>
      <c r="E18" s="21">
        <f>MAX((E5+E16),0)</f>
        <v>3737.5038349047118</v>
      </c>
      <c r="F18" s="21">
        <f>MAX((F5+F16),0)</f>
        <v>34375.696339882503</v>
      </c>
      <c r="G18" s="21"/>
      <c r="H18" s="21"/>
      <c r="I18" s="21"/>
      <c r="J18" s="21">
        <f>MAX((J5+J16),0)</f>
        <v>388.90020689393543</v>
      </c>
      <c r="K18" s="21"/>
      <c r="L18" s="21">
        <f>MAX((L5+L16),0)</f>
        <v>0</v>
      </c>
      <c r="M18" s="21"/>
      <c r="N18" s="21">
        <f>MAX((N5+N16),0)</f>
        <v>8008.8757215609003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0.14922710204552569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8550.9254331714965</v>
      </c>
      <c r="C22" s="23">
        <f ca="1">C18*C20</f>
        <v>0</v>
      </c>
      <c r="D22" s="23">
        <f>D18*D20</f>
        <v>8378.7383552750925</v>
      </c>
      <c r="E22" s="23">
        <f>E18*E20</f>
        <v>848.41337052336962</v>
      </c>
      <c r="F22" s="23">
        <f>F18*F20</f>
        <v>9178.3109227486293</v>
      </c>
      <c r="G22" s="23"/>
      <c r="H22" s="23"/>
      <c r="I22" s="23"/>
      <c r="J22" s="23">
        <f>J18*J20</f>
        <v>137.67067324045314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5840.27</v>
      </c>
      <c r="C30" s="39">
        <f>IF(ISERROR(B30*3.6/1000000/'E Balans VL '!Z18*100),0,B30*3.6/1000000/'E Balans VL '!Z18*100)</f>
        <v>0.81744317085212259</v>
      </c>
      <c r="D30" s="237" t="s">
        <v>691</v>
      </c>
    </row>
    <row r="31" spans="1:18">
      <c r="A31" s="6" t="s">
        <v>32</v>
      </c>
      <c r="B31" s="37">
        <f>IF( ISERROR(IND_ander_ele_kWh/1000),0,IND_ander_ele_kWh/1000)</f>
        <v>6674.915</v>
      </c>
      <c r="C31" s="39">
        <f>IF(ISERROR(B31*3.6/1000000/'E Balans VL '!Z19*100),0,B31*3.6/1000000/'E Balans VL '!Z19*100)</f>
        <v>0.29215994672494533</v>
      </c>
      <c r="D31" s="237" t="s">
        <v>691</v>
      </c>
    </row>
    <row r="32" spans="1:18">
      <c r="A32" s="171" t="s">
        <v>40</v>
      </c>
      <c r="B32" s="37">
        <f>IF( ISERROR(IND_voed_ele_kWh/1000),0,IND_voed_ele_kWh/1000)</f>
        <v>10525.541999999999</v>
      </c>
      <c r="C32" s="39">
        <f>IF(ISERROR(B32*3.6/1000000/'E Balans VL '!Z20*100),0,B32*3.6/1000000/'E Balans VL '!Z20*100)</f>
        <v>2.6057746631912111</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1059.1099999999999</v>
      </c>
      <c r="C34" s="39">
        <f>IF(ISERROR(B34*3.6/1000000/'E Balans VL '!Z22*100),0,B34*3.6/1000000/'E Balans VL '!Z22*100)</f>
        <v>3.0053220863426378E-2</v>
      </c>
      <c r="D34" s="237" t="s">
        <v>691</v>
      </c>
    </row>
    <row r="35" spans="1:5">
      <c r="A35" s="171" t="s">
        <v>38</v>
      </c>
      <c r="B35" s="37">
        <f>IF( ISERROR(IND_papier_ele_kWh/1000),0,IND_papier_ele_kWh/1000)</f>
        <v>38.970510000000004</v>
      </c>
      <c r="C35" s="39">
        <f>IF(ISERROR(B35*3.6/1000000/'E Balans VL '!Z22*100),0,B35*3.6/1000000/'E Balans VL '!Z22*100)</f>
        <v>1.105824082664092E-3</v>
      </c>
      <c r="D35" s="237" t="s">
        <v>691</v>
      </c>
    </row>
    <row r="36" spans="1:5">
      <c r="A36" s="171" t="s">
        <v>33</v>
      </c>
      <c r="B36" s="37">
        <f>IF( ISERROR(IND_chemie_ele_kWh/1000),0,IND_chemie_ele_kWh/1000)</f>
        <v>884.08040000000005</v>
      </c>
      <c r="C36" s="39">
        <f>IF(ISERROR(B36*3.6/1000000/'E Balans VL '!Z24*100),0,B36*3.6/1000000/'E Balans VL '!Z24*100)</f>
        <v>2.2542700795446159E-2</v>
      </c>
      <c r="D36" s="237" t="s">
        <v>691</v>
      </c>
    </row>
    <row r="37" spans="1:5">
      <c r="A37" s="171" t="s">
        <v>269</v>
      </c>
      <c r="B37" s="37">
        <f>IF( ISERROR(IND_rest_ele_kWh/1000),0,IND_rest_ele_kWh/1000)</f>
        <v>32278.536</v>
      </c>
      <c r="C37" s="39">
        <f>IF(ISERROR(B37*3.6/1000000/'E Balans VL '!Z15*100),0,B37*3.6/1000000/'E Balans VL '!Z15*100)</f>
        <v>0.23933981812078262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1360.0417</v>
      </c>
      <c r="C5" s="17">
        <f>'Eigen informatie GS &amp; warmtenet'!B60</f>
        <v>0</v>
      </c>
      <c r="D5" s="30">
        <f>IF(ISERROR(SUM(LB_lb_gas_kWh,LB_rest_gas_kWh)/1000),0,SUM(LB_lb_gas_kWh,LB_rest_gas_kWh)/1000)*0.902</f>
        <v>4171.0217292840325</v>
      </c>
      <c r="E5" s="17">
        <f>B17*'E Balans VL '!I25/3.6*1000000/100</f>
        <v>12.597275863226166</v>
      </c>
      <c r="F5" s="17">
        <f>B17*('E Balans VL '!L25/3.6*1000000+'E Balans VL '!N25/3.6*1000000)/100</f>
        <v>3450.6848805779696</v>
      </c>
      <c r="G5" s="18"/>
      <c r="H5" s="17"/>
      <c r="I5" s="17"/>
      <c r="J5" s="17">
        <f>('E Balans VL '!D25+'E Balans VL '!E25)/3.6*1000000*landbouw!B17/100</f>
        <v>208.50957071967082</v>
      </c>
      <c r="K5" s="17"/>
      <c r="L5" s="17">
        <f>L6*(-1)</f>
        <v>0</v>
      </c>
      <c r="M5" s="17"/>
      <c r="N5" s="17">
        <f>N6*(-1)</f>
        <v>49551.428571428572</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1360.0417</v>
      </c>
      <c r="C8" s="21">
        <f>C5+C6</f>
        <v>0</v>
      </c>
      <c r="D8" s="21">
        <f>MAX((D5+D6),0)</f>
        <v>4171.0217292840325</v>
      </c>
      <c r="E8" s="21">
        <f>MAX((E5+E6),0)</f>
        <v>12.597275863226166</v>
      </c>
      <c r="F8" s="21">
        <f>MAX((F5+F6),0)</f>
        <v>3450.6848805779696</v>
      </c>
      <c r="G8" s="21"/>
      <c r="H8" s="21"/>
      <c r="I8" s="21"/>
      <c r="J8" s="21">
        <f>MAX((J5+J6),0)</f>
        <v>208.50957071967082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0.14922710204552569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202.95508155207025</v>
      </c>
      <c r="C12" s="23">
        <f ca="1">C8*C10</f>
        <v>0</v>
      </c>
      <c r="D12" s="23">
        <f>D8*D10</f>
        <v>842.54638931537465</v>
      </c>
      <c r="E12" s="23">
        <f>E8*E10</f>
        <v>2.8595816209523397</v>
      </c>
      <c r="F12" s="23">
        <f>F8*F10</f>
        <v>921.33286311431789</v>
      </c>
      <c r="G12" s="23"/>
      <c r="H12" s="23"/>
      <c r="I12" s="23"/>
      <c r="J12" s="23">
        <f>J8*J10</f>
        <v>73.812388034763472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0.19336909187136125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504.41718084650557</v>
      </c>
      <c r="C26" s="247">
        <f>B26*'GWP N2O_CH4'!B5</f>
        <v>10592.760797776617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141.86992340803579</v>
      </c>
      <c r="C27" s="247">
        <f>B27*'GWP N2O_CH4'!B5</f>
        <v>2979.2683915687517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6.8989101034987046</v>
      </c>
      <c r="C28" s="247">
        <f>B28*'GWP N2O_CH4'!B4</f>
        <v>2138.6621320845984</v>
      </c>
      <c r="D28" s="50"/>
    </row>
    <row r="29" spans="1:4">
      <c r="A29" s="41" t="s">
        <v>276</v>
      </c>
      <c r="B29" s="247">
        <f>B34*'ha_N2O bodem landbouw'!B4</f>
        <v>15.788192347000667</v>
      </c>
      <c r="C29" s="247">
        <f>B29*'GWP N2O_CH4'!B4</f>
        <v>4894.3396275702071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3.5410133979475486E-3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4.29671686982693E-5</v>
      </c>
      <c r="C5" s="438" t="s">
        <v>210</v>
      </c>
      <c r="D5" s="423">
        <f>SUM(D6:D11)</f>
        <v>8.0458112801048593E-5</v>
      </c>
      <c r="E5" s="423">
        <f>SUM(E6:E11)</f>
        <v>7.8134438068693792E-4</v>
      </c>
      <c r="F5" s="436" t="s">
        <v>210</v>
      </c>
      <c r="G5" s="423">
        <f>SUM(G6:G11)</f>
        <v>0.26953026681434328</v>
      </c>
      <c r="H5" s="423">
        <f>SUM(H6:H11)</f>
        <v>4.9102432831795197E-2</v>
      </c>
      <c r="I5" s="438" t="s">
        <v>210</v>
      </c>
      <c r="J5" s="438" t="s">
        <v>210</v>
      </c>
      <c r="K5" s="438" t="s">
        <v>210</v>
      </c>
      <c r="L5" s="438" t="s">
        <v>210</v>
      </c>
      <c r="M5" s="423">
        <f>SUM(M6:M11)</f>
        <v>1.7124361968919394E-2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3.6499695910389248E-5</v>
      </c>
      <c r="C6" s="424"/>
      <c r="D6" s="866">
        <f>vkm_GW_PW*SUMIFS(TableVerdeelsleutelVkm[CNG],TableVerdeelsleutelVkm[Voertuigtype],"Lichte voertuigen")*SUMIFS(TableECFTransport[EnergieConsumptieFactor (PJ per km)],TableECFTransport[Index],CONCATENATE($A6,"_CNG_CNG"))</f>
        <v>6.3691403156402357E-5</v>
      </c>
      <c r="E6" s="866">
        <f>vkm_GW_PW*SUMIFS(TableVerdeelsleutelVkm[LPG],TableVerdeelsleutelVkm[Voertuigtype],"Lichte voertuigen")*SUMIFS(TableECFTransport[EnergieConsumptieFactor (PJ per km)],TableECFTransport[Index],CONCATENATE($A6,"_LPG_LPG"))</f>
        <v>6.1688254849499868E-4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0.14497801355301931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3.9004248259080679E-2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9.5951538191645751E-3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7.5057657205877454E-2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1.4556065519685782E-6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4.3516732775613475E-3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4.3723995875519497E-6</v>
      </c>
      <c r="C8" s="424"/>
      <c r="D8" s="426">
        <f>vkm_NGW_PW*SUMIFS(TableVerdeelsleutelVkm[CNG],TableVerdeelsleutelVkm[Voertuigtype],"Lichte voertuigen")*SUMIFS(TableECFTransport[EnergieConsumptieFactor (PJ per km)],TableECFTransport[Index],CONCATENATE($A8,"_CNG_CNG"))</f>
        <v>1.3064955499160679E-5</v>
      </c>
      <c r="E8" s="426">
        <f>vkm_NGW_PW*SUMIFS(TableVerdeelsleutelVkm[LPG],TableVerdeelsleutelVkm[Voertuigtype],"Lichte voertuigen")*SUMIFS(TableECFTransport[EnergieConsumptieFactor (PJ per km)],TableECFTransport[Index],CONCATENATE($A8,"_LPG_LPG"))</f>
        <v>1.1975215430864669E-4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2.6417541250665918E-2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7.7252127666465574E-3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1.7672549705659377E-3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2.2775628399712656E-3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5.4711127223166007E-8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1.3204826600173573E-4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2.0950732003280997E-6</v>
      </c>
      <c r="C10" s="424"/>
      <c r="D10" s="426">
        <f>vkm_SW_PW*SUMIFS(TableVerdeelsleutelVkm[CNG],TableVerdeelsleutelVkm[Voertuigtype],"Lichte voertuigen")*SUMIFS(TableECFTransport[EnergieConsumptieFactor (PJ per km)],TableECFTransport[Index],CONCATENATE($A10,"_CNG_CNG"))</f>
        <v>3.7017541454855539E-6</v>
      </c>
      <c r="E10" s="426">
        <f>vkm_SW_PW*SUMIFS(TableVerdeelsleutelVkm[LPG],TableVerdeelsleutelVkm[Voertuigtype],"Lichte voertuigen")*SUMIFS(TableECFTransport[EnergieConsumptieFactor (PJ per km)],TableECFTransport[Index],CONCATENATE($A10,"_LPG_LPG"))</f>
        <v>4.4709677883292592E-5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9.4480975600244373E-3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2.3712275836850934E-3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6.2010303092279416E-4</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1.1351394404784897E-2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2.3390470368301376E-7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6.5812860470300307E-4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11.935324638408138</v>
      </c>
      <c r="C14" s="21"/>
      <c r="D14" s="21">
        <f t="shared" ref="D14:M14" si="0">((D5)*10^9/3600)+D12</f>
        <v>22.349475778069056</v>
      </c>
      <c r="E14" s="21">
        <f t="shared" si="0"/>
        <v>217.04010574637167</v>
      </c>
      <c r="F14" s="21"/>
      <c r="G14" s="21">
        <f t="shared" si="0"/>
        <v>74869.518559539792</v>
      </c>
      <c r="H14" s="21">
        <f t="shared" si="0"/>
        <v>13639.564675498665</v>
      </c>
      <c r="I14" s="21"/>
      <c r="J14" s="21"/>
      <c r="K14" s="21"/>
      <c r="L14" s="21"/>
      <c r="M14" s="21">
        <f t="shared" si="0"/>
        <v>4756.7672135887206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0.14922710204552569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1.7810739077622084</v>
      </c>
      <c r="C18" s="23"/>
      <c r="D18" s="23">
        <f t="shared" ref="D18:M18" si="1">D14*D16</f>
        <v>4.51459410716995</v>
      </c>
      <c r="E18" s="23">
        <f t="shared" si="1"/>
        <v>49.26810400442637</v>
      </c>
      <c r="F18" s="23"/>
      <c r="G18" s="23">
        <f t="shared" si="1"/>
        <v>19990.161455397127</v>
      </c>
      <c r="H18" s="23">
        <f t="shared" si="1"/>
        <v>3396.2516041991676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1.0010163214554241E-2</v>
      </c>
      <c r="H50" s="319">
        <f t="shared" si="2"/>
        <v>0</v>
      </c>
      <c r="I50" s="319">
        <f t="shared" si="2"/>
        <v>0</v>
      </c>
      <c r="J50" s="319">
        <f t="shared" si="2"/>
        <v>0</v>
      </c>
      <c r="K50" s="319">
        <f t="shared" si="2"/>
        <v>0</v>
      </c>
      <c r="L50" s="319">
        <f t="shared" si="2"/>
        <v>0</v>
      </c>
      <c r="M50" s="319">
        <f t="shared" si="2"/>
        <v>5.7215046133117075E-4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1.0010163214554241E-2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5.7215046133117075E-4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2780.6008929317336</v>
      </c>
      <c r="H54" s="21">
        <f t="shared" si="3"/>
        <v>0</v>
      </c>
      <c r="I54" s="21">
        <f t="shared" si="3"/>
        <v>0</v>
      </c>
      <c r="J54" s="21">
        <f t="shared" si="3"/>
        <v>0</v>
      </c>
      <c r="K54" s="21">
        <f t="shared" si="3"/>
        <v>0</v>
      </c>
      <c r="L54" s="21">
        <f t="shared" si="3"/>
        <v>0</v>
      </c>
      <c r="M54" s="21">
        <f t="shared" si="3"/>
        <v>158.930683703103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0.14922710204552569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742.42043841277291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38502.593000000001</v>
      </c>
      <c r="D10" s="991">
        <f ca="1">tertiair!C16</f>
        <v>22802.142857142859</v>
      </c>
      <c r="E10" s="991">
        <f ca="1">tertiair!D16</f>
        <v>34835.175505367893</v>
      </c>
      <c r="F10" s="991">
        <f>tertiair!E16</f>
        <v>246.10624417320008</v>
      </c>
      <c r="G10" s="991">
        <f ca="1">tertiair!F16</f>
        <v>3512.1588118628911</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4.6900000000000004</v>
      </c>
      <c r="Q10" s="992">
        <f>tertiair!P16</f>
        <v>76.266666666666666</v>
      </c>
      <c r="R10" s="675">
        <f ca="1">SUM(C10:Q10)</f>
        <v>99979.133085213514</v>
      </c>
      <c r="S10" s="67"/>
    </row>
    <row r="11" spans="1:19" s="448" customFormat="1">
      <c r="A11" s="784" t="s">
        <v>224</v>
      </c>
      <c r="B11" s="789"/>
      <c r="C11" s="991">
        <f>huishoudens!B8</f>
        <v>28341.635508728021</v>
      </c>
      <c r="D11" s="991">
        <f>huishoudens!C8</f>
        <v>0</v>
      </c>
      <c r="E11" s="991">
        <f>huishoudens!D8</f>
        <v>67108.73925043513</v>
      </c>
      <c r="F11" s="991">
        <f>huishoudens!E8</f>
        <v>9894.8637861259467</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14653.08602591138</v>
      </c>
      <c r="P11" s="991">
        <f>huishoudens!O8</f>
        <v>164.15</v>
      </c>
      <c r="Q11" s="992">
        <f>huishoudens!P8</f>
        <v>629.20000000000005</v>
      </c>
      <c r="R11" s="675">
        <f>SUM(C11:Q11)</f>
        <v>120791.67457120048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57301.423909999998</v>
      </c>
      <c r="D13" s="991">
        <f>industrie!C18</f>
        <v>0</v>
      </c>
      <c r="E13" s="991">
        <f>industrie!D18</f>
        <v>41478.902748886598</v>
      </c>
      <c r="F13" s="991">
        <f>industrie!E18</f>
        <v>3737.5038349047118</v>
      </c>
      <c r="G13" s="991">
        <f>industrie!F18</f>
        <v>34375.696339882503</v>
      </c>
      <c r="H13" s="991">
        <f>industrie!G18</f>
        <v>0</v>
      </c>
      <c r="I13" s="991">
        <f>industrie!H18</f>
        <v>0</v>
      </c>
      <c r="J13" s="991">
        <f>industrie!I18</f>
        <v>0</v>
      </c>
      <c r="K13" s="991">
        <f>industrie!J18</f>
        <v>388.90020689393543</v>
      </c>
      <c r="L13" s="991">
        <f>industrie!K18</f>
        <v>0</v>
      </c>
      <c r="M13" s="991">
        <f>industrie!L18</f>
        <v>0</v>
      </c>
      <c r="N13" s="991">
        <f>industrie!M18</f>
        <v>0</v>
      </c>
      <c r="O13" s="991">
        <f>industrie!N18</f>
        <v>8008.8757215609003</v>
      </c>
      <c r="P13" s="991">
        <f>industrie!O18</f>
        <v>0</v>
      </c>
      <c r="Q13" s="992">
        <f>industrie!P18</f>
        <v>0</v>
      </c>
      <c r="R13" s="675">
        <f>SUM(C13:Q13)</f>
        <v>145291.30276212867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124145.65241872802</v>
      </c>
      <c r="D16" s="707">
        <f t="shared" ref="D16:R16" ca="1" si="0">SUM(D9:D15)</f>
        <v>22802.142857142859</v>
      </c>
      <c r="E16" s="707">
        <f t="shared" ca="1" si="0"/>
        <v>143422.81750468962</v>
      </c>
      <c r="F16" s="707">
        <f t="shared" si="0"/>
        <v>13878.473865203858</v>
      </c>
      <c r="G16" s="707">
        <f t="shared" ca="1" si="0"/>
        <v>37887.855151745396</v>
      </c>
      <c r="H16" s="707">
        <f t="shared" si="0"/>
        <v>0</v>
      </c>
      <c r="I16" s="707">
        <f t="shared" si="0"/>
        <v>0</v>
      </c>
      <c r="J16" s="707">
        <f t="shared" si="0"/>
        <v>0</v>
      </c>
      <c r="K16" s="707">
        <f t="shared" si="0"/>
        <v>388.90020689393543</v>
      </c>
      <c r="L16" s="707">
        <f t="shared" si="0"/>
        <v>0</v>
      </c>
      <c r="M16" s="707">
        <f t="shared" ca="1" si="0"/>
        <v>0</v>
      </c>
      <c r="N16" s="707">
        <f t="shared" si="0"/>
        <v>0</v>
      </c>
      <c r="O16" s="707">
        <f t="shared" ca="1" si="0"/>
        <v>22661.96174747228</v>
      </c>
      <c r="P16" s="707">
        <f t="shared" si="0"/>
        <v>168.84</v>
      </c>
      <c r="Q16" s="707">
        <f t="shared" si="0"/>
        <v>705.4666666666667</v>
      </c>
      <c r="R16" s="707">
        <f t="shared" ca="1" si="0"/>
        <v>366062.11041854264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2780.6008929317336</v>
      </c>
      <c r="I19" s="991">
        <f>transport!H54</f>
        <v>0</v>
      </c>
      <c r="J19" s="991">
        <f>transport!I54</f>
        <v>0</v>
      </c>
      <c r="K19" s="991">
        <f>transport!J54</f>
        <v>0</v>
      </c>
      <c r="L19" s="991">
        <f>transport!K54</f>
        <v>0</v>
      </c>
      <c r="M19" s="991">
        <f>transport!L54</f>
        <v>0</v>
      </c>
      <c r="N19" s="991">
        <f>transport!M54</f>
        <v>158.930683703103</v>
      </c>
      <c r="O19" s="991">
        <f>transport!N54</f>
        <v>0</v>
      </c>
      <c r="P19" s="991">
        <f>transport!O54</f>
        <v>0</v>
      </c>
      <c r="Q19" s="992">
        <f>transport!P54</f>
        <v>0</v>
      </c>
      <c r="R19" s="675">
        <f>SUM(C19:Q19)</f>
        <v>2939.5315766348367</v>
      </c>
      <c r="S19" s="67"/>
    </row>
    <row r="20" spans="1:19" s="448" customFormat="1">
      <c r="A20" s="784" t="s">
        <v>306</v>
      </c>
      <c r="B20" s="789"/>
      <c r="C20" s="991">
        <f>transport!B14</f>
        <v>11.935324638408138</v>
      </c>
      <c r="D20" s="991">
        <f>transport!C14</f>
        <v>0</v>
      </c>
      <c r="E20" s="991">
        <f>transport!D14</f>
        <v>22.349475778069056</v>
      </c>
      <c r="F20" s="991">
        <f>transport!E14</f>
        <v>217.04010574637167</v>
      </c>
      <c r="G20" s="991">
        <f>transport!F14</f>
        <v>0</v>
      </c>
      <c r="H20" s="991">
        <f>transport!G14</f>
        <v>74869.518559539792</v>
      </c>
      <c r="I20" s="991">
        <f>transport!H14</f>
        <v>13639.564675498665</v>
      </c>
      <c r="J20" s="991">
        <f>transport!I14</f>
        <v>0</v>
      </c>
      <c r="K20" s="991">
        <f>transport!J14</f>
        <v>0</v>
      </c>
      <c r="L20" s="991">
        <f>transport!K14</f>
        <v>0</v>
      </c>
      <c r="M20" s="991">
        <f>transport!L14</f>
        <v>0</v>
      </c>
      <c r="N20" s="991">
        <f>transport!M14</f>
        <v>4756.7672135887206</v>
      </c>
      <c r="O20" s="991">
        <f>transport!N14</f>
        <v>0</v>
      </c>
      <c r="P20" s="991">
        <f>transport!O14</f>
        <v>0</v>
      </c>
      <c r="Q20" s="992">
        <f>transport!P14</f>
        <v>0</v>
      </c>
      <c r="R20" s="675">
        <f>SUM(C20:Q20)</f>
        <v>93517.17535479003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11.935324638408138</v>
      </c>
      <c r="D22" s="787">
        <f t="shared" ref="D22:R22" si="1">SUM(D18:D21)</f>
        <v>0</v>
      </c>
      <c r="E22" s="787">
        <f t="shared" si="1"/>
        <v>22.349475778069056</v>
      </c>
      <c r="F22" s="787">
        <f t="shared" si="1"/>
        <v>217.04010574637167</v>
      </c>
      <c r="G22" s="787">
        <f t="shared" si="1"/>
        <v>0</v>
      </c>
      <c r="H22" s="787">
        <f t="shared" si="1"/>
        <v>77650.119452471525</v>
      </c>
      <c r="I22" s="787">
        <f t="shared" si="1"/>
        <v>13639.564675498665</v>
      </c>
      <c r="J22" s="787">
        <f t="shared" si="1"/>
        <v>0</v>
      </c>
      <c r="K22" s="787">
        <f t="shared" si="1"/>
        <v>0</v>
      </c>
      <c r="L22" s="787">
        <f t="shared" si="1"/>
        <v>0</v>
      </c>
      <c r="M22" s="787">
        <f t="shared" si="1"/>
        <v>0</v>
      </c>
      <c r="N22" s="787">
        <f t="shared" si="1"/>
        <v>4915.6978972918232</v>
      </c>
      <c r="O22" s="787">
        <f t="shared" si="1"/>
        <v>0</v>
      </c>
      <c r="P22" s="787">
        <f t="shared" si="1"/>
        <v>0</v>
      </c>
      <c r="Q22" s="787">
        <f t="shared" si="1"/>
        <v>0</v>
      </c>
      <c r="R22" s="787">
        <f t="shared" si="1"/>
        <v>96456.706931424866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1360.0417</v>
      </c>
      <c r="D24" s="991">
        <f>+landbouw!C8</f>
        <v>0</v>
      </c>
      <c r="E24" s="991">
        <f>+landbouw!D8</f>
        <v>4171.0217292840325</v>
      </c>
      <c r="F24" s="991">
        <f>+landbouw!E8</f>
        <v>12.597275863226166</v>
      </c>
      <c r="G24" s="991">
        <f>+landbouw!F8</f>
        <v>3450.6848805779696</v>
      </c>
      <c r="H24" s="991">
        <f>+landbouw!G8</f>
        <v>0</v>
      </c>
      <c r="I24" s="991">
        <f>+landbouw!H8</f>
        <v>0</v>
      </c>
      <c r="J24" s="991">
        <f>+landbouw!I8</f>
        <v>0</v>
      </c>
      <c r="K24" s="991">
        <f>+landbouw!J8</f>
        <v>208.50957071967082</v>
      </c>
      <c r="L24" s="991">
        <f>+landbouw!K8</f>
        <v>0</v>
      </c>
      <c r="M24" s="991">
        <f>+landbouw!L8</f>
        <v>0</v>
      </c>
      <c r="N24" s="991">
        <f>+landbouw!M8</f>
        <v>0</v>
      </c>
      <c r="O24" s="991">
        <f>+landbouw!N8</f>
        <v>0</v>
      </c>
      <c r="P24" s="991">
        <f>+landbouw!O8</f>
        <v>0</v>
      </c>
      <c r="Q24" s="992">
        <f>+landbouw!P8</f>
        <v>0</v>
      </c>
      <c r="R24" s="675">
        <f>SUM(C24:Q24)</f>
        <v>9202.855156444899</v>
      </c>
      <c r="S24" s="67"/>
    </row>
    <row r="25" spans="1:19" s="448" customFormat="1" ht="15" thickBot="1">
      <c r="A25" s="806" t="s">
        <v>849</v>
      </c>
      <c r="B25" s="994"/>
      <c r="C25" s="995">
        <f>IF(Onbekend_ele_kWh="---",0,Onbekend_ele_kWh)/1000+IF(REST_rest_ele_kWh="---",0,REST_rest_ele_kWh)/1000</f>
        <v>776.97339999999997</v>
      </c>
      <c r="D25" s="995"/>
      <c r="E25" s="995">
        <f>IF(onbekend_gas_kWh="---",0,onbekend_gas_kWh)/1000+IF(REST_rest_gas_kWh="---",0,REST_rest_gas_kWh)/1000</f>
        <v>3016.9411712799397</v>
      </c>
      <c r="F25" s="995"/>
      <c r="G25" s="995"/>
      <c r="H25" s="995"/>
      <c r="I25" s="995"/>
      <c r="J25" s="995"/>
      <c r="K25" s="995"/>
      <c r="L25" s="995"/>
      <c r="M25" s="995"/>
      <c r="N25" s="995"/>
      <c r="O25" s="995"/>
      <c r="P25" s="995"/>
      <c r="Q25" s="996"/>
      <c r="R25" s="675">
        <f>SUM(C25:Q25)</f>
        <v>3793.9145712799395</v>
      </c>
      <c r="S25" s="67"/>
    </row>
    <row r="26" spans="1:19" s="448" customFormat="1" ht="15.75" thickBot="1">
      <c r="A26" s="680" t="s">
        <v>850</v>
      </c>
      <c r="B26" s="792"/>
      <c r="C26" s="787">
        <f>SUM(C24:C25)</f>
        <v>2137.0151000000001</v>
      </c>
      <c r="D26" s="787">
        <f t="shared" ref="D26:R26" si="2">SUM(D24:D25)</f>
        <v>0</v>
      </c>
      <c r="E26" s="787">
        <f t="shared" si="2"/>
        <v>7187.9629005639727</v>
      </c>
      <c r="F26" s="787">
        <f t="shared" si="2"/>
        <v>12.597275863226166</v>
      </c>
      <c r="G26" s="787">
        <f t="shared" si="2"/>
        <v>3450.6848805779696</v>
      </c>
      <c r="H26" s="787">
        <f t="shared" si="2"/>
        <v>0</v>
      </c>
      <c r="I26" s="787">
        <f t="shared" si="2"/>
        <v>0</v>
      </c>
      <c r="J26" s="787">
        <f t="shared" si="2"/>
        <v>0</v>
      </c>
      <c r="K26" s="787">
        <f t="shared" si="2"/>
        <v>208.50957071967082</v>
      </c>
      <c r="L26" s="787">
        <f t="shared" si="2"/>
        <v>0</v>
      </c>
      <c r="M26" s="787">
        <f t="shared" si="2"/>
        <v>0</v>
      </c>
      <c r="N26" s="787">
        <f t="shared" si="2"/>
        <v>0</v>
      </c>
      <c r="O26" s="787">
        <f t="shared" si="2"/>
        <v>0</v>
      </c>
      <c r="P26" s="787">
        <f t="shared" si="2"/>
        <v>0</v>
      </c>
      <c r="Q26" s="787">
        <f t="shared" si="2"/>
        <v>0</v>
      </c>
      <c r="R26" s="787">
        <f t="shared" si="2"/>
        <v>12996.769727724839</v>
      </c>
      <c r="S26" s="67"/>
    </row>
    <row r="27" spans="1:19" s="448" customFormat="1" ht="17.25" thickTop="1" thickBot="1">
      <c r="A27" s="681" t="s">
        <v>115</v>
      </c>
      <c r="B27" s="780"/>
      <c r="C27" s="682">
        <f ca="1">C22+C16+C26</f>
        <v>126294.60284336643</v>
      </c>
      <c r="D27" s="682">
        <f t="shared" ref="D27:R27" ca="1" si="3">D22+D16+D26</f>
        <v>22802.142857142859</v>
      </c>
      <c r="E27" s="682">
        <f t="shared" ca="1" si="3"/>
        <v>150633.12988103164</v>
      </c>
      <c r="F27" s="682">
        <f t="shared" si="3"/>
        <v>14108.111246813456</v>
      </c>
      <c r="G27" s="682">
        <f t="shared" ca="1" si="3"/>
        <v>41338.540032323363</v>
      </c>
      <c r="H27" s="682">
        <f t="shared" si="3"/>
        <v>77650.119452471525</v>
      </c>
      <c r="I27" s="682">
        <f t="shared" si="3"/>
        <v>13639.564675498665</v>
      </c>
      <c r="J27" s="682">
        <f t="shared" si="3"/>
        <v>0</v>
      </c>
      <c r="K27" s="682">
        <f t="shared" si="3"/>
        <v>597.40977761360625</v>
      </c>
      <c r="L27" s="682">
        <f t="shared" si="3"/>
        <v>0</v>
      </c>
      <c r="M27" s="682">
        <f t="shared" ca="1" si="3"/>
        <v>0</v>
      </c>
      <c r="N27" s="682">
        <f t="shared" si="3"/>
        <v>4915.6978972918232</v>
      </c>
      <c r="O27" s="682">
        <f t="shared" ca="1" si="3"/>
        <v>22661.96174747228</v>
      </c>
      <c r="P27" s="682">
        <f t="shared" si="3"/>
        <v>168.84</v>
      </c>
      <c r="Q27" s="682">
        <f t="shared" si="3"/>
        <v>705.4666666666667</v>
      </c>
      <c r="R27" s="682">
        <f t="shared" ca="1" si="3"/>
        <v>475515.58707769233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5745.6303746283438</v>
      </c>
      <c r="D40" s="991">
        <f ca="1">tertiair!C20</f>
        <v>0</v>
      </c>
      <c r="E40" s="991">
        <f ca="1">tertiair!D20</f>
        <v>7036.7054520843149</v>
      </c>
      <c r="F40" s="991">
        <f>tertiair!E20</f>
        <v>55.866117427316418</v>
      </c>
      <c r="G40" s="991">
        <f ca="1">tertiair!F20</f>
        <v>937.74640276739194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13775.948346907368</v>
      </c>
    </row>
    <row r="41" spans="1:18">
      <c r="A41" s="797" t="s">
        <v>224</v>
      </c>
      <c r="B41" s="804"/>
      <c r="C41" s="991">
        <f ca="1">huishoudens!B12</f>
        <v>4229.3401341980507</v>
      </c>
      <c r="D41" s="991">
        <f ca="1">huishoudens!C12</f>
        <v>0</v>
      </c>
      <c r="E41" s="991">
        <f>huishoudens!D12</f>
        <v>13555.965328587898</v>
      </c>
      <c r="F41" s="991">
        <f>huishoudens!E12</f>
        <v>2246.13407945059</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20031.439542236538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8550.9254331714965</v>
      </c>
      <c r="D43" s="991">
        <f ca="1">industrie!C22</f>
        <v>0</v>
      </c>
      <c r="E43" s="991">
        <f>industrie!D22</f>
        <v>8378.7383552750925</v>
      </c>
      <c r="F43" s="991">
        <f>industrie!E22</f>
        <v>848.41337052336962</v>
      </c>
      <c r="G43" s="991">
        <f>industrie!F22</f>
        <v>9178.3109227486293</v>
      </c>
      <c r="H43" s="991">
        <f>industrie!G22</f>
        <v>0</v>
      </c>
      <c r="I43" s="991">
        <f>industrie!H22</f>
        <v>0</v>
      </c>
      <c r="J43" s="991">
        <f>industrie!I22</f>
        <v>0</v>
      </c>
      <c r="K43" s="991">
        <f>industrie!J22</f>
        <v>137.67067324045314</v>
      </c>
      <c r="L43" s="991">
        <f>industrie!K22</f>
        <v>0</v>
      </c>
      <c r="M43" s="991">
        <f>industrie!L22</f>
        <v>0</v>
      </c>
      <c r="N43" s="991">
        <f>industrie!M22</f>
        <v>0</v>
      </c>
      <c r="O43" s="991">
        <f>industrie!N22</f>
        <v>0</v>
      </c>
      <c r="P43" s="991">
        <f>industrie!O22</f>
        <v>0</v>
      </c>
      <c r="Q43" s="749">
        <f>industrie!P22</f>
        <v>0</v>
      </c>
      <c r="R43" s="824">
        <f t="shared" ca="1" si="4"/>
        <v>27094.058754959038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18525.895941997893</v>
      </c>
      <c r="D46" s="707">
        <f t="shared" ref="D46:Q46" ca="1" si="5">SUM(D39:D45)</f>
        <v>0</v>
      </c>
      <c r="E46" s="707">
        <f t="shared" ca="1" si="5"/>
        <v>28971.409135947302</v>
      </c>
      <c r="F46" s="707">
        <f t="shared" si="5"/>
        <v>3150.4135674012759</v>
      </c>
      <c r="G46" s="707">
        <f t="shared" ca="1" si="5"/>
        <v>10116.057325516022</v>
      </c>
      <c r="H46" s="707">
        <f t="shared" si="5"/>
        <v>0</v>
      </c>
      <c r="I46" s="707">
        <f t="shared" si="5"/>
        <v>0</v>
      </c>
      <c r="J46" s="707">
        <f t="shared" si="5"/>
        <v>0</v>
      </c>
      <c r="K46" s="707">
        <f t="shared" si="5"/>
        <v>137.67067324045314</v>
      </c>
      <c r="L46" s="707">
        <f t="shared" si="5"/>
        <v>0</v>
      </c>
      <c r="M46" s="707">
        <f t="shared" ca="1" si="5"/>
        <v>0</v>
      </c>
      <c r="N46" s="707">
        <f t="shared" si="5"/>
        <v>0</v>
      </c>
      <c r="O46" s="707">
        <f t="shared" ca="1" si="5"/>
        <v>0</v>
      </c>
      <c r="P46" s="707">
        <f t="shared" si="5"/>
        <v>0</v>
      </c>
      <c r="Q46" s="707">
        <f t="shared" si="5"/>
        <v>0</v>
      </c>
      <c r="R46" s="707">
        <f ca="1">SUM(R39:R45)</f>
        <v>60901.446644102951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742.42043841277291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742.42043841277291</v>
      </c>
    </row>
    <row r="50" spans="1:18">
      <c r="A50" s="800" t="s">
        <v>306</v>
      </c>
      <c r="B50" s="810"/>
      <c r="C50" s="678">
        <f ca="1">transport!B18</f>
        <v>1.7810739077622084</v>
      </c>
      <c r="D50" s="678">
        <f>transport!C18</f>
        <v>0</v>
      </c>
      <c r="E50" s="678">
        <f>transport!D18</f>
        <v>4.51459410716995</v>
      </c>
      <c r="F50" s="678">
        <f>transport!E18</f>
        <v>49.26810400442637</v>
      </c>
      <c r="G50" s="678">
        <f>transport!F18</f>
        <v>0</v>
      </c>
      <c r="H50" s="678">
        <f>transport!G18</f>
        <v>19990.161455397127</v>
      </c>
      <c r="I50" s="678">
        <f>transport!H18</f>
        <v>3396.2516041991676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23441.976831615655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1.7810739077622084</v>
      </c>
      <c r="D52" s="707">
        <f t="shared" ref="D52:Q52" ca="1" si="6">SUM(D48:D51)</f>
        <v>0</v>
      </c>
      <c r="E52" s="707">
        <f t="shared" si="6"/>
        <v>4.51459410716995</v>
      </c>
      <c r="F52" s="707">
        <f t="shared" si="6"/>
        <v>49.26810400442637</v>
      </c>
      <c r="G52" s="707">
        <f t="shared" si="6"/>
        <v>0</v>
      </c>
      <c r="H52" s="707">
        <f t="shared" si="6"/>
        <v>20732.5818938099</v>
      </c>
      <c r="I52" s="707">
        <f t="shared" si="6"/>
        <v>3396.2516041991676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24184.397270028428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202.95508155207025</v>
      </c>
      <c r="D54" s="678">
        <f ca="1">+landbouw!C12</f>
        <v>0</v>
      </c>
      <c r="E54" s="678">
        <f>+landbouw!D12</f>
        <v>842.54638931537465</v>
      </c>
      <c r="F54" s="678">
        <f>+landbouw!E12</f>
        <v>2.8595816209523397</v>
      </c>
      <c r="G54" s="678">
        <f>+landbouw!F12</f>
        <v>921.33286311431789</v>
      </c>
      <c r="H54" s="678">
        <f>+landbouw!G12</f>
        <v>0</v>
      </c>
      <c r="I54" s="678">
        <f>+landbouw!H12</f>
        <v>0</v>
      </c>
      <c r="J54" s="678">
        <f>+landbouw!I12</f>
        <v>0</v>
      </c>
      <c r="K54" s="678">
        <f>+landbouw!J12</f>
        <v>73.812388034763472</v>
      </c>
      <c r="L54" s="678">
        <f>+landbouw!K12</f>
        <v>0</v>
      </c>
      <c r="M54" s="678">
        <f>+landbouw!L12</f>
        <v>0</v>
      </c>
      <c r="N54" s="678">
        <f>+landbouw!M12</f>
        <v>0</v>
      </c>
      <c r="O54" s="678">
        <f>+landbouw!N12</f>
        <v>0</v>
      </c>
      <c r="P54" s="678">
        <f>+landbouw!O12</f>
        <v>0</v>
      </c>
      <c r="Q54" s="679">
        <f>+landbouw!P12</f>
        <v>0</v>
      </c>
      <c r="R54" s="706">
        <f ca="1">SUM(C54:Q54)</f>
        <v>2043.5063036374786</v>
      </c>
    </row>
    <row r="55" spans="1:18" ht="15" thickBot="1">
      <c r="A55" s="800" t="s">
        <v>849</v>
      </c>
      <c r="B55" s="810"/>
      <c r="C55" s="678">
        <f ca="1">C25*'EF ele_warmte'!B12</f>
        <v>115.94548884845905</v>
      </c>
      <c r="D55" s="678"/>
      <c r="E55" s="678">
        <f>E25*EF_CO2_aardgas</f>
        <v>609.42211659854786</v>
      </c>
      <c r="F55" s="678"/>
      <c r="G55" s="678"/>
      <c r="H55" s="678"/>
      <c r="I55" s="678"/>
      <c r="J55" s="678"/>
      <c r="K55" s="678"/>
      <c r="L55" s="678"/>
      <c r="M55" s="678"/>
      <c r="N55" s="678"/>
      <c r="O55" s="678"/>
      <c r="P55" s="678"/>
      <c r="Q55" s="679"/>
      <c r="R55" s="706">
        <f ca="1">SUM(C55:Q55)</f>
        <v>725.36760544700689</v>
      </c>
    </row>
    <row r="56" spans="1:18" ht="15.75" thickBot="1">
      <c r="A56" s="798" t="s">
        <v>850</v>
      </c>
      <c r="B56" s="811"/>
      <c r="C56" s="707">
        <f ca="1">SUM(C54:C55)</f>
        <v>318.90057040052932</v>
      </c>
      <c r="D56" s="707">
        <f t="shared" ref="D56:Q56" ca="1" si="7">SUM(D54:D55)</f>
        <v>0</v>
      </c>
      <c r="E56" s="707">
        <f t="shared" si="7"/>
        <v>1451.9685059139224</v>
      </c>
      <c r="F56" s="707">
        <f t="shared" si="7"/>
        <v>2.8595816209523397</v>
      </c>
      <c r="G56" s="707">
        <f t="shared" si="7"/>
        <v>921.33286311431789</v>
      </c>
      <c r="H56" s="707">
        <f t="shared" si="7"/>
        <v>0</v>
      </c>
      <c r="I56" s="707">
        <f t="shared" si="7"/>
        <v>0</v>
      </c>
      <c r="J56" s="707">
        <f t="shared" si="7"/>
        <v>0</v>
      </c>
      <c r="K56" s="707">
        <f t="shared" si="7"/>
        <v>73.812388034763472</v>
      </c>
      <c r="L56" s="707">
        <f t="shared" si="7"/>
        <v>0</v>
      </c>
      <c r="M56" s="707">
        <f t="shared" si="7"/>
        <v>0</v>
      </c>
      <c r="N56" s="707">
        <f t="shared" si="7"/>
        <v>0</v>
      </c>
      <c r="O56" s="707">
        <f t="shared" si="7"/>
        <v>0</v>
      </c>
      <c r="P56" s="707">
        <f t="shared" si="7"/>
        <v>0</v>
      </c>
      <c r="Q56" s="708">
        <f t="shared" si="7"/>
        <v>0</v>
      </c>
      <c r="R56" s="709">
        <f ca="1">SUM(R54:R55)</f>
        <v>2768.8739090844856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18846.577586306183</v>
      </c>
      <c r="D61" s="715">
        <f t="shared" ref="D61:Q61" ca="1" si="8">D46+D52+D56</f>
        <v>0</v>
      </c>
      <c r="E61" s="715">
        <f t="shared" ca="1" si="8"/>
        <v>30427.892235968397</v>
      </c>
      <c r="F61" s="715">
        <f t="shared" si="8"/>
        <v>3202.5412530266544</v>
      </c>
      <c r="G61" s="715">
        <f t="shared" ca="1" si="8"/>
        <v>11037.390188630339</v>
      </c>
      <c r="H61" s="715">
        <f t="shared" si="8"/>
        <v>20732.5818938099</v>
      </c>
      <c r="I61" s="715">
        <f t="shared" si="8"/>
        <v>3396.2516041991676</v>
      </c>
      <c r="J61" s="715">
        <f t="shared" si="8"/>
        <v>0</v>
      </c>
      <c r="K61" s="715">
        <f t="shared" si="8"/>
        <v>211.48306127521661</v>
      </c>
      <c r="L61" s="715">
        <f t="shared" si="8"/>
        <v>0</v>
      </c>
      <c r="M61" s="715">
        <f t="shared" ca="1" si="8"/>
        <v>0</v>
      </c>
      <c r="N61" s="715">
        <f t="shared" si="8"/>
        <v>0</v>
      </c>
      <c r="O61" s="715">
        <f t="shared" ca="1" si="8"/>
        <v>0</v>
      </c>
      <c r="P61" s="715">
        <f t="shared" si="8"/>
        <v>0</v>
      </c>
      <c r="Q61" s="715">
        <f t="shared" si="8"/>
        <v>0</v>
      </c>
      <c r="R61" s="715">
        <f ca="1">R46+R52+R56</f>
        <v>87854.717823215862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0.14922710204552569</v>
      </c>
      <c r="D63" s="756">
        <f t="shared" ca="1" si="9"/>
        <v>0</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7711.4712311212716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15961.5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18778.23529411765</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17343</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49551.428571428572</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41015.971231121272</v>
      </c>
      <c r="C78" s="730">
        <f>SUM(C72:C77)</f>
        <v>0</v>
      </c>
      <c r="D78" s="731">
        <f t="shared" ref="D78:H78" si="10">SUM(D76:D77)</f>
        <v>0</v>
      </c>
      <c r="E78" s="731">
        <f t="shared" si="10"/>
        <v>0</v>
      </c>
      <c r="F78" s="731">
        <f t="shared" si="10"/>
        <v>0</v>
      </c>
      <c r="G78" s="731">
        <f t="shared" si="10"/>
        <v>0</v>
      </c>
      <c r="H78" s="731">
        <f t="shared" si="10"/>
        <v>0</v>
      </c>
      <c r="I78" s="731">
        <f>SUM(I76:I77)</f>
        <v>0</v>
      </c>
      <c r="J78" s="731">
        <f>SUM(J76:J77)</f>
        <v>68329.66386554623</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22802.142857142859</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26826.050420168071</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22802.142857142859</v>
      </c>
      <c r="C90" s="730">
        <f>SUM(C87:C89)</f>
        <v>0</v>
      </c>
      <c r="D90" s="730">
        <f t="shared" ref="D90:H90" si="12">SUM(D87:D89)</f>
        <v>0</v>
      </c>
      <c r="E90" s="730">
        <f t="shared" si="12"/>
        <v>0</v>
      </c>
      <c r="F90" s="730">
        <f t="shared" si="12"/>
        <v>0</v>
      </c>
      <c r="G90" s="730">
        <f t="shared" si="12"/>
        <v>0</v>
      </c>
      <c r="H90" s="730">
        <f t="shared" si="12"/>
        <v>0</v>
      </c>
      <c r="I90" s="730">
        <f>SUM(I87:I89)</f>
        <v>0</v>
      </c>
      <c r="J90" s="730">
        <f>SUM(J87:J89)</f>
        <v>26826.050420168071</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7711.4712311212716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15961.5</v>
      </c>
      <c r="C8" s="545">
        <f>B48</f>
        <v>0</v>
      </c>
      <c r="D8" s="1022"/>
      <c r="E8" s="1022">
        <f>E48</f>
        <v>0</v>
      </c>
      <c r="F8" s="1023"/>
      <c r="G8" s="546"/>
      <c r="H8" s="1022">
        <f>I48</f>
        <v>0</v>
      </c>
      <c r="I8" s="1022">
        <f>G48+F48</f>
        <v>0</v>
      </c>
      <c r="J8" s="1022">
        <f>H48+D48+C48</f>
        <v>18778.23529411765</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17343</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41015.971231121272</v>
      </c>
      <c r="C10" s="558">
        <f t="shared" ref="C10:L10" si="0">SUM(C8:C9)</f>
        <v>0</v>
      </c>
      <c r="D10" s="558">
        <f t="shared" si="0"/>
        <v>0</v>
      </c>
      <c r="E10" s="558">
        <f t="shared" si="0"/>
        <v>0</v>
      </c>
      <c r="F10" s="558">
        <f t="shared" si="0"/>
        <v>0</v>
      </c>
      <c r="G10" s="558">
        <f t="shared" si="0"/>
        <v>0</v>
      </c>
      <c r="H10" s="558">
        <f t="shared" si="0"/>
        <v>0</v>
      </c>
      <c r="I10" s="558">
        <f t="shared" si="0"/>
        <v>0</v>
      </c>
      <c r="J10" s="558">
        <f t="shared" si="0"/>
        <v>68329.66386554623</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22802.142857142859</v>
      </c>
      <c r="C17" s="570">
        <f>B49</f>
        <v>0</v>
      </c>
      <c r="D17" s="571"/>
      <c r="E17" s="571">
        <f>E49</f>
        <v>0</v>
      </c>
      <c r="F17" s="1028"/>
      <c r="G17" s="572"/>
      <c r="H17" s="570">
        <f>I49</f>
        <v>0</v>
      </c>
      <c r="I17" s="571">
        <f>G49+F49</f>
        <v>0</v>
      </c>
      <c r="J17" s="571">
        <f>H49+D49+C49</f>
        <v>26826.050420168071</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22802.142857142859</v>
      </c>
      <c r="C20" s="557">
        <f>SUM(C17:C19)</f>
        <v>0</v>
      </c>
      <c r="D20" s="557">
        <f t="shared" ref="D20:L20" si="1">SUM(D17:D19)</f>
        <v>0</v>
      </c>
      <c r="E20" s="557">
        <f t="shared" si="1"/>
        <v>0</v>
      </c>
      <c r="F20" s="557">
        <f t="shared" si="1"/>
        <v>0</v>
      </c>
      <c r="G20" s="557">
        <f t="shared" si="1"/>
        <v>0</v>
      </c>
      <c r="H20" s="557">
        <f t="shared" si="1"/>
        <v>0</v>
      </c>
      <c r="I20" s="557">
        <f t="shared" si="1"/>
        <v>0</v>
      </c>
      <c r="J20" s="557">
        <f t="shared" si="1"/>
        <v>26826.050420168071</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11057</v>
      </c>
      <c r="C28" s="771">
        <v>2390</v>
      </c>
      <c r="D28" s="628" t="s">
        <v>913</v>
      </c>
      <c r="E28" s="627" t="s">
        <v>914</v>
      </c>
      <c r="F28" s="627" t="s">
        <v>915</v>
      </c>
      <c r="G28" s="627" t="s">
        <v>916</v>
      </c>
      <c r="H28" s="627" t="s">
        <v>917</v>
      </c>
      <c r="I28" s="627" t="s">
        <v>914</v>
      </c>
      <c r="J28" s="770">
        <v>40029</v>
      </c>
      <c r="K28" s="770">
        <v>39022</v>
      </c>
      <c r="L28" s="627" t="s">
        <v>918</v>
      </c>
      <c r="M28" s="627">
        <v>3547</v>
      </c>
      <c r="N28" s="627">
        <v>15961.5</v>
      </c>
      <c r="O28" s="627">
        <v>22802.142857142859</v>
      </c>
      <c r="P28" s="627">
        <v>0</v>
      </c>
      <c r="Q28" s="627">
        <v>45604.285714285717</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3547</v>
      </c>
      <c r="N29" s="585">
        <f>SUM(N28:N28)</f>
        <v>15961.5</v>
      </c>
      <c r="O29" s="585">
        <f>SUM(O28:O28)</f>
        <v>22802.142857142859</v>
      </c>
      <c r="P29" s="585">
        <f>SUM(P28:P28)</f>
        <v>0</v>
      </c>
      <c r="Q29" s="585">
        <f>SUM(Q28:Q28)</f>
        <v>45604.285714285717</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3547</v>
      </c>
      <c r="N31" s="585">
        <f ca="1">SUMIF($Z$28:AD28,"tertiair",N28:N28)</f>
        <v>15961.5</v>
      </c>
      <c r="O31" s="585">
        <f ca="1">SUMIF($Z$28:AE28,"tertiair",O28:O28)</f>
        <v>22802.142857142859</v>
      </c>
      <c r="P31" s="585">
        <f ca="1">SUMIF($Z$28:AF28,"tertiair",P28:P28)</f>
        <v>0</v>
      </c>
      <c r="Q31" s="585">
        <f ca="1">SUMIF($Z$28:AG28,"tertiair",Q28:Q28)</f>
        <v>45604.285714285717</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38.25">
      <c r="A35" s="582"/>
      <c r="B35" s="771">
        <v>11057</v>
      </c>
      <c r="C35" s="771">
        <v>2390</v>
      </c>
      <c r="D35" s="630" t="s">
        <v>919</v>
      </c>
      <c r="E35" s="630" t="s">
        <v>920</v>
      </c>
      <c r="F35" s="630" t="s">
        <v>921</v>
      </c>
      <c r="G35" s="630" t="s">
        <v>922</v>
      </c>
      <c r="H35" s="630" t="s">
        <v>923</v>
      </c>
      <c r="I35" s="630" t="s">
        <v>920</v>
      </c>
      <c r="J35" s="770">
        <v>39859</v>
      </c>
      <c r="K35" s="770">
        <v>38018</v>
      </c>
      <c r="L35" s="630" t="s">
        <v>924</v>
      </c>
      <c r="M35" s="630">
        <v>3854</v>
      </c>
      <c r="N35" s="630">
        <v>17343</v>
      </c>
      <c r="O35" s="630">
        <v>0</v>
      </c>
      <c r="P35" s="630">
        <v>0</v>
      </c>
      <c r="Q35" s="630">
        <v>49551.428571428572</v>
      </c>
      <c r="R35" s="630">
        <v>0</v>
      </c>
      <c r="S35" s="630">
        <v>0</v>
      </c>
      <c r="T35" s="630">
        <v>0</v>
      </c>
      <c r="U35" s="630">
        <v>0</v>
      </c>
      <c r="V35" s="630">
        <v>0</v>
      </c>
      <c r="W35" s="630">
        <v>0</v>
      </c>
      <c r="X35" s="630">
        <v>10</v>
      </c>
      <c r="Y35" s="630" t="s">
        <v>111</v>
      </c>
      <c r="Z35" s="631" t="s">
        <v>111</v>
      </c>
    </row>
    <row r="36" spans="1:27" s="565" customFormat="1">
      <c r="A36" s="583" t="s">
        <v>279</v>
      </c>
      <c r="B36" s="584"/>
      <c r="C36" s="584"/>
      <c r="D36" s="584"/>
      <c r="E36" s="584"/>
      <c r="F36" s="584"/>
      <c r="G36" s="584"/>
      <c r="H36" s="584"/>
      <c r="I36" s="584"/>
      <c r="J36" s="584"/>
      <c r="K36" s="584"/>
      <c r="L36" s="585"/>
      <c r="M36" s="585">
        <f>SUM(M35:M35)</f>
        <v>3854</v>
      </c>
      <c r="N36" s="585">
        <f>SUM(N35:N35)</f>
        <v>17343</v>
      </c>
      <c r="O36" s="585">
        <f>SUM(O35:O35)</f>
        <v>0</v>
      </c>
      <c r="P36" s="585">
        <f>SUM(P35:P35)</f>
        <v>0</v>
      </c>
      <c r="Q36" s="585">
        <f>SUM(Q35:Q35)</f>
        <v>49551.428571428572</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3854</v>
      </c>
      <c r="N39" s="590">
        <f>SUMIF($Z$35:$Z$37,"landbouw",N35:N37)</f>
        <v>17343</v>
      </c>
      <c r="O39" s="590">
        <f>SUMIF($Z$35:$Z$37,"landbouw",O35:O37)</f>
        <v>0</v>
      </c>
      <c r="P39" s="590">
        <f>SUMIF($Z$35:$Z$37,"landbouw",P35:P37)</f>
        <v>0</v>
      </c>
      <c r="Q39" s="590">
        <f>SUMIF($Z$35:$Z$37,"landbouw",Q35:Q37)</f>
        <v>49551.428571428572</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18778.23529411765</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26826.050420168071</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28341.635508728021</v>
      </c>
      <c r="C4" s="452">
        <f>huishoudens!C8</f>
        <v>0</v>
      </c>
      <c r="D4" s="452">
        <f>huishoudens!D8</f>
        <v>67108.73925043513</v>
      </c>
      <c r="E4" s="452">
        <f>huishoudens!E8</f>
        <v>9894.8637861259467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14653.08602591138</v>
      </c>
      <c r="O4" s="452">
        <f>huishoudens!O8</f>
        <v>164.15</v>
      </c>
      <c r="P4" s="453">
        <f>huishoudens!P8</f>
        <v>629.20000000000005</v>
      </c>
      <c r="Q4" s="454">
        <f>SUM(B4:P4)</f>
        <v>120791.67457120048</v>
      </c>
    </row>
    <row r="5" spans="1:17">
      <c r="A5" s="451" t="s">
        <v>155</v>
      </c>
      <c r="B5" s="452">
        <f ca="1">tertiair!B16</f>
        <v>37868.448000000004</v>
      </c>
      <c r="C5" s="452">
        <f ca="1">tertiair!C16</f>
        <v>22802.142857142859</v>
      </c>
      <c r="D5" s="452">
        <f ca="1">tertiair!D16</f>
        <v>34835.175505367893</v>
      </c>
      <c r="E5" s="452">
        <f>tertiair!E16</f>
        <v>246.10624417320008</v>
      </c>
      <c r="F5" s="452">
        <f ca="1">tertiair!F16</f>
        <v>3512.1588118628911</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4.6900000000000004</v>
      </c>
      <c r="P5" s="453">
        <f>tertiair!P16</f>
        <v>76.266666666666666</v>
      </c>
      <c r="Q5" s="451">
        <f t="shared" ref="Q5:Q14" ca="1" si="0">SUM(B5:P5)</f>
        <v>99344.98808521351</v>
      </c>
    </row>
    <row r="6" spans="1:17">
      <c r="A6" s="451" t="s">
        <v>193</v>
      </c>
      <c r="B6" s="452">
        <f>'openbare verlichting'!B8</f>
        <v>634.14499999999998</v>
      </c>
      <c r="C6" s="452"/>
      <c r="D6" s="452"/>
      <c r="E6" s="452"/>
      <c r="F6" s="452"/>
      <c r="G6" s="452"/>
      <c r="H6" s="452"/>
      <c r="I6" s="452"/>
      <c r="J6" s="452"/>
      <c r="K6" s="452"/>
      <c r="L6" s="452"/>
      <c r="M6" s="452"/>
      <c r="N6" s="452"/>
      <c r="O6" s="452"/>
      <c r="P6" s="453"/>
      <c r="Q6" s="451">
        <f t="shared" si="0"/>
        <v>634.14499999999998</v>
      </c>
    </row>
    <row r="7" spans="1:17">
      <c r="A7" s="451" t="s">
        <v>111</v>
      </c>
      <c r="B7" s="452">
        <f>landbouw!B8</f>
        <v>1360.0417</v>
      </c>
      <c r="C7" s="452">
        <f>landbouw!C8</f>
        <v>0</v>
      </c>
      <c r="D7" s="452">
        <f>landbouw!D8</f>
        <v>4171.0217292840325</v>
      </c>
      <c r="E7" s="452">
        <f>landbouw!E8</f>
        <v>12.597275863226166</v>
      </c>
      <c r="F7" s="452">
        <f>landbouw!F8</f>
        <v>3450.6848805779696</v>
      </c>
      <c r="G7" s="452">
        <f>landbouw!G8</f>
        <v>0</v>
      </c>
      <c r="H7" s="452">
        <f>landbouw!H8</f>
        <v>0</v>
      </c>
      <c r="I7" s="452">
        <f>landbouw!I8</f>
        <v>0</v>
      </c>
      <c r="J7" s="452">
        <f>landbouw!J8</f>
        <v>208.50957071967082</v>
      </c>
      <c r="K7" s="452">
        <f>landbouw!K8</f>
        <v>0</v>
      </c>
      <c r="L7" s="452">
        <f>landbouw!L8</f>
        <v>0</v>
      </c>
      <c r="M7" s="452">
        <f>landbouw!M8</f>
        <v>0</v>
      </c>
      <c r="N7" s="452">
        <f>landbouw!N8</f>
        <v>0</v>
      </c>
      <c r="O7" s="452">
        <f>landbouw!O8</f>
        <v>0</v>
      </c>
      <c r="P7" s="453">
        <f>landbouw!P8</f>
        <v>0</v>
      </c>
      <c r="Q7" s="451">
        <f t="shared" si="0"/>
        <v>9202.855156444899</v>
      </c>
    </row>
    <row r="8" spans="1:17">
      <c r="A8" s="451" t="s">
        <v>649</v>
      </c>
      <c r="B8" s="452">
        <f>industrie!B18</f>
        <v>57301.423909999998</v>
      </c>
      <c r="C8" s="452">
        <f>industrie!C18</f>
        <v>0</v>
      </c>
      <c r="D8" s="452">
        <f>industrie!D18</f>
        <v>41478.902748886598</v>
      </c>
      <c r="E8" s="452">
        <f>industrie!E18</f>
        <v>3737.5038349047118</v>
      </c>
      <c r="F8" s="452">
        <f>industrie!F18</f>
        <v>34375.696339882503</v>
      </c>
      <c r="G8" s="452">
        <f>industrie!G18</f>
        <v>0</v>
      </c>
      <c r="H8" s="452">
        <f>industrie!H18</f>
        <v>0</v>
      </c>
      <c r="I8" s="452">
        <f>industrie!I18</f>
        <v>0</v>
      </c>
      <c r="J8" s="452">
        <f>industrie!J18</f>
        <v>388.90020689393543</v>
      </c>
      <c r="K8" s="452">
        <f>industrie!K18</f>
        <v>0</v>
      </c>
      <c r="L8" s="452">
        <f>industrie!L18</f>
        <v>0</v>
      </c>
      <c r="M8" s="452">
        <f>industrie!M18</f>
        <v>0</v>
      </c>
      <c r="N8" s="452">
        <f>industrie!N18</f>
        <v>8008.8757215609003</v>
      </c>
      <c r="O8" s="452">
        <f>industrie!O18</f>
        <v>0</v>
      </c>
      <c r="P8" s="453">
        <f>industrie!P18</f>
        <v>0</v>
      </c>
      <c r="Q8" s="451">
        <f t="shared" si="0"/>
        <v>145291.30276212867</v>
      </c>
    </row>
    <row r="9" spans="1:17" s="457" customFormat="1">
      <c r="A9" s="455" t="s">
        <v>570</v>
      </c>
      <c r="B9" s="456">
        <f>transport!B14</f>
        <v>11.935324638408138</v>
      </c>
      <c r="C9" s="456">
        <f>transport!C14</f>
        <v>0</v>
      </c>
      <c r="D9" s="456">
        <f>transport!D14</f>
        <v>22.349475778069056</v>
      </c>
      <c r="E9" s="456">
        <f>transport!E14</f>
        <v>217.04010574637167</v>
      </c>
      <c r="F9" s="456">
        <f>transport!F14</f>
        <v>0</v>
      </c>
      <c r="G9" s="456">
        <f>transport!G14</f>
        <v>74869.518559539792</v>
      </c>
      <c r="H9" s="456">
        <f>transport!H14</f>
        <v>13639.564675498665</v>
      </c>
      <c r="I9" s="456">
        <f>transport!I14</f>
        <v>0</v>
      </c>
      <c r="J9" s="456">
        <f>transport!J14</f>
        <v>0</v>
      </c>
      <c r="K9" s="456">
        <f>transport!K14</f>
        <v>0</v>
      </c>
      <c r="L9" s="456">
        <f>transport!L14</f>
        <v>0</v>
      </c>
      <c r="M9" s="456">
        <f>transport!M14</f>
        <v>4756.7672135887206</v>
      </c>
      <c r="N9" s="456">
        <f>transport!N14</f>
        <v>0</v>
      </c>
      <c r="O9" s="456">
        <f>transport!O14</f>
        <v>0</v>
      </c>
      <c r="P9" s="456">
        <f>transport!P14</f>
        <v>0</v>
      </c>
      <c r="Q9" s="455">
        <f>SUM(B9:P9)</f>
        <v>93517.17535479003</v>
      </c>
    </row>
    <row r="10" spans="1:17">
      <c r="A10" s="451" t="s">
        <v>560</v>
      </c>
      <c r="B10" s="452">
        <f>transport!B54</f>
        <v>0</v>
      </c>
      <c r="C10" s="452">
        <f>transport!C54</f>
        <v>0</v>
      </c>
      <c r="D10" s="452">
        <f>transport!D54</f>
        <v>0</v>
      </c>
      <c r="E10" s="452">
        <f>transport!E54</f>
        <v>0</v>
      </c>
      <c r="F10" s="452">
        <f>transport!F54</f>
        <v>0</v>
      </c>
      <c r="G10" s="452">
        <f>transport!G54</f>
        <v>2780.6008929317336</v>
      </c>
      <c r="H10" s="452">
        <f>transport!H54</f>
        <v>0</v>
      </c>
      <c r="I10" s="452">
        <f>transport!I54</f>
        <v>0</v>
      </c>
      <c r="J10" s="452">
        <f>transport!J54</f>
        <v>0</v>
      </c>
      <c r="K10" s="452">
        <f>transport!K54</f>
        <v>0</v>
      </c>
      <c r="L10" s="452">
        <f>transport!L54</f>
        <v>0</v>
      </c>
      <c r="M10" s="452">
        <f>transport!M54</f>
        <v>158.930683703103</v>
      </c>
      <c r="N10" s="452">
        <f>transport!N54</f>
        <v>0</v>
      </c>
      <c r="O10" s="452">
        <f>transport!O54</f>
        <v>0</v>
      </c>
      <c r="P10" s="453">
        <f>transport!P54</f>
        <v>0</v>
      </c>
      <c r="Q10" s="451">
        <f t="shared" si="0"/>
        <v>2939.5315766348367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776.97339999999997</v>
      </c>
      <c r="C14" s="459"/>
      <c r="D14" s="459">
        <f>'SEAP template'!E25</f>
        <v>3016.9411712799397</v>
      </c>
      <c r="E14" s="459"/>
      <c r="F14" s="459"/>
      <c r="G14" s="459"/>
      <c r="H14" s="459"/>
      <c r="I14" s="459"/>
      <c r="J14" s="459"/>
      <c r="K14" s="459"/>
      <c r="L14" s="459"/>
      <c r="M14" s="459"/>
      <c r="N14" s="459"/>
      <c r="O14" s="459"/>
      <c r="P14" s="460"/>
      <c r="Q14" s="451">
        <f t="shared" si="0"/>
        <v>3793.9145712799395</v>
      </c>
    </row>
    <row r="15" spans="1:17" s="461" customFormat="1">
      <c r="A15" s="1017" t="s">
        <v>564</v>
      </c>
      <c r="B15" s="957">
        <f ca="1">SUM(B4:B14)</f>
        <v>126294.60284336645</v>
      </c>
      <c r="C15" s="957">
        <f t="shared" ref="C15:Q15" ca="1" si="1">SUM(C4:C14)</f>
        <v>22802.142857142859</v>
      </c>
      <c r="D15" s="957">
        <f t="shared" ca="1" si="1"/>
        <v>150633.12988103164</v>
      </c>
      <c r="E15" s="957">
        <f t="shared" si="1"/>
        <v>14108.111246813456</v>
      </c>
      <c r="F15" s="957">
        <f t="shared" ca="1" si="1"/>
        <v>41338.540032323363</v>
      </c>
      <c r="G15" s="957">
        <f t="shared" si="1"/>
        <v>77650.119452471525</v>
      </c>
      <c r="H15" s="957">
        <f t="shared" si="1"/>
        <v>13639.564675498665</v>
      </c>
      <c r="I15" s="957">
        <f t="shared" si="1"/>
        <v>0</v>
      </c>
      <c r="J15" s="957">
        <f t="shared" si="1"/>
        <v>597.40977761360625</v>
      </c>
      <c r="K15" s="957">
        <f t="shared" si="1"/>
        <v>0</v>
      </c>
      <c r="L15" s="957">
        <f t="shared" ca="1" si="1"/>
        <v>0</v>
      </c>
      <c r="M15" s="957">
        <f t="shared" si="1"/>
        <v>4915.6978972918232</v>
      </c>
      <c r="N15" s="957">
        <f t="shared" ca="1" si="1"/>
        <v>22661.96174747228</v>
      </c>
      <c r="O15" s="957">
        <f t="shared" si="1"/>
        <v>168.84</v>
      </c>
      <c r="P15" s="957">
        <f t="shared" si="1"/>
        <v>705.4666666666667</v>
      </c>
      <c r="Q15" s="957">
        <f t="shared" ca="1" si="1"/>
        <v>475515.58707769233</v>
      </c>
    </row>
    <row r="17" spans="1:17">
      <c r="A17" s="462" t="s">
        <v>565</v>
      </c>
      <c r="B17" s="761">
        <f ca="1">huishoudens!B10</f>
        <v>0.14922710204552569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4229.3401341980507</v>
      </c>
      <c r="C22" s="452">
        <f t="shared" ref="C22:C32" ca="1" si="3">C4*$C$17</f>
        <v>0</v>
      </c>
      <c r="D22" s="452">
        <f t="shared" ref="D22:D32" si="4">D4*$D$17</f>
        <v>13555.965328587898</v>
      </c>
      <c r="E22" s="452">
        <f t="shared" ref="E22:E32" si="5">E4*$E$17</f>
        <v>2246.13407945059</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20031.439542236538</v>
      </c>
    </row>
    <row r="23" spans="1:17">
      <c r="A23" s="451" t="s">
        <v>155</v>
      </c>
      <c r="B23" s="452">
        <f t="shared" ca="1" si="2"/>
        <v>5650.9987540016837</v>
      </c>
      <c r="C23" s="452">
        <f t="shared" ca="1" si="3"/>
        <v>0</v>
      </c>
      <c r="D23" s="452">
        <f t="shared" ca="1" si="4"/>
        <v>7036.7054520843149</v>
      </c>
      <c r="E23" s="452">
        <f t="shared" si="5"/>
        <v>55.866117427316418</v>
      </c>
      <c r="F23" s="452">
        <f t="shared" ca="1" si="6"/>
        <v>937.74640276739194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13681.316726280707</v>
      </c>
    </row>
    <row r="24" spans="1:17">
      <c r="A24" s="451" t="s">
        <v>193</v>
      </c>
      <c r="B24" s="452">
        <f t="shared" ca="1" si="2"/>
        <v>94.631620626659895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94.631620626659895</v>
      </c>
    </row>
    <row r="25" spans="1:17">
      <c r="A25" s="451" t="s">
        <v>111</v>
      </c>
      <c r="B25" s="452">
        <f t="shared" ca="1" si="2"/>
        <v>202.95508155207025</v>
      </c>
      <c r="C25" s="452">
        <f t="shared" ca="1" si="3"/>
        <v>0</v>
      </c>
      <c r="D25" s="452">
        <f t="shared" si="4"/>
        <v>842.54638931537465</v>
      </c>
      <c r="E25" s="452">
        <f t="shared" si="5"/>
        <v>2.8595816209523397</v>
      </c>
      <c r="F25" s="452">
        <f t="shared" si="6"/>
        <v>921.33286311431789</v>
      </c>
      <c r="G25" s="452">
        <f t="shared" si="7"/>
        <v>0</v>
      </c>
      <c r="H25" s="452">
        <f t="shared" si="8"/>
        <v>0</v>
      </c>
      <c r="I25" s="452">
        <f t="shared" si="9"/>
        <v>0</v>
      </c>
      <c r="J25" s="452">
        <f t="shared" si="10"/>
        <v>73.812388034763472</v>
      </c>
      <c r="K25" s="452">
        <f t="shared" si="11"/>
        <v>0</v>
      </c>
      <c r="L25" s="452">
        <f t="shared" si="12"/>
        <v>0</v>
      </c>
      <c r="M25" s="452">
        <f t="shared" si="13"/>
        <v>0</v>
      </c>
      <c r="N25" s="452">
        <f t="shared" si="14"/>
        <v>0</v>
      </c>
      <c r="O25" s="452">
        <f t="shared" si="15"/>
        <v>0</v>
      </c>
      <c r="P25" s="453">
        <f t="shared" si="16"/>
        <v>0</v>
      </c>
      <c r="Q25" s="451">
        <f t="shared" ca="1" si="17"/>
        <v>2043.5063036374786</v>
      </c>
    </row>
    <row r="26" spans="1:17">
      <c r="A26" s="451" t="s">
        <v>649</v>
      </c>
      <c r="B26" s="452">
        <f t="shared" ca="1" si="2"/>
        <v>8550.9254331714965</v>
      </c>
      <c r="C26" s="452">
        <f t="shared" ca="1" si="3"/>
        <v>0</v>
      </c>
      <c r="D26" s="452">
        <f t="shared" si="4"/>
        <v>8378.7383552750925</v>
      </c>
      <c r="E26" s="452">
        <f t="shared" si="5"/>
        <v>848.41337052336962</v>
      </c>
      <c r="F26" s="452">
        <f t="shared" si="6"/>
        <v>9178.3109227486293</v>
      </c>
      <c r="G26" s="452">
        <f t="shared" si="7"/>
        <v>0</v>
      </c>
      <c r="H26" s="452">
        <f t="shared" si="8"/>
        <v>0</v>
      </c>
      <c r="I26" s="452">
        <f t="shared" si="9"/>
        <v>0</v>
      </c>
      <c r="J26" s="452">
        <f t="shared" si="10"/>
        <v>137.67067324045314</v>
      </c>
      <c r="K26" s="452">
        <f t="shared" si="11"/>
        <v>0</v>
      </c>
      <c r="L26" s="452">
        <f t="shared" si="12"/>
        <v>0</v>
      </c>
      <c r="M26" s="452">
        <f t="shared" si="13"/>
        <v>0</v>
      </c>
      <c r="N26" s="452">
        <f t="shared" si="14"/>
        <v>0</v>
      </c>
      <c r="O26" s="452">
        <f t="shared" si="15"/>
        <v>0</v>
      </c>
      <c r="P26" s="453">
        <f t="shared" si="16"/>
        <v>0</v>
      </c>
      <c r="Q26" s="451">
        <f t="shared" ca="1" si="17"/>
        <v>27094.058754959038</v>
      </c>
    </row>
    <row r="27" spans="1:17" s="457" customFormat="1">
      <c r="A27" s="455" t="s">
        <v>570</v>
      </c>
      <c r="B27" s="755">
        <f t="shared" ca="1" si="2"/>
        <v>1.7810739077622084</v>
      </c>
      <c r="C27" s="456">
        <f t="shared" ca="1" si="3"/>
        <v>0</v>
      </c>
      <c r="D27" s="456">
        <f t="shared" si="4"/>
        <v>4.51459410716995</v>
      </c>
      <c r="E27" s="456">
        <f t="shared" si="5"/>
        <v>49.26810400442637</v>
      </c>
      <c r="F27" s="456">
        <f t="shared" si="6"/>
        <v>0</v>
      </c>
      <c r="G27" s="456">
        <f t="shared" si="7"/>
        <v>19990.161455397127</v>
      </c>
      <c r="H27" s="456">
        <f t="shared" si="8"/>
        <v>3396.2516041991676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23441.976831615655</v>
      </c>
    </row>
    <row r="28" spans="1:17">
      <c r="A28" s="451" t="s">
        <v>560</v>
      </c>
      <c r="B28" s="452">
        <f t="shared" ca="1" si="2"/>
        <v>0</v>
      </c>
      <c r="C28" s="452">
        <f t="shared" ca="1" si="3"/>
        <v>0</v>
      </c>
      <c r="D28" s="452">
        <f t="shared" si="4"/>
        <v>0</v>
      </c>
      <c r="E28" s="452">
        <f t="shared" si="5"/>
        <v>0</v>
      </c>
      <c r="F28" s="452">
        <f t="shared" si="6"/>
        <v>0</v>
      </c>
      <c r="G28" s="452">
        <f t="shared" si="7"/>
        <v>742.42043841277291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742.42043841277291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115.94548884845905</v>
      </c>
      <c r="C32" s="452">
        <f t="shared" ca="1" si="3"/>
        <v>0</v>
      </c>
      <c r="D32" s="452">
        <f t="shared" si="4"/>
        <v>609.42211659854786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725.36760544700689</v>
      </c>
    </row>
    <row r="33" spans="1:17" s="461" customFormat="1">
      <c r="A33" s="1017" t="s">
        <v>564</v>
      </c>
      <c r="B33" s="957">
        <f ca="1">SUM(B22:B32)</f>
        <v>18846.577586306183</v>
      </c>
      <c r="C33" s="957">
        <f t="shared" ref="C33:Q33" ca="1" si="18">SUM(C22:C32)</f>
        <v>0</v>
      </c>
      <c r="D33" s="957">
        <f t="shared" ca="1" si="18"/>
        <v>30427.8922359684</v>
      </c>
      <c r="E33" s="957">
        <f t="shared" si="18"/>
        <v>3202.5412530266549</v>
      </c>
      <c r="F33" s="957">
        <f t="shared" ca="1" si="18"/>
        <v>11037.390188630339</v>
      </c>
      <c r="G33" s="957">
        <f t="shared" si="18"/>
        <v>20732.5818938099</v>
      </c>
      <c r="H33" s="957">
        <f t="shared" si="18"/>
        <v>3396.2516041991676</v>
      </c>
      <c r="I33" s="957">
        <f t="shared" si="18"/>
        <v>0</v>
      </c>
      <c r="J33" s="957">
        <f t="shared" si="18"/>
        <v>211.48306127521661</v>
      </c>
      <c r="K33" s="957">
        <f t="shared" si="18"/>
        <v>0</v>
      </c>
      <c r="L33" s="957">
        <f t="shared" ca="1" si="18"/>
        <v>0</v>
      </c>
      <c r="M33" s="957">
        <f t="shared" si="18"/>
        <v>0</v>
      </c>
      <c r="N33" s="957">
        <f t="shared" ca="1" si="18"/>
        <v>0</v>
      </c>
      <c r="O33" s="957">
        <f t="shared" si="18"/>
        <v>0</v>
      </c>
      <c r="P33" s="957">
        <f t="shared" si="18"/>
        <v>0</v>
      </c>
      <c r="Q33" s="957">
        <f t="shared" ca="1" si="18"/>
        <v>87854.717823215848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7711.4712311212716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15961.5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18778.23529411765</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17343</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49551.428571428572</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41015.971231121272</v>
      </c>
      <c r="C10" s="1038">
        <f>SUM(C4:C9)</f>
        <v>0</v>
      </c>
      <c r="D10" s="1038">
        <f t="shared" ref="D10:H10" si="0">SUM(D8:D9)</f>
        <v>0</v>
      </c>
      <c r="E10" s="1038">
        <f t="shared" si="0"/>
        <v>0</v>
      </c>
      <c r="F10" s="1038">
        <f t="shared" si="0"/>
        <v>0</v>
      </c>
      <c r="G10" s="1038">
        <f t="shared" si="0"/>
        <v>0</v>
      </c>
      <c r="H10" s="1038">
        <f t="shared" si="0"/>
        <v>0</v>
      </c>
      <c r="I10" s="1038">
        <f>SUM(I8:I9)</f>
        <v>0</v>
      </c>
      <c r="J10" s="1038">
        <f>SUM(J8:J9)</f>
        <v>68329.66386554623</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0.14922710204552569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22802.142857142859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26826.050420168071</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22802.142857142859</v>
      </c>
      <c r="C20" s="1038">
        <f>SUM(C17:C19)</f>
        <v>0</v>
      </c>
      <c r="D20" s="1038">
        <f t="shared" ref="D20:H20" si="2">SUM(D17:D19)</f>
        <v>0</v>
      </c>
      <c r="E20" s="1038">
        <f t="shared" si="2"/>
        <v>0</v>
      </c>
      <c r="F20" s="1038">
        <f t="shared" si="2"/>
        <v>0</v>
      </c>
      <c r="G20" s="1038">
        <f t="shared" si="2"/>
        <v>0</v>
      </c>
      <c r="H20" s="1038">
        <f t="shared" si="2"/>
        <v>0</v>
      </c>
      <c r="I20" s="1038">
        <f>SUM(I17:I19)</f>
        <v>0</v>
      </c>
      <c r="J20" s="1038">
        <f>SUM(J17:J19)</f>
        <v>26826.050420168071</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0.14922710204552569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2020-06-20T16:02:13Z</dcterms:modified>
</cp:coreProperties>
</file>