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Q14" i="48" l="1"/>
  <c r="D14" i="48"/>
  <c r="D32" i="48" s="1"/>
  <c r="C13" i="15"/>
  <c r="D13" i="15"/>
  <c r="L6" i="17"/>
  <c r="F20" i="18"/>
  <c r="I9" i="18"/>
  <c r="I77" i="14" s="1"/>
  <c r="I9" i="59" s="1"/>
  <c r="N6" i="17"/>
  <c r="E10" i="59"/>
  <c r="B47" i="18"/>
  <c r="C51" i="18" s="1"/>
  <c r="C6" i="17"/>
  <c r="J9" i="18"/>
  <c r="J77" i="14" s="1"/>
  <c r="J9" i="59" s="1"/>
  <c r="K20" i="18"/>
  <c r="L10" i="59"/>
  <c r="B16" i="16"/>
  <c r="C47" i="18"/>
  <c r="E50"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1"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51" i="18" l="1"/>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E8" i="48"/>
  <c r="E26" i="48" s="1"/>
  <c r="F13" i="14"/>
  <c r="F16" i="14" s="1"/>
  <c r="F27" i="14" s="1"/>
  <c r="F63" i="14" s="1"/>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<sst xmlns="http://schemas.openxmlformats.org/spreadsheetml/2006/main" count="2461" uniqueCount="926">
  <si>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</si>
  <si>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</si>
  <si>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</si>
  <si>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</si>
  <si>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</si>
  <si>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</si>
  <si>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</si>
  <si>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</si>
  <si>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</si>
  <si>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</si>
  <si>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</si>
  <si>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</si>
  <si>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</si>
  <si>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</si>
  <si>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</si>
  <si>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</si>
  <si>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</si>
  <si>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</si>
  <si>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</si>
  <si>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</si>
  <si>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</si>
  <si>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</si>
  <si>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</si>
  <si>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</si>
  <si>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</si>
  <si>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</si>
  <si>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</si>
  <si>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</si>
  <si>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</si>
  <si>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</si>
  <si>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</si>
  <si>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</si>
  <si>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</si>
  <si>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</si>
  <si>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</si>
  <si>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</si>
  <si>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</si>
  <si>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</si>
  <si>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</si>
  <si>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</si>
  <si>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</si>
  <si>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</si>
  <si>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</si>
  <si>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</si>
  <si>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</si>
  <si>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</si>
  <si>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</si>
  <si>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</si>
  <si>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</si>
  <si>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</si>
  <si>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</si>
  <si>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</si>
  <si>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</si>
  <si>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</si>
  <si>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</si>
  <si>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</si>
  <si>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</si>
  <si>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</si>
  <si>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</si>
  <si>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</si>
  <si>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</si>
  <si>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</si>
  <si>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</si>
  <si>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</si>
  <si>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</si>
  <si>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</si>
  <si>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</si>
  <si>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</si>
  <si>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</si>
  <si>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</si>
  <si>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</si>
  <si>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</si>
  <si>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</si>
  <si>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</si>
  <si>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</si>
  <si>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</si>
  <si>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</si>
  <si>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</si>
  <si>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</si>
  <si>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</si>
  <si>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</si>
  <si>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</si>
  <si>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</si>
  <si>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</si>
  <si>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</si>
  <si>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</si>
  <si>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</si>
  <si>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</si>
  <si>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</si>
  <si>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</si>
  <si>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</si>
  <si>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</si>
  <si>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</si>
  <si>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</si>
  <si>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</si>
  <si>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</si>
  <si>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</si>
  <si>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</si>
  <si>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</si>
  <si>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</si>
  <si>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</si>
  <si>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</si>
  <si>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</si>
  <si>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</si>
  <si>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</si>
  <si>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</si>
  <si>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</si>
  <si>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</si>
  <si>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</si>
  <si>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</si>
  <si>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</si>
  <si>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</si>
  <si>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</si>
  <si>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</si>
  <si>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</si>
  <si>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</si>
  <si>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</si>
  <si>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</si>
  <si>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</si>
  <si>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</si>
  <si>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</si>
  <si>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</si>
  <si>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</si>
  <si>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</si>
  <si>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</si>
  <si>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</si>
  <si>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</si>
  <si>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</si>
  <si>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</si>
  <si>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</si>
  <si>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</si>
  <si>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</si>
  <si>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</si>
  <si>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</si>
  <si>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</si>
  <si>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</si>
  <si>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</si>
  <si>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</si>
  <si>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</si>
  <si>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</si>
  <si>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</si>
  <si>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</si>
  <si>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</si>
  <si>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</si>
  <si>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</si>
  <si>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</si>
  <si>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</si>
  <si>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</si>
  <si>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</si>
  <si>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</si>
  <si>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</si>
  <si>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</si>
  <si>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</si>
  <si>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</si>
  <si>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</si>
  <si>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</si>
  <si>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</si>
  <si>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</si>
  <si>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</si>
  <si>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</si>
  <si>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</si>
  <si>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</si>
  <si>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</si>
  <si>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</si>
  <si>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</si>
  <si>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</si>
  <si>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</si>
  <si>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</si>
  <si>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</si>
  <si>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</si>
  <si>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</si>
  <si>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</si>
  <si>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</si>
  <si>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</si>
  <si>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</si>
  <si>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</si>
  <si>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</si>
  <si>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</si>
  <si>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</si>
  <si>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</si>
  <si>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</si>
  <si>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</si>
  <si>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</si>
  <si>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</si>
  <si>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</si>
  <si>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</si>
  <si>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</si>
  <si>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</si>
  <si>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</si>
  <si>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</si>
  <si>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</si>
  <si>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</si>
  <si>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</si>
  <si>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</si>
  <si>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</si>
  <si>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</si>
  <si>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</si>
  <si>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</si>
  <si>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</si>
  <si>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</si>
  <si>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</si>
  <si>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</si>
  <si>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</si>
  <si>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</si>
  <si>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</si>
  <si>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</si>
  <si>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</si>
  <si>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</si>
  <si>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</si>
  <si>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</si>
  <si>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</si>
  <si>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</si>
  <si>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</si>
  <si>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</si>
  <si>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</si>
  <si>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</si>
  <si>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</si>
  <si>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</si>
  <si>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</si>
  <si>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</si>
  <si>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</si>
  <si>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</si>
  <si>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</si>
  <si>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</si>
  <si>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</si>
  <si>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</si>
  <si>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</si>
  <si>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</si>
  <si>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</si>
  <si>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</si>
  <si>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</si>
  <si>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</si>
  <si>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</si>
  <si>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</si>
  <si>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</si>
  <si>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</si>
  <si>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</si>
  <si>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</si>
  <si>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</si>
  <si>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</si>
  <si>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</si>
  <si>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</si>
  <si>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</si>
  <si>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</si>
  <si>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</si>
  <si>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</si>
  <si>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</si>
  <si>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</si>
  <si>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</si>
  <si>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</si>
  <si>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</si>
  <si>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</si>
  <si>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</si>
  <si>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</si>
  <si>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</si>
  <si>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</si>
  <si>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</si>
  <si>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</si>
  <si>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</si>
  <si>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</si>
  <si>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</si>
  <si>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</si>
  <si>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</si>
  <si>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</si>
  <si>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</si>
  <si>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</si>
  <si>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</si>
  <si>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</si>
  <si>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</si>
  <si>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</si>
  <si>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</si>
  <si>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</si>
  <si>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</si>
  <si>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</si>
  <si>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</si>
  <si>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</si>
  <si>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</si>
  <si>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</si>
  <si>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</si>
  <si>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</si>
  <si>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</si>
  <si>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</si>
  <si>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</si>
  <si>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</si>
  <si>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</si>
  <si>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</si>
  <si>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</si>
  <si>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</si>
  <si>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</si>
  <si>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</si>
  <si>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</si>
  <si>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</si>
  <si>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</si>
  <si>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</si>
  <si>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</si>
  <si>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</si>
  <si>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</si>
  <si>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</si>
  <si>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</si>
  <si>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</si>
  <si>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</si>
  <si>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</si>
  <si>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</si>
  <si>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</si>
  <si>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</si>
  <si>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</si>
  <si>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</si>
  <si>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</si>
  <si>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</si>
  <si>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</si>
  <si>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</si>
  <si>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</si>
  <si>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</si>
  <si>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</si>
  <si>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</si>
  <si>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</si>
  <si>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</si>
  <si>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</si>
  <si>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</si>
  <si>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</si>
  <si>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</si>
  <si>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</si>
  <si>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</si>
  <si>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</si>
  <si>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</si>
  <si>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</si>
  <si>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</si>
  <si>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</si>
  <si>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</si>
  <si>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</si>
  <si>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</si>
  <si>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</si>
  <si>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</si>
  <si>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</si>
  <si>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</si>
  <si>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</si>
  <si>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</si>
  <si>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</si>
  <si>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</si>
  <si>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</si>
  <si>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</si>
  <si>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</si>
  <si>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</si>
  <si>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</si>
  <si>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</si>
  <si>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</si>
  <si>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</si>
  <si>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</si>
  <si>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</si>
  <si>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</si>
  <si>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</si>
  <si>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</si>
  <si>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</si>
  <si>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</si>
  <si>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</si>
  <si>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</si>
  <si>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</si>
  <si>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</si>
  <si>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</si>
  <si>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</si>
  <si>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</si>
  <si>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</si>
  <si>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</si>
  <si>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</si>
  <si>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</si>
  <si>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</si>
  <si>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</si>
  <si>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</si>
  <si>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</si>
  <si>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</si>
  <si>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</si>
  <si>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</si>
  <si>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</si>
  <si>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</si>
  <si>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</si>
  <si>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</si>
  <si>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</si>
  <si>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</si>
  <si>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</si>
  <si>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</si>
  <si>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</si>
  <si>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</si>
  <si>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</si>
  <si>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</si>
  <si>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</si>
  <si>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</si>
  <si>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</si>
  <si>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</si>
  <si>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</si>
  <si>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</si>
  <si>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</si>
  <si>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</si>
  <si>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</si>
  <si>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</si>
  <si>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</si>
  <si>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</si>
  <si>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</si>
  <si>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</si>
  <si>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</si>
  <si>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</si>
  <si>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</si>
  <si>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</si>
  <si>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</si>
  <si>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</si>
  <si>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</si>
  <si>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</si>
  <si>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</si>
  <si>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</si>
  <si>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</si>
  <si>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</si>
  <si>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</si>
  <si>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</si>
  <si>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</si>
  <si>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</si>
  <si>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</si>
  <si>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</si>
  <si>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</si>
  <si>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</si>
  <si>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</si>
  <si>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</si>
  <si>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</si>
  <si>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</si>
  <si>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</si>
  <si>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</si>
  <si>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</si>
  <si>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</si>
  <si>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</si>
  <si>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</si>
  <si>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</si>
  <si>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</si>
  <si>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</si>
  <si>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</si>
  <si>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</si>
  <si>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</si>
  <si>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</si>
  <si>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</si>
  <si>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</si>
  <si>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</si>
  <si>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</si>
  <si>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</si>
  <si>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</si>
  <si>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</si>
  <si>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</si>
  <si>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</si>
  <si>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</si>
  <si>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</si>
  <si>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</si>
  <si>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</si>
  <si>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</si>
  <si>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</si>
  <si>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</si>
  <si>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</si>
  <si>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</si>
  <si>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</si>
  <si>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</si>
  <si>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</si>
  <si>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</si>
  <si>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</si>
  <si>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</si>
  <si>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</si>
  <si>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</si>
  <si>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</si>
  <si>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</si>
  <si>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</si>
  <si>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</si>
  <si>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</si>
  <si>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</si>
  <si>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</si>
  <si>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</si>
  <si>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</si>
  <si>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</si>
  <si>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</si>
  <si>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</si>
  <si>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</si>
  <si>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</si>
  <si>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</si>
  <si>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</si>
  <si>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</si>
  <si>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</si>
  <si>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</si>
  <si>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</si>
  <si>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</si>
  <si>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</si>
  <si>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</si>
  <si>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</si>
  <si>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</si>
  <si>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</si>
  <si>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</si>
  <si>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</si>
  <si>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</si>
  <si>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</si>
  <si>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</si>
  <si>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</si>
  <si>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</si>
  <si>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</si>
  <si>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</si>
  <si>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</si>
  <si>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</si>
  <si>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</si>
  <si>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</si>
  <si>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</si>
  <si>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</si>
  <si>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</si>
  <si>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</si>
  <si>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</si>
  <si>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</si>
  <si>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</si>
  <si>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</si>
  <si>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</si>
  <si>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</si>
  <si>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</si>
  <si>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</si>
  <si>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</si>
  <si>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</si>
  <si>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</si>
  <si>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</si>
  <si>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</si>
  <si>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</si>
  <si>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</si>
  <si>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</si>
  <si>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</si>
  <si>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</si>
  <si>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</si>
  <si>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</si>
  <si>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</si>
  <si>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</si>
  <si>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</si>
  <si>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</si>
  <si>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</si>
  <si>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</si>
  <si>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</si>
  <si>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</si>
  <si>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</si>
  <si>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</si>
  <si>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</si>
  <si>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</si>
  <si>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</si>
  <si>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</si>
  <si>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</si>
  <si>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</si>
  <si>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</si>
  <si>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</si>
  <si>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</si>
  <si>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</si>
  <si>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</si>
  <si>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</si>
  <si>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</si>
  <si>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</si>
  <si>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</si>
  <si>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</si>
  <si>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</si>
  <si>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</si>
  <si>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</si>
  <si>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</si>
  <si>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</si>
  <si>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</si>
  <si>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</si>
  <si>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</si>
  <si>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</si>
  <si>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</si>
  <si>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</si>
  <si>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</si>
  <si>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</si>
  <si>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</si>
  <si>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</si>
  <si>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</si>
  <si>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</si>
  <si>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</si>
  <si>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</si>
  <si>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</si>
  <si>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</si>
  <si>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</si>
  <si>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</si>
  <si>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</si>
  <si>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</si>
  <si>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</si>
  <si>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</si>
  <si>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</si>
  <si>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</si>
  <si>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</si>
  <si>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</si>
  <si>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</si>
  <si>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</si>
  <si>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</si>
  <si>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</si>
  <si>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</si>
  <si>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</si>
  <si>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</si>
  <si>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</si>
  <si>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</si>
  <si>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</si>
  <si>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</si>
  <si>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</si>
  <si>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</si>
  <si>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</si>
  <si>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</si>
  <si>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</si>
  <si>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</si>
  <si>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</si>
  <si>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</si>
  <si>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</si>
  <si>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</si>
  <si>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</si>
  <si>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</si>
  <si>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</si>
  <si>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</si>
  <si>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</si>
  <si>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</si>
  <si>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</si>
  <si>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</si>
  <si>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</si>
  <si>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</si>
  <si>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</si>
  <si>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</si>
  <si>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</si>
  <si>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</si>
  <si>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</si>
  <si>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</si>
  <si>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</si>
  <si>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</si>
  <si>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</si>
  <si>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</si>
  <si>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</si>
  <si>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</si>
  <si>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</si>
  <si>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</si>
  <si>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</si>
  <si>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</si>
  <si>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</si>
  <si>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</si>
  <si>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</si>
  <si>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</si>
  <si>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</si>
  <si>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</si>
  <si>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</si>
  <si>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</si>
  <si>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</si>
  <si>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</si>
  <si>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</si>
  <si>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</si>
  <si>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</si>
  <si>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</si>
  <si>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</si>
  <si>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</si>
  <si>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</si>
  <si>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</si>
  <si>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</si>
  <si>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</si>
  <si>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</si>
  <si>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</si>
  <si>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</si>
  <si>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</si>
  <si>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</si>
  <si>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</si>
  <si>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</si>
  <si>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</si>
  <si>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</si>
  <si>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</si>
  <si>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</si>
  <si>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</si>
  <si>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</si>
  <si>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</si>
  <si>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</si>
  <si>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</si>
  <si>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</si>
  <si>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</si>
  <si>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</si>
  <si>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</si>
  <si>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</si>
  <si>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</si>
  <si>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</si>
  <si>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</si>
  <si>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</si>
  <si>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</si>
  <si>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</si>
  <si>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</si>
  <si>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</si>
  <si>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</si>
  <si>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</si>
  <si>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</si>
  <si>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</si>
  <si>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</si>
  <si>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</si>
  <si>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</si>
  <si>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</si>
  <si>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</si>
  <si>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</si>
  <si>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</si>
  <si>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</si>
  <si>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</si>
  <si>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</si>
  <si>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</si>
  <si>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</si>
  <si>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</si>
  <si>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</si>
  <si>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</si>
  <si>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</si>
  <si>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</si>
  <si>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</si>
  <si>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</si>
  <si>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</si>
  <si>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</si>
  <si>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</si>
  <si>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</si>
  <si>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</si>
  <si>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</si>
  <si>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</si>
  <si>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</si>
  <si>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</si>
  <si>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</si>
  <si>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</si>
  <si>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</si>
  <si>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</si>
  <si>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</si>
  <si>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</si>
  <si>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</si>
  <si>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</si>
  <si>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</si>
  <si>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</si>
  <si>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</si>
  <si>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</si>
  <si>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</si>
  <si>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</si>
  <si>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</si>
  <si>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</si>
  <si>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</si>
  <si>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</si>
  <si>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</si>
  <si>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</si>
  <si>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</si>
  <si>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</si>
  <si>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</si>
  <si>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</si>
  <si>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</si>
  <si>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</si>
  <si>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</si>
  <si>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</si>
  <si>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</si>
  <si>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</si>
  <si>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</si>
  <si>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</si>
  <si>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</si>
  <si>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</si>
  <si>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</si>
  <si>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</si>
  <si>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</si>
  <si>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</si>
  <si>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</si>
  <si>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</si>
  <si>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</si>
  <si>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</si>
  <si>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</si>
  <si>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</si>
  <si>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</si>
  <si>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</si>
  <si>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</si>
  <si>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</si>
  <si>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</si>
  <si>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</si>
  <si>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</si>
  <si>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</si>
  <si>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</si>
  <si>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</si>
  <si>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</si>
  <si>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</si>
  <si>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</si>
  <si>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</si>
  <si>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</si>
  <si>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</si>
  <si>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</si>
  <si>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</si>
  <si>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</si>
  <si>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</si>
  <si>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</si>
  <si>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</si>
  <si>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</si>
  <si>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</si>
  <si>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</si>
  <si>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</si>
  <si>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</si>
  <si>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</si>
  <si>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</si>
  <si>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</si>
  <si>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</si>
  <si>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</si>
  <si>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</si>
  <si>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</si>
  <si>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</si>
  <si>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</si>
  <si>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</si>
  <si>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</si>
  <si>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</si>
  <si>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</si>
  <si>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</si>
  <si>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</si>
  <si>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</si>
  <si>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</si>
  <si>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</si>
  <si>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</si>
  <si>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</si>
  <si>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</si>
  <si>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</si>
  <si>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</si>
  <si>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</si>
  <si>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</si>
  <si>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</si>
  <si>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</si>
  <si>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</si>
  <si>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</si>
  <si>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</si>
  <si>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</si>
  <si>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</si>
  <si>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</si>
  <si>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</si>
  <si>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</si>
  <si>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</si>
  <si>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</si>
  <si>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</si>
  <si>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</si>
  <si>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</si>
  <si>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</si>
  <si>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</si>
  <si>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</si>
  <si>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</si>
  <si>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</si>
  <si>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</si>
  <si>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</si>
  <si>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</si>
  <si>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</si>
  <si>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</si>
  <si>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</si>
  <si>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</si>
  <si>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</si>
  <si>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</si>
  <si>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</si>
  <si>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</si>
  <si>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</si>
  <si>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</si>
  <si>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</si>
  <si>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</si>
  <si>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</si>
  <si>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</si>
  <si>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</si>
  <si>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</si>
  <si>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</si>
  <si>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</si>
  <si>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</si>
  <si>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</si>
  <si>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</si>
  <si>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</si>
  <si>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</si>
  <si>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</si>
  <si>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</si>
  <si>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</si>
  <si>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</si>
  <si>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</si>
  <si>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</si>
  <si>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</si>
  <si>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</si>
  <si>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</si>
  <si>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</si>
  <si>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</si>
  <si>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</si>
  <si>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</si>
  <si>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</si>
  <si>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</si>
  <si>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</si>
  <si>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</si>
  <si>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</si>
  <si>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</si>
  <si>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</si>
  <si>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</si>
  <si>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</si>
  <si>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</si>
  <si>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</si>
  <si>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</si>
  <si>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</si>
  <si>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</si>
  <si>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</si>
  <si>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</si>
  <si>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</si>
  <si>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</si>
  <si>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</si>
  <si>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</si>
  <si>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</si>
  <si>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</si>
  <si>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</si>
  <si>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</si>
  <si>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</si>
  <si>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</si>
  <si>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</si>
  <si>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</si>
  <si>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</si>
  <si>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</si>
  <si>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</si>
  <si>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</si>
  <si>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</si>
  <si>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</si>
  <si>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</si>
  <si>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</si>
  <si>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</si>
  <si>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</si>
  <si>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</si>
  <si>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</si>
  <si>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</si>
  <si>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</si>
  <si>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</si>
  <si>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11052</t>
  </si>
  <si>
    <t>WOMMELGEM</t>
  </si>
  <si>
    <t>Paarden&amp;pony's 200 - 600 kg</t>
  </si>
  <si>
    <t>Paarden&amp;pony's &lt; 200 kg</t>
  </si>
  <si>
    <t>Fluvius</t>
  </si>
  <si>
    <t>referentietaak LNE (2017); Jaarverslag De Lijn</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</si>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</sst>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90816.138217358442</c:v>
                </c:pt>
                <c:pt idx="1">
                  <c:v>68534.91850171164</c:v>
                </c:pt>
                <c:pt idx="2">
                  <c:v>875.68399999999997</c:v>
                </c:pt>
                <c:pt idx="3">
                  <c:v>11665.754772684857</c:v>
                </c:pt>
                <c:pt idx="4">
                  <c:v>141655.75666231374</c:v>
                </c:pt>
                <c:pt idx="5">
                  <c:v>258339.99951844319</c:v>
                </c:pt>
                <c:pt idx="6">
                  <c:v>2413.973806871606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90816.138217358442</c:v>
                </c:pt>
                <c:pt idx="1">
                  <c:v>68534.91850171164</c:v>
                </c:pt>
                <c:pt idx="2">
                  <c:v>875.68399999999997</c:v>
                </c:pt>
                <c:pt idx="3">
                  <c:v>11665.754772684857</c:v>
                </c:pt>
                <c:pt idx="4">
                  <c:v>141655.75666231374</c:v>
                </c:pt>
                <c:pt idx="5">
                  <c:v>258339.99951844319</c:v>
                </c:pt>
                <c:pt idx="6">
                  <c:v>2413.973806871606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17616.798846477617</c:v>
                </c:pt>
                <c:pt idx="2">
                  <c:v>14012.500561904735</c:v>
                </c:pt>
                <c:pt idx="3">
                  <c:v>187.62720461086818</c:v>
                </c:pt>
                <c:pt idx="4">
                  <c:v>2800.8767986698285</c:v>
                </c:pt>
                <c:pt idx="5">
                  <c:v>30611.27482765682</c:v>
                </c:pt>
                <c:pt idx="6">
                  <c:v>64867.178817695392</c:v>
                </c:pt>
                <c:pt idx="7">
                  <c:v>609.68336120622746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17616.798846477617</c:v>
                </c:pt>
                <c:pt idx="2">
                  <c:v>14012.500561904735</c:v>
                </c:pt>
                <c:pt idx="3">
                  <c:v>187.62720461086818</c:v>
                </c:pt>
                <c:pt idx="4">
                  <c:v>2800.8767986698285</c:v>
                </c:pt>
                <c:pt idx="5">
                  <c:v>30611.27482765682</c:v>
                </c:pt>
                <c:pt idx="6">
                  <c:v>64867.178817695392</c:v>
                </c:pt>
                <c:pt idx="7">
                  <c:v>609.68336120622746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11052</v>
      </c>
      <c r="B6" s="391"/>
      <c r="C6" s="392"/>
    </row>
    <row r="7" spans="1:7" s="389" customFormat="1" ht="15.75" customHeight="1">
      <c r="A7" s="393" t="str">
        <f>txtMunicipality</f>
        <v>WOMMELGEM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0.21426359806833079</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0.21426359806833079</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5050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340</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20</v>
      </c>
      <c r="C17" s="330"/>
      <c r="D17" s="330"/>
      <c r="E17" s="330"/>
      <c r="F17" s="330"/>
    </row>
    <row r="18" spans="1:6">
      <c r="A18" s="1305" t="s">
        <v>8</v>
      </c>
      <c r="B18" s="1306">
        <v>19</v>
      </c>
      <c r="C18" s="330"/>
      <c r="D18" s="330"/>
      <c r="E18" s="330"/>
      <c r="F18" s="330"/>
    </row>
    <row r="19" spans="1:6">
      <c r="A19" s="1305" t="s">
        <v>9</v>
      </c>
      <c r="B19" s="1306">
        <v>10</v>
      </c>
      <c r="C19" s="330"/>
      <c r="D19" s="330"/>
      <c r="E19" s="330"/>
      <c r="F19" s="330"/>
    </row>
    <row r="20" spans="1:6">
      <c r="A20" s="1305" t="s">
        <v>10</v>
      </c>
      <c r="B20" s="1306">
        <v>27</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54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35</v>
      </c>
      <c r="C29" s="336"/>
      <c r="D29" s="336"/>
      <c r="E29" s="336"/>
      <c r="F29" s="336"/>
    </row>
    <row r="30" spans="1:6">
      <c r="A30" s="1300" t="s">
        <v>910</v>
      </c>
      <c r="B30" s="1309">
        <v>20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11671.663384441499</v>
      </c>
      <c r="E38" s="1306">
        <v>3</v>
      </c>
      <c r="F38" s="1306">
        <v>18626.97</v>
      </c>
    </row>
    <row r="39" spans="1:6">
      <c r="A39" s="1305" t="s">
        <v>29</v>
      </c>
      <c r="B39" s="1305" t="s">
        <v>30</v>
      </c>
      <c r="C39" s="1306">
        <v>4142</v>
      </c>
      <c r="D39" s="1306">
        <v>64023333.015004799</v>
      </c>
      <c r="E39" s="1306">
        <v>5142</v>
      </c>
      <c r="F39" s="1306">
        <v>20361523</v>
      </c>
    </row>
    <row r="40" spans="1:6">
      <c r="A40" s="1305" t="s">
        <v>29</v>
      </c>
      <c r="B40" s="1305" t="s">
        <v>28</v>
      </c>
      <c r="C40" s="1306">
        <v>0</v>
      </c>
      <c r="D40" s="1306">
        <v>0</v>
      </c>
      <c r="E40" s="1306">
        <v>0</v>
      </c>
      <c r="F40" s="1306">
        <v>0</v>
      </c>
    </row>
    <row r="41" spans="1:6">
      <c r="A41" s="1305" t="s">
        <v>31</v>
      </c>
      <c r="B41" s="1305" t="s">
        <v>32</v>
      </c>
      <c r="C41" s="1306">
        <v>72</v>
      </c>
      <c r="D41" s="1306">
        <v>1648428.29967646</v>
      </c>
      <c r="E41" s="1306">
        <v>125</v>
      </c>
      <c r="F41" s="1306">
        <v>1409221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13</v>
      </c>
      <c r="D44" s="1306">
        <v>47421520.9289065</v>
      </c>
      <c r="E44" s="1306">
        <v>20</v>
      </c>
      <c r="F44" s="1306">
        <v>365687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3227147.8413364398</v>
      </c>
      <c r="E47" s="1306">
        <v>5</v>
      </c>
      <c r="F47" s="1306">
        <v>2999605</v>
      </c>
    </row>
    <row r="48" spans="1:6">
      <c r="A48" s="1305" t="s">
        <v>31</v>
      </c>
      <c r="B48" s="1305" t="s">
        <v>28</v>
      </c>
      <c r="C48" s="1306">
        <v>20</v>
      </c>
      <c r="D48" s="1306">
        <v>2989980.8414915898</v>
      </c>
      <c r="E48" s="1306">
        <v>42</v>
      </c>
      <c r="F48" s="1306">
        <v>5512815</v>
      </c>
    </row>
    <row r="49" spans="1:6">
      <c r="A49" s="1305" t="s">
        <v>31</v>
      </c>
      <c r="B49" s="1305" t="s">
        <v>39</v>
      </c>
      <c r="C49" s="1306">
        <v>0</v>
      </c>
      <c r="D49" s="1306">
        <v>0</v>
      </c>
      <c r="E49" s="1306">
        <v>0</v>
      </c>
      <c r="F49" s="1306">
        <v>0</v>
      </c>
    </row>
    <row r="50" spans="1:6">
      <c r="A50" s="1305" t="s">
        <v>31</v>
      </c>
      <c r="B50" s="1305" t="s">
        <v>40</v>
      </c>
      <c r="C50" s="1306">
        <v>9</v>
      </c>
      <c r="D50" s="1306">
        <v>22135052.616954099</v>
      </c>
      <c r="E50" s="1306">
        <v>10</v>
      </c>
      <c r="F50" s="1306">
        <v>19056932</v>
      </c>
    </row>
    <row r="51" spans="1:6">
      <c r="A51" s="1305" t="s">
        <v>41</v>
      </c>
      <c r="B51" s="1305" t="s">
        <v>42</v>
      </c>
      <c r="C51" s="1306">
        <v>3</v>
      </c>
      <c r="D51" s="1306">
        <v>10260222.851797501</v>
      </c>
      <c r="E51" s="1306">
        <v>13</v>
      </c>
      <c r="F51" s="1306">
        <v>368974.9</v>
      </c>
    </row>
    <row r="52" spans="1:6">
      <c r="A52" s="1305" t="s">
        <v>41</v>
      </c>
      <c r="B52" s="1305" t="s">
        <v>28</v>
      </c>
      <c r="C52" s="1306">
        <v>5</v>
      </c>
      <c r="D52" s="1306">
        <v>204312.677768175</v>
      </c>
      <c r="E52" s="1306">
        <v>5</v>
      </c>
      <c r="F52" s="1306">
        <v>45734.3</v>
      </c>
    </row>
    <row r="53" spans="1:6">
      <c r="A53" s="1305" t="s">
        <v>43</v>
      </c>
      <c r="B53" s="1305" t="s">
        <v>44</v>
      </c>
      <c r="C53" s="1306">
        <v>94</v>
      </c>
      <c r="D53" s="1306">
        <v>3139185.1142793102</v>
      </c>
      <c r="E53" s="1306">
        <v>200</v>
      </c>
      <c r="F53" s="1306">
        <v>936223.1</v>
      </c>
    </row>
    <row r="54" spans="1:6">
      <c r="A54" s="1305" t="s">
        <v>45</v>
      </c>
      <c r="B54" s="1305" t="s">
        <v>46</v>
      </c>
      <c r="C54" s="1306">
        <v>0</v>
      </c>
      <c r="D54" s="1306">
        <v>0</v>
      </c>
      <c r="E54" s="1306">
        <v>1</v>
      </c>
      <c r="F54" s="1306">
        <v>875684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26</v>
      </c>
      <c r="D57" s="1306">
        <v>1173540.2770318701</v>
      </c>
      <c r="E57" s="1306">
        <v>50</v>
      </c>
      <c r="F57" s="1306">
        <v>2024390</v>
      </c>
    </row>
    <row r="58" spans="1:6">
      <c r="A58" s="1305" t="s">
        <v>48</v>
      </c>
      <c r="B58" s="1305" t="s">
        <v>50</v>
      </c>
      <c r="C58" s="1306">
        <v>10</v>
      </c>
      <c r="D58" s="1306">
        <v>198418.77653558899</v>
      </c>
      <c r="E58" s="1306">
        <v>14</v>
      </c>
      <c r="F58" s="1306">
        <v>192713.7</v>
      </c>
    </row>
    <row r="59" spans="1:6">
      <c r="A59" s="1305" t="s">
        <v>48</v>
      </c>
      <c r="B59" s="1305" t="s">
        <v>51</v>
      </c>
      <c r="C59" s="1306">
        <v>155</v>
      </c>
      <c r="D59" s="1306">
        <v>8983954.5745243505</v>
      </c>
      <c r="E59" s="1306">
        <v>262</v>
      </c>
      <c r="F59" s="1306">
        <v>12345431</v>
      </c>
    </row>
    <row r="60" spans="1:6">
      <c r="A60" s="1305" t="s">
        <v>48</v>
      </c>
      <c r="B60" s="1305" t="s">
        <v>52</v>
      </c>
      <c r="C60" s="1306">
        <v>43</v>
      </c>
      <c r="D60" s="1306">
        <v>1833170.8046848499</v>
      </c>
      <c r="E60" s="1306">
        <v>49</v>
      </c>
      <c r="F60" s="1306">
        <v>1019364</v>
      </c>
    </row>
    <row r="61" spans="1:6">
      <c r="A61" s="1305" t="s">
        <v>48</v>
      </c>
      <c r="B61" s="1305" t="s">
        <v>53</v>
      </c>
      <c r="C61" s="1306">
        <v>116</v>
      </c>
      <c r="D61" s="1306">
        <v>5657615.7901558802</v>
      </c>
      <c r="E61" s="1306">
        <v>247</v>
      </c>
      <c r="F61" s="1306">
        <v>5494611</v>
      </c>
    </row>
    <row r="62" spans="1:6">
      <c r="A62" s="1305" t="s">
        <v>48</v>
      </c>
      <c r="B62" s="1305" t="s">
        <v>54</v>
      </c>
      <c r="C62" s="1306">
        <v>0</v>
      </c>
      <c r="D62" s="1306">
        <v>0</v>
      </c>
      <c r="E62" s="1306">
        <v>3</v>
      </c>
      <c r="F62" s="1306">
        <v>99832</v>
      </c>
    </row>
    <row r="63" spans="1:6">
      <c r="A63" s="1305" t="s">
        <v>48</v>
      </c>
      <c r="B63" s="1305" t="s">
        <v>28</v>
      </c>
      <c r="C63" s="1306">
        <v>110</v>
      </c>
      <c r="D63" s="1306">
        <v>17886588.8040688</v>
      </c>
      <c r="E63" s="1306">
        <v>120</v>
      </c>
      <c r="F63" s="1306">
        <v>8347255</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12719.84</v>
      </c>
    </row>
    <row r="66" spans="1:6">
      <c r="A66" s="1305" t="s">
        <v>55</v>
      </c>
      <c r="B66" s="1305" t="s">
        <v>57</v>
      </c>
      <c r="C66" s="1306">
        <v>0</v>
      </c>
      <c r="D66" s="1306">
        <v>0</v>
      </c>
      <c r="E66" s="1306">
        <v>14</v>
      </c>
      <c r="F66" s="1306">
        <v>381628.1</v>
      </c>
    </row>
    <row r="67" spans="1:6">
      <c r="A67" s="1307" t="s">
        <v>55</v>
      </c>
      <c r="B67" s="1307" t="s">
        <v>58</v>
      </c>
      <c r="C67" s="1306">
        <v>13</v>
      </c>
      <c r="D67" s="1306">
        <v>1821601.48767226</v>
      </c>
      <c r="E67" s="1306">
        <v>38</v>
      </c>
      <c r="F67" s="1306">
        <v>712436</v>
      </c>
    </row>
    <row r="68" spans="1:6">
      <c r="A68" s="1300" t="s">
        <v>55</v>
      </c>
      <c r="B68" s="1300" t="s">
        <v>59</v>
      </c>
      <c r="C68" s="1309">
        <v>8</v>
      </c>
      <c r="D68" s="1309">
        <v>693212.08477371896</v>
      </c>
      <c r="E68" s="1309">
        <v>15</v>
      </c>
      <c r="F68" s="1309">
        <v>480284.3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36658899</v>
      </c>
      <c r="E73" s="450"/>
      <c r="F73" s="330"/>
    </row>
    <row r="74" spans="1:6">
      <c r="A74" s="1305" t="s">
        <v>63</v>
      </c>
      <c r="B74" s="1305" t="s">
        <v>710</v>
      </c>
      <c r="C74" s="1319" t="s">
        <v>712</v>
      </c>
      <c r="D74" s="1320">
        <v>3628840.6870271186</v>
      </c>
      <c r="E74" s="450"/>
      <c r="F74" s="330"/>
    </row>
    <row r="75" spans="1:6">
      <c r="A75" s="1305" t="s">
        <v>64</v>
      </c>
      <c r="B75" s="1305" t="s">
        <v>709</v>
      </c>
      <c r="C75" s="1319" t="s">
        <v>713</v>
      </c>
      <c r="D75" s="1320">
        <v>11993147</v>
      </c>
      <c r="E75" s="450"/>
      <c r="F75" s="330"/>
    </row>
    <row r="76" spans="1:6">
      <c r="A76" s="1305" t="s">
        <v>64</v>
      </c>
      <c r="B76" s="1305" t="s">
        <v>710</v>
      </c>
      <c r="C76" s="1319" t="s">
        <v>714</v>
      </c>
      <c r="D76" s="1320">
        <v>1313163.6870271186</v>
      </c>
      <c r="E76" s="450"/>
      <c r="F76" s="330"/>
    </row>
    <row r="77" spans="1:6">
      <c r="A77" s="1305" t="s">
        <v>65</v>
      </c>
      <c r="B77" s="1305" t="s">
        <v>709</v>
      </c>
      <c r="C77" s="1319" t="s">
        <v>715</v>
      </c>
      <c r="D77" s="1320">
        <v>167859229</v>
      </c>
      <c r="E77" s="450"/>
      <c r="F77" s="330"/>
    </row>
    <row r="78" spans="1:6">
      <c r="A78" s="1300" t="s">
        <v>65</v>
      </c>
      <c r="B78" s="1300" t="s">
        <v>710</v>
      </c>
      <c r="C78" s="1300" t="s">
        <v>716</v>
      </c>
      <c r="D78" s="1321">
        <v>37008202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648152.62594576285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2061.9373779661632</v>
      </c>
      <c r="C91" s="330"/>
      <c r="D91" s="330"/>
      <c r="E91" s="330"/>
      <c r="F91" s="330"/>
    </row>
    <row r="92" spans="1:6">
      <c r="A92" s="1300" t="s">
        <v>68</v>
      </c>
      <c r="B92" s="1301">
        <v>3017.5797451658736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3049</v>
      </c>
      <c r="C97" s="330"/>
      <c r="D97" s="330"/>
      <c r="E97" s="330"/>
      <c r="F97" s="330"/>
    </row>
    <row r="98" spans="1:6">
      <c r="A98" s="1305" t="s">
        <v>71</v>
      </c>
      <c r="B98" s="1306">
        <v>2</v>
      </c>
      <c r="C98" s="330"/>
      <c r="D98" s="330"/>
      <c r="E98" s="330"/>
      <c r="F98" s="330"/>
    </row>
    <row r="99" spans="1:6">
      <c r="A99" s="1305" t="s">
        <v>72</v>
      </c>
      <c r="B99" s="1306">
        <v>32</v>
      </c>
      <c r="C99" s="330"/>
      <c r="D99" s="330"/>
      <c r="E99" s="330"/>
      <c r="F99" s="330"/>
    </row>
    <row r="100" spans="1:6">
      <c r="A100" s="1305" t="s">
        <v>73</v>
      </c>
      <c r="B100" s="1306">
        <v>376</v>
      </c>
      <c r="C100" s="330"/>
      <c r="D100" s="330"/>
      <c r="E100" s="330"/>
      <c r="F100" s="330"/>
    </row>
    <row r="101" spans="1:6">
      <c r="A101" s="1305" t="s">
        <v>74</v>
      </c>
      <c r="B101" s="1306">
        <v>46</v>
      </c>
      <c r="C101" s="330"/>
      <c r="D101" s="330"/>
      <c r="E101" s="330"/>
      <c r="F101" s="330"/>
    </row>
    <row r="102" spans="1:6">
      <c r="A102" s="1305" t="s">
        <v>75</v>
      </c>
      <c r="B102" s="1306">
        <v>41</v>
      </c>
      <c r="C102" s="330"/>
      <c r="D102" s="330"/>
      <c r="E102" s="330"/>
      <c r="F102" s="330"/>
    </row>
    <row r="103" spans="1:6">
      <c r="A103" s="1305" t="s">
        <v>76</v>
      </c>
      <c r="B103" s="1306">
        <v>57</v>
      </c>
      <c r="C103" s="330"/>
      <c r="D103" s="330"/>
      <c r="E103" s="330"/>
      <c r="F103" s="330"/>
    </row>
    <row r="104" spans="1:6">
      <c r="A104" s="1305" t="s">
        <v>77</v>
      </c>
      <c r="B104" s="1306">
        <v>856</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16</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87</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102433.42986356409</v>
      </c>
      <c r="C3" s="43" t="s">
        <v>169</v>
      </c>
      <c r="D3" s="43"/>
      <c r="E3" s="154"/>
      <c r="F3" s="43"/>
      <c r="G3" s="43"/>
      <c r="H3" s="43"/>
      <c r="I3" s="43"/>
      <c r="J3" s="43"/>
      <c r="K3" s="96"/>
    </row>
    <row r="4" spans="1:11">
      <c r="A4" s="359" t="s">
        <v>170</v>
      </c>
      <c r="B4" s="49">
        <f>IF(ISERROR('SEAP template'!B78+'SEAP template'!C78),0,'SEAP template'!B78+'SEAP template'!C78)</f>
        <v>31062.517123132035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6174.783529411764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0.21426359806833079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8821.119327731094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37118.571428571428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875.68399999999997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875.68399999999997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0.21426359806833079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187.62720461086818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20361.523000000001</v>
      </c>
      <c r="C5" s="17">
        <f>IF(ISERROR('Eigen informatie GS &amp; warmtenet'!B57),0,'Eigen informatie GS &amp; warmtenet'!B57)</f>
        <v>0</v>
      </c>
      <c r="D5" s="30">
        <f>(SUM(HH_hh_gas_kWh,HH_rest_gas_kWh)/1000)*0.902</f>
        <v>57749.046379534331</v>
      </c>
      <c r="E5" s="17">
        <f>B46*B57</f>
        <v>5052.6880003788528</v>
      </c>
      <c r="F5" s="17">
        <f>B51*B62</f>
        <v>0</v>
      </c>
      <c r="G5" s="18"/>
      <c r="H5" s="17"/>
      <c r="I5" s="17"/>
      <c r="J5" s="17">
        <f>B50*B61+C50*C61</f>
        <v>0</v>
      </c>
      <c r="K5" s="17"/>
      <c r="L5" s="17"/>
      <c r="M5" s="17"/>
      <c r="N5" s="17">
        <f>B48*B59+C48*C59</f>
        <v>5237.6901261457515</v>
      </c>
      <c r="O5" s="17">
        <f>B69*B70*B71</f>
        <v>162.58666666666667</v>
      </c>
      <c r="P5" s="17">
        <f>B77*B78*B79/1000-B77*B78*B79/1000/B80</f>
        <v>190.66666666666669</v>
      </c>
    </row>
    <row r="6" spans="1:16">
      <c r="A6" s="16" t="s">
        <v>630</v>
      </c>
      <c r="B6" s="763">
        <f>kWh_PV_kleiner_dan_10kW</f>
        <v>2061.9373779661632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22423.460377966163</v>
      </c>
      <c r="C8" s="21">
        <f>C5</f>
        <v>0</v>
      </c>
      <c r="D8" s="21">
        <f>D5</f>
        <v>57749.046379534331</v>
      </c>
      <c r="E8" s="21">
        <f>E5</f>
        <v>5052.6880003788528</v>
      </c>
      <c r="F8" s="21">
        <f>F5</f>
        <v>0</v>
      </c>
      <c r="G8" s="21"/>
      <c r="H8" s="21"/>
      <c r="I8" s="21"/>
      <c r="J8" s="21">
        <f>J5</f>
        <v>0</v>
      </c>
      <c r="K8" s="21"/>
      <c r="L8" s="21">
        <f>L5</f>
        <v>0</v>
      </c>
      <c r="M8" s="21">
        <f>M5</f>
        <v>0</v>
      </c>
      <c r="N8" s="21">
        <f>N5</f>
        <v>5237.6901261457515</v>
      </c>
      <c r="O8" s="21">
        <f>O5</f>
        <v>162.58666666666667</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0.21426359806833079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4804.5313017256831</v>
      </c>
      <c r="C12" s="23">
        <f ca="1">C10*C8</f>
        <v>0</v>
      </c>
      <c r="D12" s="23">
        <f>D8*D10</f>
        <v>11665.307368665935</v>
      </c>
      <c r="E12" s="23">
        <f>E10*E8</f>
        <v>1146.9601760859996</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3049</v>
      </c>
      <c r="C18" s="166" t="s">
        <v>110</v>
      </c>
      <c r="D18" s="228"/>
      <c r="E18" s="15"/>
    </row>
    <row r="19" spans="1:7">
      <c r="A19" s="171" t="s">
        <v>71</v>
      </c>
      <c r="B19" s="37">
        <f>aantalw2001_ander</f>
        <v>2</v>
      </c>
      <c r="C19" s="166" t="s">
        <v>110</v>
      </c>
      <c r="D19" s="229"/>
      <c r="E19" s="15"/>
    </row>
    <row r="20" spans="1:7">
      <c r="A20" s="171" t="s">
        <v>72</v>
      </c>
      <c r="B20" s="37">
        <f>aantalw2001_propaan</f>
        <v>32</v>
      </c>
      <c r="C20" s="167">
        <f>IF(ISERROR(B20/SUM($B$20,$B$21,$B$22)*100),0,B20/SUM($B$20,$B$21,$B$22)*100)</f>
        <v>7.0484581497797363</v>
      </c>
      <c r="D20" s="229"/>
      <c r="E20" s="15"/>
    </row>
    <row r="21" spans="1:7">
      <c r="A21" s="171" t="s">
        <v>73</v>
      </c>
      <c r="B21" s="37">
        <f>aantalw2001_elektriciteit</f>
        <v>376</v>
      </c>
      <c r="C21" s="167">
        <f>IF(ISERROR(B21/SUM($B$20,$B$21,$B$22)*100),0,B21/SUM($B$20,$B$21,$B$22)*100)</f>
        <v>82.819383259911888</v>
      </c>
      <c r="D21" s="229"/>
      <c r="E21" s="15"/>
    </row>
    <row r="22" spans="1:7">
      <c r="A22" s="171" t="s">
        <v>74</v>
      </c>
      <c r="B22" s="37">
        <f>aantalw2001_hout</f>
        <v>46</v>
      </c>
      <c r="C22" s="167">
        <f>IF(ISERROR(B22/SUM($B$20,$B$21,$B$22)*100),0,B22/SUM($B$20,$B$21,$B$22)*100)</f>
        <v>10.13215859030837</v>
      </c>
      <c r="D22" s="229"/>
      <c r="E22" s="15"/>
    </row>
    <row r="23" spans="1:7">
      <c r="A23" s="171" t="s">
        <v>75</v>
      </c>
      <c r="B23" s="37">
        <f>aantalw2001_niet_gespec</f>
        <v>41</v>
      </c>
      <c r="C23" s="166" t="s">
        <v>110</v>
      </c>
      <c r="D23" s="228"/>
      <c r="E23" s="15"/>
    </row>
    <row r="24" spans="1:7">
      <c r="A24" s="171" t="s">
        <v>76</v>
      </c>
      <c r="B24" s="37">
        <f>aantalw2001_steenkool</f>
        <v>57</v>
      </c>
      <c r="C24" s="166" t="s">
        <v>110</v>
      </c>
      <c r="D24" s="229"/>
      <c r="E24" s="15"/>
    </row>
    <row r="25" spans="1:7">
      <c r="A25" s="171" t="s">
        <v>77</v>
      </c>
      <c r="B25" s="37">
        <f>aantalw2001_stookolie</f>
        <v>856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5050</v>
      </c>
      <c r="C28" s="36"/>
      <c r="D28" s="228"/>
    </row>
    <row r="29" spans="1:7" s="15" customFormat="1">
      <c r="A29" s="230" t="s">
        <v>737</v>
      </c>
      <c r="B29" s="37">
        <f>SUM(HH_hh_gas_aantal,HH_rest_gas_aantal)</f>
        <v>4142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4142</v>
      </c>
      <c r="C32" s="167">
        <f>IF(ISERROR(B32/SUM($B$32,$B$34,$B$35,$B$36,$B$38,$B$39)*100),0,B32/SUM($B$32,$B$34,$B$35,$B$36,$B$38,$B$39)*100)</f>
        <v>82.182539682539684</v>
      </c>
      <c r="D32" s="233"/>
      <c r="G32" s="15"/>
    </row>
    <row r="33" spans="1:7">
      <c r="A33" s="171" t="s">
        <v>71</v>
      </c>
      <c r="B33" s="34" t="s">
        <v>110</v>
      </c>
      <c r="C33" s="167"/>
      <c r="D33" s="233"/>
      <c r="G33" s="15"/>
    </row>
    <row r="34" spans="1:7">
      <c r="A34" s="171" t="s">
        <v>72</v>
      </c>
      <c r="B34" s="33">
        <f>IF((($B$28-$B$32-$B$39-$B$77-$B$38)*C20/100)&lt;0,0,($B$28-$B$32-$B$39-$B$77-$B$38)*C20/100)</f>
        <v>63.295154185022028</v>
      </c>
      <c r="C34" s="167">
        <f>IF(ISERROR(B34/SUM($B$32,$B$34,$B$35,$B$36,$B$38,$B$39)*100),0,B34/SUM($B$32,$B$34,$B$35,$B$36,$B$38,$B$39)*100)</f>
        <v>1.2558562338298023</v>
      </c>
      <c r="D34" s="233"/>
      <c r="G34" s="15"/>
    </row>
    <row r="35" spans="1:7">
      <c r="A35" s="171" t="s">
        <v>73</v>
      </c>
      <c r="B35" s="33">
        <f>IF((($B$28-$B$32-$B$39-$B$77-$B$38)*C21/100)&lt;0,0,($B$28-$B$32-$B$39-$B$77-$B$38)*C21/100)</f>
        <v>743.71806167400882</v>
      </c>
      <c r="C35" s="167">
        <f>IF(ISERROR(B35/SUM($B$32,$B$34,$B$35,$B$36,$B$38,$B$39)*100),0,B35/SUM($B$32,$B$34,$B$35,$B$36,$B$38,$B$39)*100)</f>
        <v>14.756310747500176</v>
      </c>
      <c r="D35" s="233"/>
      <c r="G35" s="15"/>
    </row>
    <row r="36" spans="1:7">
      <c r="A36" s="171" t="s">
        <v>74</v>
      </c>
      <c r="B36" s="33">
        <f>IF((($B$28-$B$32-$B$39-$B$77-$B$38)*C22/100)&lt;0,0,($B$28-$B$32-$B$39-$B$77-$B$38)*C22/100)</f>
        <v>90.986784140969164</v>
      </c>
      <c r="C36" s="167">
        <f>IF(ISERROR(B36/SUM($B$32,$B$34,$B$35,$B$36,$B$38,$B$39)*100),0,B36/SUM($B$32,$B$34,$B$35,$B$36,$B$38,$B$39)*100)</f>
        <v>1.8052933361303405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4142</v>
      </c>
      <c r="C44" s="34" t="s">
        <v>110</v>
      </c>
      <c r="D44" s="174"/>
    </row>
    <row r="45" spans="1:7">
      <c r="A45" s="171" t="s">
        <v>71</v>
      </c>
      <c r="B45" s="33" t="str">
        <f t="shared" si="0"/>
        <v>-</v>
      </c>
      <c r="C45" s="34" t="s">
        <v>110</v>
      </c>
      <c r="D45" s="174"/>
    </row>
    <row r="46" spans="1:7">
      <c r="A46" s="171" t="s">
        <v>72</v>
      </c>
      <c r="B46" s="33">
        <f t="shared" si="0"/>
        <v>63.295154185022028</v>
      </c>
      <c r="C46" s="34" t="s">
        <v>110</v>
      </c>
      <c r="D46" s="174"/>
    </row>
    <row r="47" spans="1:7">
      <c r="A47" s="171" t="s">
        <v>73</v>
      </c>
      <c r="B47" s="33">
        <f t="shared" si="0"/>
        <v>743.71806167400882</v>
      </c>
      <c r="C47" s="34" t="s">
        <v>110</v>
      </c>
      <c r="D47" s="174"/>
    </row>
    <row r="48" spans="1:7">
      <c r="A48" s="171" t="s">
        <v>74</v>
      </c>
      <c r="B48" s="33">
        <f t="shared" si="0"/>
        <v>90.986784140969164</v>
      </c>
      <c r="C48" s="33">
        <f>B48*10</f>
        <v>909.86784140969166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29523.596700000002</v>
      </c>
      <c r="C5" s="17">
        <f>IF(ISERROR('Eigen informatie GS &amp; warmtenet'!B58),0,'Eigen informatie GS &amp; warmtenet'!B58)</f>
        <v>0</v>
      </c>
      <c r="D5" s="30">
        <f>SUM(D6:D12)</f>
        <v>32231.426702355209</v>
      </c>
      <c r="E5" s="17">
        <f>SUM(E6:E12)</f>
        <v>273.93785227489246</v>
      </c>
      <c r="F5" s="17">
        <f>SUM(F6:F12)</f>
        <v>4171.2974483231637</v>
      </c>
      <c r="G5" s="18"/>
      <c r="H5" s="17"/>
      <c r="I5" s="17"/>
      <c r="J5" s="17">
        <f>SUM(J6:J12)</f>
        <v>0</v>
      </c>
      <c r="K5" s="17"/>
      <c r="L5" s="17"/>
      <c r="M5" s="17"/>
      <c r="N5" s="17">
        <f>SUM(N6:N12)</f>
        <v>2294.9631320916942</v>
      </c>
      <c r="O5" s="17">
        <f>B38*B39*B40</f>
        <v>1.5633333333333335</v>
      </c>
      <c r="P5" s="17">
        <f>B46*B47*B48/1000-B46*B47*B48/1000/B49</f>
        <v>38.133333333333333</v>
      </c>
      <c r="R5" s="32"/>
    </row>
    <row r="6" spans="1:18">
      <c r="A6" s="32" t="s">
        <v>53</v>
      </c>
      <c r="B6" s="37">
        <f>B26</f>
        <v>5494.6109999999999</v>
      </c>
      <c r="C6" s="33"/>
      <c r="D6" s="37">
        <f>IF(ISERROR(TER_kantoor_gas_kWh/1000),0,TER_kantoor_gas_kWh/1000)*0.902</f>
        <v>5103.1694427206039</v>
      </c>
      <c r="E6" s="33">
        <f>$C$26*'E Balans VL '!I12/100/3.6*1000000</f>
        <v>15.91869424074317</v>
      </c>
      <c r="F6" s="33">
        <f>$C$26*('E Balans VL '!L12+'E Balans VL '!N12)/100/3.6*1000000</f>
        <v>621.86890953394038</v>
      </c>
      <c r="G6" s="34"/>
      <c r="H6" s="33"/>
      <c r="I6" s="33"/>
      <c r="J6" s="33">
        <f>$C$26*('E Balans VL '!D12+'E Balans VL '!E12)/100/3.6*1000000</f>
        <v>0</v>
      </c>
      <c r="K6" s="33"/>
      <c r="L6" s="33"/>
      <c r="M6" s="33"/>
      <c r="N6" s="33">
        <f>$C$26*'E Balans VL '!Y12/100/3.6*1000000</f>
        <v>54.997007499849737</v>
      </c>
      <c r="O6" s="33"/>
      <c r="P6" s="33"/>
      <c r="R6" s="32"/>
    </row>
    <row r="7" spans="1:18">
      <c r="A7" s="32" t="s">
        <v>52</v>
      </c>
      <c r="B7" s="37">
        <f t="shared" ref="B7:B12" si="0">B27</f>
        <v>1019.364</v>
      </c>
      <c r="C7" s="33"/>
      <c r="D7" s="37">
        <f>IF(ISERROR(TER_horeca_gas_kWh/1000),0,TER_horeca_gas_kWh/1000)*0.902</f>
        <v>1653.5200658257345</v>
      </c>
      <c r="E7" s="33">
        <f>$C$27*'E Balans VL '!I9/100/3.6*1000000</f>
        <v>42.790052673272328</v>
      </c>
      <c r="F7" s="33">
        <f>$C$27*('E Balans VL '!L9+'E Balans VL '!N9)/100/3.6*1000000</f>
        <v>219.03125942762293</v>
      </c>
      <c r="G7" s="34"/>
      <c r="H7" s="33"/>
      <c r="I7" s="33"/>
      <c r="J7" s="33">
        <f>$C$27*('E Balans VL '!D9+'E Balans VL '!E9)/100/3.6*1000000</f>
        <v>0</v>
      </c>
      <c r="K7" s="33"/>
      <c r="L7" s="33"/>
      <c r="M7" s="33"/>
      <c r="N7" s="33">
        <f>$C$27*'E Balans VL '!Y9/100/3.6*1000000</f>
        <v>0.26268118813842006</v>
      </c>
      <c r="O7" s="33"/>
      <c r="P7" s="33"/>
      <c r="R7" s="32"/>
    </row>
    <row r="8" spans="1:18">
      <c r="A8" s="6" t="s">
        <v>51</v>
      </c>
      <c r="B8" s="37">
        <f t="shared" si="0"/>
        <v>12345.431</v>
      </c>
      <c r="C8" s="33"/>
      <c r="D8" s="37">
        <f>IF(ISERROR(TER_handel_gas_kWh/1000),0,TER_handel_gas_kWh/1000)*0.902</f>
        <v>8103.5270262209642</v>
      </c>
      <c r="E8" s="33">
        <f>$C$28*'E Balans VL '!I13/100/3.6*1000000</f>
        <v>132.60020375014349</v>
      </c>
      <c r="F8" s="33">
        <f>$C$28*('E Balans VL '!L13+'E Balans VL '!N13)/100/3.6*1000000</f>
        <v>1598.2179894175929</v>
      </c>
      <c r="G8" s="34"/>
      <c r="H8" s="33"/>
      <c r="I8" s="33"/>
      <c r="J8" s="33">
        <f>$C$28*('E Balans VL '!D13+'E Balans VL '!E13)/100/3.6*1000000</f>
        <v>0</v>
      </c>
      <c r="K8" s="33"/>
      <c r="L8" s="33"/>
      <c r="M8" s="33"/>
      <c r="N8" s="33">
        <f>$C$28*'E Balans VL '!Y13/100/3.6*1000000</f>
        <v>100.14681036184172</v>
      </c>
      <c r="O8" s="33"/>
      <c r="P8" s="33"/>
      <c r="R8" s="32"/>
    </row>
    <row r="9" spans="1:18">
      <c r="A9" s="32" t="s">
        <v>50</v>
      </c>
      <c r="B9" s="37">
        <f t="shared" si="0"/>
        <v>192.71370000000002</v>
      </c>
      <c r="C9" s="33"/>
      <c r="D9" s="37">
        <f>IF(ISERROR(TER_gezond_gas_kWh/1000),0,TER_gezond_gas_kWh/1000)*0.902</f>
        <v>178.97373643510127</v>
      </c>
      <c r="E9" s="33">
        <f>$C$29*'E Balans VL '!I10/100/3.6*1000000</f>
        <v>0.15341256958818519</v>
      </c>
      <c r="F9" s="33">
        <f>$C$29*('E Balans VL '!L10+'E Balans VL '!N10)/100/3.6*1000000</f>
        <v>23.427135198807822</v>
      </c>
      <c r="G9" s="34"/>
      <c r="H9" s="33"/>
      <c r="I9" s="33"/>
      <c r="J9" s="33">
        <f>$C$29*('E Balans VL '!D10+'E Balans VL '!E10)/100/3.6*1000000</f>
        <v>0</v>
      </c>
      <c r="K9" s="33"/>
      <c r="L9" s="33"/>
      <c r="M9" s="33"/>
      <c r="N9" s="33">
        <f>$C$29*'E Balans VL '!Y10/100/3.6*1000000</f>
        <v>1.5566902124597626</v>
      </c>
      <c r="O9" s="33"/>
      <c r="P9" s="33"/>
      <c r="R9" s="32"/>
    </row>
    <row r="10" spans="1:18">
      <c r="A10" s="32" t="s">
        <v>49</v>
      </c>
      <c r="B10" s="37">
        <f t="shared" si="0"/>
        <v>2024.39</v>
      </c>
      <c r="C10" s="33"/>
      <c r="D10" s="37">
        <f>IF(ISERROR(TER_ander_gas_kWh/1000),0,TER_ander_gas_kWh/1000)*0.902</f>
        <v>1058.5333298827468</v>
      </c>
      <c r="E10" s="33">
        <f>$C$30*'E Balans VL '!I14/100/3.6*1000000</f>
        <v>6.9376908778183024</v>
      </c>
      <c r="F10" s="33">
        <f>$C$30*('E Balans VL '!L14+'E Balans VL '!N14)/100/3.6*1000000</f>
        <v>452.16646448051927</v>
      </c>
      <c r="G10" s="34"/>
      <c r="H10" s="33"/>
      <c r="I10" s="33"/>
      <c r="J10" s="33">
        <f>$C$30*('E Balans VL '!D14+'E Balans VL '!E14)/100/3.6*1000000</f>
        <v>0</v>
      </c>
      <c r="K10" s="33"/>
      <c r="L10" s="33"/>
      <c r="M10" s="33"/>
      <c r="N10" s="33">
        <f>$C$30*'E Balans VL '!Y14/100/3.6*1000000</f>
        <v>1425.9913750263956</v>
      </c>
      <c r="O10" s="33"/>
      <c r="P10" s="33"/>
      <c r="R10" s="32"/>
    </row>
    <row r="11" spans="1:18">
      <c r="A11" s="32" t="s">
        <v>54</v>
      </c>
      <c r="B11" s="37">
        <f t="shared" si="0"/>
        <v>99.831999999999994</v>
      </c>
      <c r="C11" s="33"/>
      <c r="D11" s="37">
        <f>IF(ISERROR(TER_onderwijs_gas_kWh/1000),0,TER_onderwijs_gas_kWh/1000)*0.902</f>
        <v>0</v>
      </c>
      <c r="E11" s="33">
        <f>$C$31*'E Balans VL '!I11/100/3.6*1000000</f>
        <v>6.9010787016373559E-2</v>
      </c>
      <c r="F11" s="33">
        <f>$C$31*('E Balans VL '!L11+'E Balans VL '!N11)/100/3.6*1000000</f>
        <v>26.133117677164485</v>
      </c>
      <c r="G11" s="34"/>
      <c r="H11" s="33"/>
      <c r="I11" s="33"/>
      <c r="J11" s="33">
        <f>$C$31*('E Balans VL '!D11+'E Balans VL '!E11)/100/3.6*1000000</f>
        <v>0</v>
      </c>
      <c r="K11" s="33"/>
      <c r="L11" s="33"/>
      <c r="M11" s="33"/>
      <c r="N11" s="33">
        <f>$C$31*'E Balans VL '!Y11/100/3.6*1000000</f>
        <v>9.9374252973546309E-2</v>
      </c>
      <c r="O11" s="33"/>
      <c r="P11" s="33"/>
      <c r="R11" s="32"/>
    </row>
    <row r="12" spans="1:18">
      <c r="A12" s="32" t="s">
        <v>259</v>
      </c>
      <c r="B12" s="37">
        <f t="shared" si="0"/>
        <v>8347.2549999999992</v>
      </c>
      <c r="C12" s="33"/>
      <c r="D12" s="37">
        <f>IF(ISERROR(TER_rest_gas_kWh/1000),0,TER_rest_gas_kWh/1000)*0.902</f>
        <v>16133.703101270059</v>
      </c>
      <c r="E12" s="33">
        <f>$C$32*'E Balans VL '!I8/100/3.6*1000000</f>
        <v>75.468787376310601</v>
      </c>
      <c r="F12" s="33">
        <f>$C$32*('E Balans VL '!L8+'E Balans VL '!N8)/100/3.6*1000000</f>
        <v>1230.4525725875158</v>
      </c>
      <c r="G12" s="34"/>
      <c r="H12" s="33"/>
      <c r="I12" s="33"/>
      <c r="J12" s="33">
        <f>$C$32*('E Balans VL '!D8+'E Balans VL '!E8)/100/3.6*1000000</f>
        <v>0</v>
      </c>
      <c r="K12" s="33"/>
      <c r="L12" s="33"/>
      <c r="M12" s="33"/>
      <c r="N12" s="33">
        <f>$C$32*'E Balans VL '!Y8/100/3.6*1000000</f>
        <v>711.90919355003507</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29523.596700000002</v>
      </c>
      <c r="C16" s="21">
        <f t="shared" ca="1" si="1"/>
        <v>0</v>
      </c>
      <c r="D16" s="21">
        <f t="shared" ca="1" si="1"/>
        <v>32231.426702355209</v>
      </c>
      <c r="E16" s="21">
        <f t="shared" si="1"/>
        <v>273.93785227489246</v>
      </c>
      <c r="F16" s="21">
        <f t="shared" ca="1" si="1"/>
        <v>4171.2974483231637</v>
      </c>
      <c r="G16" s="21">
        <f t="shared" si="1"/>
        <v>0</v>
      </c>
      <c r="H16" s="21">
        <f t="shared" si="1"/>
        <v>0</v>
      </c>
      <c r="I16" s="21">
        <f t="shared" si="1"/>
        <v>0</v>
      </c>
      <c r="J16" s="21">
        <f t="shared" si="1"/>
        <v>0</v>
      </c>
      <c r="K16" s="21">
        <f t="shared" si="1"/>
        <v>0</v>
      </c>
      <c r="L16" s="21">
        <f t="shared" ca="1" si="1"/>
        <v>0</v>
      </c>
      <c r="M16" s="21">
        <f t="shared" si="1"/>
        <v>0</v>
      </c>
      <c r="N16" s="21">
        <f t="shared" ca="1" si="1"/>
        <v>2294.9631320916942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0.21426359806833079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6325.8320568602976</v>
      </c>
      <c r="C20" s="23">
        <f t="shared" ref="C20:P20" ca="1" si="2">C16*C18</f>
        <v>0</v>
      </c>
      <c r="D20" s="23">
        <f t="shared" ca="1" si="2"/>
        <v>6510.7481938757528</v>
      </c>
      <c r="E20" s="23">
        <f t="shared" si="2"/>
        <v>62.183892466400593</v>
      </c>
      <c r="F20" s="23">
        <f t="shared" ca="1" si="2"/>
        <v>1113.7364187022847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5494.6109999999999</v>
      </c>
      <c r="C26" s="39">
        <f>IF(ISERROR(B26*3.6/1000000/'E Balans VL '!Z12*100),0,B26*3.6/1000000/'E Balans VL '!Z12*100)</f>
        <v>0.12069548302142846</v>
      </c>
      <c r="D26" s="237" t="s">
        <v>691</v>
      </c>
      <c r="F26" s="6"/>
    </row>
    <row r="27" spans="1:18">
      <c r="A27" s="231" t="s">
        <v>52</v>
      </c>
      <c r="B27" s="33">
        <f>IF(ISERROR(TER_horeca_ele_kWh/1000),0,TER_horeca_ele_kWh/1000)</f>
        <v>1019.364</v>
      </c>
      <c r="C27" s="39">
        <f>IF(ISERROR(B27*3.6/1000000/'E Balans VL '!Z9*100),0,B27*3.6/1000000/'E Balans VL '!Z9*100)</f>
        <v>8.1916058540366044E-2</v>
      </c>
      <c r="D27" s="237" t="s">
        <v>691</v>
      </c>
      <c r="F27" s="6"/>
    </row>
    <row r="28" spans="1:18">
      <c r="A28" s="171" t="s">
        <v>51</v>
      </c>
      <c r="B28" s="33">
        <f>IF(ISERROR(TER_handel_ele_kWh/1000),0,TER_handel_ele_kWh/1000)</f>
        <v>12345.431</v>
      </c>
      <c r="C28" s="39">
        <f>IF(ISERROR(B28*3.6/1000000/'E Balans VL '!Z13*100),0,B28*3.6/1000000/'E Balans VL '!Z13*100)</f>
        <v>0.36504576997081434</v>
      </c>
      <c r="D28" s="237" t="s">
        <v>691</v>
      </c>
      <c r="F28" s="6"/>
    </row>
    <row r="29" spans="1:18">
      <c r="A29" s="231" t="s">
        <v>50</v>
      </c>
      <c r="B29" s="33">
        <f>IF(ISERROR(TER_gezond_ele_kWh/1000),0,TER_gezond_ele_kWh/1000)</f>
        <v>192.71370000000002</v>
      </c>
      <c r="C29" s="39">
        <f>IF(ISERROR(B29*3.6/1000000/'E Balans VL '!Z10*100),0,B29*3.6/1000000/'E Balans VL '!Z10*100)</f>
        <v>2.1713858560851191E-2</v>
      </c>
      <c r="D29" s="237" t="s">
        <v>691</v>
      </c>
      <c r="F29" s="6"/>
    </row>
    <row r="30" spans="1:18">
      <c r="A30" s="231" t="s">
        <v>49</v>
      </c>
      <c r="B30" s="33">
        <f>IF(ISERROR(TER_ander_ele_kWh/1000),0,TER_ander_ele_kWh/1000)</f>
        <v>2024.39</v>
      </c>
      <c r="C30" s="39">
        <f>IF(ISERROR(B30*3.6/1000000/'E Balans VL '!Z14*100),0,B30*3.6/1000000/'E Balans VL '!Z14*100)</f>
        <v>0.15310115516160774</v>
      </c>
      <c r="D30" s="237" t="s">
        <v>691</v>
      </c>
      <c r="F30" s="6"/>
    </row>
    <row r="31" spans="1:18">
      <c r="A31" s="231" t="s">
        <v>54</v>
      </c>
      <c r="B31" s="33">
        <f>IF(ISERROR(TER_onderwijs_ele_kWh/1000),0,TER_onderwijs_ele_kWh/1000)</f>
        <v>99.831999999999994</v>
      </c>
      <c r="C31" s="39">
        <f>IF(ISERROR(B31*3.6/1000000/'E Balans VL '!Z11*100),0,B31*3.6/1000000/'E Balans VL '!Z11*100)</f>
        <v>2.0722805699611276E-2</v>
      </c>
      <c r="D31" s="237" t="s">
        <v>691</v>
      </c>
    </row>
    <row r="32" spans="1:18">
      <c r="A32" s="231" t="s">
        <v>259</v>
      </c>
      <c r="B32" s="33">
        <f>IF(ISERROR(TER_rest_ele_kWh/1000),0,TER_rest_ele_kWh/1000)</f>
        <v>8347.2549999999992</v>
      </c>
      <c r="C32" s="39">
        <f>IF(ISERROR(B32*3.6/1000000/'E Balans VL '!Z8*100),0,B32*3.6/1000000/'E Balans VL '!Z8*100)</f>
        <v>7.0320712851176637E-2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29344.26</v>
      </c>
      <c r="C5" s="17">
        <f>IF(ISERROR('Eigen informatie GS &amp; warmtenet'!B59),0,'Eigen informatie GS &amp; warmtenet'!B59)</f>
        <v>0</v>
      </c>
      <c r="D5" s="30">
        <f>SUM(D6:D15)</f>
        <v>69834.761736585322</v>
      </c>
      <c r="E5" s="17">
        <f>SUM(E6:E15)</f>
        <v>877.57119492125526</v>
      </c>
      <c r="F5" s="17">
        <f>SUM(F6:F15)</f>
        <v>38539.811404906242</v>
      </c>
      <c r="G5" s="18"/>
      <c r="H5" s="17"/>
      <c r="I5" s="17"/>
      <c r="J5" s="17">
        <f>SUM(J6:J15)</f>
        <v>479.22281746710928</v>
      </c>
      <c r="K5" s="17"/>
      <c r="L5" s="17"/>
      <c r="M5" s="17"/>
      <c r="N5" s="17">
        <f>SUM(N6:N15)</f>
        <v>10676.272365576673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365.68700000000001</v>
      </c>
      <c r="C8" s="33"/>
      <c r="D8" s="37">
        <f>IF( ISERROR(IND_metaal_Gas_kWH/1000),0,IND_metaal_Gas_kWH/1000)*0.902</f>
        <v>42774.211877873669</v>
      </c>
      <c r="E8" s="33">
        <f>C30*'E Balans VL '!I18/100/3.6*1000000</f>
        <v>9.1518657329195801</v>
      </c>
      <c r="F8" s="33">
        <f>C30*'E Balans VL '!L18/100/3.6*1000000+C30*'E Balans VL '!N18/100/3.6*1000000</f>
        <v>114.60812482068653</v>
      </c>
      <c r="G8" s="34"/>
      <c r="H8" s="33"/>
      <c r="I8" s="33"/>
      <c r="J8" s="40">
        <f>C30*'E Balans VL '!D18/100/3.6*1000000+C30*'E Balans VL '!E18/100/3.6*1000000</f>
        <v>0</v>
      </c>
      <c r="K8" s="33"/>
      <c r="L8" s="33"/>
      <c r="M8" s="33"/>
      <c r="N8" s="33">
        <f>C30*'E Balans VL '!Y18/100/3.6*1000000</f>
        <v>9.1870064805219744</v>
      </c>
      <c r="O8" s="33"/>
      <c r="P8" s="33"/>
      <c r="R8" s="32"/>
    </row>
    <row r="9" spans="1:18">
      <c r="A9" s="6" t="s">
        <v>32</v>
      </c>
      <c r="B9" s="37">
        <f t="shared" si="0"/>
        <v>1409.221</v>
      </c>
      <c r="C9" s="33"/>
      <c r="D9" s="37">
        <f>IF( ISERROR(IND_andere_gas_kWh/1000),0,IND_andere_gas_kWh/1000)*0.902</f>
        <v>1486.882326308167</v>
      </c>
      <c r="E9" s="33">
        <f>C31*'E Balans VL '!I19/100/3.6*1000000</f>
        <v>387.47797572234049</v>
      </c>
      <c r="F9" s="33">
        <f>C31*'E Balans VL '!L19/100/3.6*1000000+C31*'E Balans VL '!N19/100/3.6*1000000</f>
        <v>1110.7113700604434</v>
      </c>
      <c r="G9" s="34"/>
      <c r="H9" s="33"/>
      <c r="I9" s="33"/>
      <c r="J9" s="40">
        <f>C31*'E Balans VL '!D19/100/3.6*1000000+C31*'E Balans VL '!E19/100/3.6*1000000</f>
        <v>0</v>
      </c>
      <c r="K9" s="33"/>
      <c r="L9" s="33"/>
      <c r="M9" s="33"/>
      <c r="N9" s="33">
        <f>C31*'E Balans VL '!Y19/100/3.6*1000000</f>
        <v>113.52773178832592</v>
      </c>
      <c r="O9" s="33"/>
      <c r="P9" s="33"/>
      <c r="R9" s="32"/>
    </row>
    <row r="10" spans="1:18">
      <c r="A10" s="6" t="s">
        <v>40</v>
      </c>
      <c r="B10" s="37">
        <f t="shared" si="0"/>
        <v>19056.932000000001</v>
      </c>
      <c r="C10" s="33"/>
      <c r="D10" s="37">
        <f>IF( ISERROR(IND_voed_gas_kWh/1000),0,IND_voed_gas_kWh/1000)*0.902</f>
        <v>19965.817460492599</v>
      </c>
      <c r="E10" s="33">
        <f>C32*'E Balans VL '!I20/100/3.6*1000000</f>
        <v>194.27492321625641</v>
      </c>
      <c r="F10" s="33">
        <f>C32*'E Balans VL '!L20/100/3.6*1000000+C32*'E Balans VL '!N20/100/3.6*1000000</f>
        <v>35998.425358395834</v>
      </c>
      <c r="G10" s="34"/>
      <c r="H10" s="33"/>
      <c r="I10" s="33"/>
      <c r="J10" s="40">
        <f>C32*'E Balans VL '!D20/100/3.6*1000000+C32*'E Balans VL '!E20/100/3.6*1000000</f>
        <v>456.09473732380798</v>
      </c>
      <c r="K10" s="33"/>
      <c r="L10" s="33"/>
      <c r="M10" s="33"/>
      <c r="N10" s="33">
        <f>C32*'E Balans VL '!Y20/100/3.6*1000000</f>
        <v>10045.198253396711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2999.605</v>
      </c>
      <c r="C13" s="33"/>
      <c r="D13" s="37">
        <f>IF( ISERROR(IND_papier_gas_kWh/1000),0,IND_papier_gas_kWh/1000)*0.902</f>
        <v>2910.8873528854688</v>
      </c>
      <c r="E13" s="33">
        <f>C35*'E Balans VL '!I23/100/3.6*1000000</f>
        <v>6.2123844234621446</v>
      </c>
      <c r="F13" s="33">
        <f>C35*'E Balans VL '!L23/100/3.6*1000000+C35*'E Balans VL '!N23/100/3.6*1000000</f>
        <v>59.488597792007539</v>
      </c>
      <c r="G13" s="34"/>
      <c r="H13" s="33"/>
      <c r="I13" s="33"/>
      <c r="J13" s="40">
        <f>C35*'E Balans VL '!D23/100/3.6*1000000+C35*'E Balans VL '!E23/100/3.6*1000000</f>
        <v>0</v>
      </c>
      <c r="K13" s="33"/>
      <c r="L13" s="33"/>
      <c r="M13" s="33"/>
      <c r="N13" s="33">
        <f>C35*'E Balans VL '!Y23/100/3.6*1000000</f>
        <v>208.03776839406549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5512.8149999999996</v>
      </c>
      <c r="C15" s="33"/>
      <c r="D15" s="37">
        <f>IF( ISERROR(IND_rest_gas_kWh/1000),0,IND_rest_gas_kWh/1000)*0.902</f>
        <v>2696.9627190254141</v>
      </c>
      <c r="E15" s="33">
        <f>C37*'E Balans VL '!I15/100/3.6*1000000</f>
        <v>280.45404582627674</v>
      </c>
      <c r="F15" s="33">
        <f>C37*'E Balans VL '!L15/100/3.6*1000000+C37*'E Balans VL '!N15/100/3.6*1000000</f>
        <v>1256.5779538372753</v>
      </c>
      <c r="G15" s="34"/>
      <c r="H15" s="33"/>
      <c r="I15" s="33"/>
      <c r="J15" s="40">
        <f>C37*'E Balans VL '!D15/100/3.6*1000000+C37*'E Balans VL '!E15/100/3.6*1000000</f>
        <v>23.128080143301283</v>
      </c>
      <c r="K15" s="33"/>
      <c r="L15" s="33"/>
      <c r="M15" s="33"/>
      <c r="N15" s="33">
        <f>C37*'E Balans VL '!Y15/100/3.6*1000000</f>
        <v>300.32160551704857</v>
      </c>
      <c r="O15" s="33"/>
      <c r="P15" s="33"/>
      <c r="R15" s="32"/>
    </row>
    <row r="16" spans="1:18">
      <c r="A16" s="16" t="s">
        <v>493</v>
      </c>
      <c r="B16" s="247">
        <f>'lokale energieproductie'!N39+'lokale energieproductie'!N32</f>
        <v>18891</v>
      </c>
      <c r="C16" s="247">
        <f>'lokale energieproductie'!O39+'lokale energieproductie'!O32</f>
        <v>26987.142857142859</v>
      </c>
      <c r="D16" s="308">
        <f>('lokale energieproductie'!P32+'lokale energieproductie'!P39)*(-1)</f>
        <v>-53974.285714285717</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48235.259999999995</v>
      </c>
      <c r="C18" s="21">
        <f>C5+C16</f>
        <v>26987.142857142859</v>
      </c>
      <c r="D18" s="21">
        <f>MAX((D5+D16),0)</f>
        <v>15860.476022299605</v>
      </c>
      <c r="E18" s="21">
        <f>MAX((E5+E16),0)</f>
        <v>877.57119492125526</v>
      </c>
      <c r="F18" s="21">
        <f>MAX((F5+F16),0)</f>
        <v>38539.811404906242</v>
      </c>
      <c r="G18" s="21"/>
      <c r="H18" s="21"/>
      <c r="I18" s="21"/>
      <c r="J18" s="21">
        <f>MAX((J5+J16),0)</f>
        <v>479.22281746710928</v>
      </c>
      <c r="K18" s="21"/>
      <c r="L18" s="21">
        <f>MAX((L5+L16),0)</f>
        <v>0</v>
      </c>
      <c r="M18" s="21"/>
      <c r="N18" s="21">
        <f>MAX((N5+N16),0)</f>
        <v>10676.272365576673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0.21426359806833079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10335.060361361431</v>
      </c>
      <c r="C22" s="23">
        <f ca="1">C18*C20</f>
        <v>6413.4151260504223</v>
      </c>
      <c r="D22" s="23">
        <f>D18*D20</f>
        <v>3203.8161565045202</v>
      </c>
      <c r="E22" s="23">
        <f>E18*E20</f>
        <v>199.20866124712495</v>
      </c>
      <c r="F22" s="23">
        <f>F18*F20</f>
        <v>10290.129645109968</v>
      </c>
      <c r="G22" s="23"/>
      <c r="H22" s="23"/>
      <c r="I22" s="23"/>
      <c r="J22" s="23">
        <f>J18*J20</f>
        <v>169.64487738335669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365.68700000000001</v>
      </c>
      <c r="C30" s="39">
        <f>IF(ISERROR(B30*3.6/1000000/'E Balans VL '!Z18*100),0,B30*3.6/1000000/'E Balans VL '!Z18*100)</f>
        <v>5.1183993346095323E-2</v>
      </c>
      <c r="D30" s="237" t="s">
        <v>691</v>
      </c>
    </row>
    <row r="31" spans="1:18">
      <c r="A31" s="6" t="s">
        <v>32</v>
      </c>
      <c r="B31" s="37">
        <f>IF( ISERROR(IND_ander_ele_kWh/1000),0,IND_ander_ele_kWh/1000)</f>
        <v>1409.221</v>
      </c>
      <c r="C31" s="39">
        <f>IF(ISERROR(B31*3.6/1000000/'E Balans VL '!Z19*100),0,B31*3.6/1000000/'E Balans VL '!Z19*100)</f>
        <v>6.1681374561874447E-2</v>
      </c>
      <c r="D31" s="237" t="s">
        <v>691</v>
      </c>
    </row>
    <row r="32" spans="1:18">
      <c r="A32" s="171" t="s">
        <v>40</v>
      </c>
      <c r="B32" s="37">
        <f>IF( ISERROR(IND_voed_ele_kWh/1000),0,IND_voed_ele_kWh/1000)</f>
        <v>19056.932000000001</v>
      </c>
      <c r="C32" s="39">
        <f>IF(ISERROR(B32*3.6/1000000/'E Balans VL '!Z20*100),0,B32*3.6/1000000/'E Balans VL '!Z20*100)</f>
        <v>4.717863513703886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2999.605</v>
      </c>
      <c r="C35" s="39">
        <f>IF(ISERROR(B35*3.6/1000000/'E Balans VL '!Z22*100),0,B35*3.6/1000000/'E Balans VL '!Z22*100)</f>
        <v>8.5116552169310161E-2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5512.8149999999996</v>
      </c>
      <c r="C37" s="39">
        <f>IF(ISERROR(B37*3.6/1000000/'E Balans VL '!Z15*100),0,B37*3.6/1000000/'E Balans VL '!Z15*100)</f>
        <v>4.0876579391132303E-2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414.70920000000001</v>
      </c>
      <c r="C5" s="17">
        <f>'Eigen informatie GS &amp; warmtenet'!B60</f>
        <v>0</v>
      </c>
      <c r="D5" s="30">
        <f>IF(ISERROR(SUM(LB_lb_gas_kWh,LB_rest_gas_kWh)/1000),0,SUM(LB_lb_gas_kWh,LB_rest_gas_kWh)/1000)*0.902</f>
        <v>9439.0110476682403</v>
      </c>
      <c r="E5" s="17">
        <f>B17*'E Balans VL '!I25/3.6*1000000/100</f>
        <v>3.841210306579447</v>
      </c>
      <c r="F5" s="17">
        <f>B17*('E Balans VL '!L25/3.6*1000000+'E Balans VL '!N25/3.6*1000000)/100</f>
        <v>1052.1962424215264</v>
      </c>
      <c r="G5" s="18"/>
      <c r="H5" s="17"/>
      <c r="I5" s="17"/>
      <c r="J5" s="17">
        <f>('E Balans VL '!D25+'E Balans VL '!E25)/3.6*1000000*landbouw!B17/100</f>
        <v>63.579548528179757</v>
      </c>
      <c r="K5" s="17"/>
      <c r="L5" s="17">
        <f>L6*(-1)</f>
        <v>0</v>
      </c>
      <c r="M5" s="17"/>
      <c r="N5" s="17">
        <f>N6*(-1)</f>
        <v>0</v>
      </c>
      <c r="O5" s="17"/>
      <c r="P5" s="17"/>
      <c r="R5" s="32"/>
    </row>
    <row r="6" spans="1:18">
      <c r="A6" s="16" t="s">
        <v>493</v>
      </c>
      <c r="B6" s="17" t="s">
        <v>210</v>
      </c>
      <c r="C6" s="17">
        <f>'lokale energieproductie'!O41+'lokale energieproductie'!O34</f>
        <v>10131.428571428571</v>
      </c>
      <c r="D6" s="308">
        <f>('lokale energieproductie'!P34+'lokale energieproductie'!P41)*(-1)</f>
        <v>-20262.857142857141</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414.70920000000001</v>
      </c>
      <c r="C8" s="21">
        <f>C5+C6</f>
        <v>10131.428571428571</v>
      </c>
      <c r="D8" s="21">
        <f>MAX((D5+D6),0)</f>
        <v>0</v>
      </c>
      <c r="E8" s="21">
        <f>MAX((E5+E6),0)</f>
        <v>3.841210306579447</v>
      </c>
      <c r="F8" s="21">
        <f>MAX((F5+F6),0)</f>
        <v>1052.1962424215264</v>
      </c>
      <c r="G8" s="21"/>
      <c r="H8" s="21"/>
      <c r="I8" s="21"/>
      <c r="J8" s="21">
        <f>MAX((J5+J6),0)</f>
        <v>63.579548528179757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0.21426359806833079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88.857085344039007</v>
      </c>
      <c r="C12" s="23">
        <f ca="1">C8*C10</f>
        <v>2407.7042016806727</v>
      </c>
      <c r="D12" s="23">
        <f>D8*D10</f>
        <v>0</v>
      </c>
      <c r="E12" s="23">
        <f>E8*E10</f>
        <v>0.87195473959353453</v>
      </c>
      <c r="F12" s="23">
        <f>F8*F10</f>
        <v>280.93639672654757</v>
      </c>
      <c r="G12" s="23"/>
      <c r="H12" s="23"/>
      <c r="I12" s="23"/>
      <c r="J12" s="23">
        <f>J8*J10</f>
        <v>22.507160178975631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5.8962854885036775E-2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5.4575270517311303</v>
      </c>
      <c r="C26" s="247">
        <f>B26*'GWP N2O_CH4'!B5</f>
        <v>114.60806808635374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0.35752588379089201</v>
      </c>
      <c r="C27" s="247">
        <f>B27*'GWP N2O_CH4'!B5</f>
        <v>7.5080435596087325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7.4329403765888202E-2</v>
      </c>
      <c r="C28" s="247">
        <f>B28*'GWP N2O_CH4'!B4</f>
        <v>23.042115167425344</v>
      </c>
      <c r="D28" s="50"/>
    </row>
    <row r="29" spans="1:4">
      <c r="A29" s="41" t="s">
        <v>276</v>
      </c>
      <c r="B29" s="247">
        <f>B34*'ha_N2O bodem landbouw'!B4</f>
        <v>2.2507276301803887</v>
      </c>
      <c r="C29" s="247">
        <f>B29*'GWP N2O_CH4'!B4</f>
        <v>697.72556535592048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5.0479855568225009E-4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8.8187348152578735E-5</v>
      </c>
      <c r="C5" s="438" t="s">
        <v>210</v>
      </c>
      <c r="D5" s="423">
        <f>SUM(D6:D11)</f>
        <v>1.6145523897612726E-4</v>
      </c>
      <c r="E5" s="423">
        <f>SUM(E6:E11)</f>
        <v>1.8452089961669901E-3</v>
      </c>
      <c r="F5" s="436" t="s">
        <v>210</v>
      </c>
      <c r="G5" s="423">
        <f>SUM(G6:G11)</f>
        <v>0.77774918404364157</v>
      </c>
      <c r="H5" s="423">
        <f>SUM(H6:H11)</f>
        <v>0.10197767014107925</v>
      </c>
      <c r="I5" s="438" t="s">
        <v>210</v>
      </c>
      <c r="J5" s="438" t="s">
        <v>210</v>
      </c>
      <c r="K5" s="438" t="s">
        <v>210</v>
      </c>
      <c r="L5" s="438" t="s">
        <v>210</v>
      </c>
      <c r="M5" s="423">
        <f>SUM(M6:M11)</f>
        <v>4.8202292498378971E-2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1.4931559979974349E-5</v>
      </c>
      <c r="C6" s="424"/>
      <c r="D6" s="866">
        <f>vkm_GW_PW*SUMIFS(TableVerdeelsleutelVkm[CNG],TableVerdeelsleutelVkm[Voertuigtype],"Lichte voertuigen")*SUMIFS(TableECFTransport[EnergieConsumptieFactor (PJ per km)],TableECFTransport[Index],CONCATENATE($A6,"_CNG_CNG"))</f>
        <v>2.6055340536901677E-5</v>
      </c>
      <c r="E6" s="866">
        <f>vkm_GW_PW*SUMIFS(TableVerdeelsleutelVkm[LPG],TableVerdeelsleutelVkm[Voertuigtype],"Lichte voertuigen")*SUMIFS(TableECFTransport[EnergieConsumptieFactor (PJ per km)],TableECFTransport[Index],CONCATENATE($A6,"_LPG_LPG"))</f>
        <v>2.5235878118180956E-4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5.9308655898370644E-2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1.5956140395912199E-2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3.9252550245810506E-3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3.3965364255507204E-2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6.5869637543715076E-7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1.9692350320488551E-3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4.8849365001155491E-6</v>
      </c>
      <c r="C8" s="424"/>
      <c r="D8" s="426">
        <f>vkm_NGW_PW*SUMIFS(TableVerdeelsleutelVkm[CNG],TableVerdeelsleutelVkm[Voertuigtype],"Lichte voertuigen")*SUMIFS(TableECFTransport[EnergieConsumptieFactor (PJ per km)],TableECFTransport[Index],CONCATENATE($A8,"_CNG_CNG"))</f>
        <v>1.4596442230927981E-5</v>
      </c>
      <c r="E8" s="426">
        <f>vkm_NGW_PW*SUMIFS(TableVerdeelsleutelVkm[LPG],TableVerdeelsleutelVkm[Voertuigtype],"Lichte voertuigen")*SUMIFS(TableECFTransport[EnergieConsumptieFactor (PJ per km)],TableECFTransport[Index],CONCATENATE($A8,"_LPG_LPG"))</f>
        <v>1.3378961776851269E-4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2.9514231010834589E-2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8.6307696859149515E-3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1.9744143090914628E-3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1.5879734731845428E-2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3.8145959002171107E-7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9.2067336150171008E-4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6.8370851672488838E-5</v>
      </c>
      <c r="C10" s="424"/>
      <c r="D10" s="426">
        <f>vkm_SW_PW*SUMIFS(TableVerdeelsleutelVkm[CNG],TableVerdeelsleutelVkm[Voertuigtype],"Lichte voertuigen")*SUMIFS(TableECFTransport[EnergieConsumptieFactor (PJ per km)],TableECFTransport[Index],CONCATENATE($A10,"_CNG_CNG"))</f>
        <v>1.2080345620829761E-4</v>
      </c>
      <c r="E10" s="426">
        <f>vkm_SW_PW*SUMIFS(TableVerdeelsleutelVkm[LPG],TableVerdeelsleutelVkm[Voertuigtype],"Lichte voertuigen")*SUMIFS(TableECFTransport[EnergieConsumptieFactor (PJ per km)],TableECFTransport[Index],CONCATENATE($A10,"_LPG_LPG"))</f>
        <v>1.4590605972166679E-3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0.30833026586492129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7.7382904511621997E-2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2.0236511231322862E-2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0.33075093228216246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6.8153916646336249E-6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1.9176203539833028E-2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24.496485597938538</v>
      </c>
      <c r="C14" s="21"/>
      <c r="D14" s="21">
        <f t="shared" ref="D14:M14" si="0">((D5)*10^9/3600)+D12</f>
        <v>44.848677493368683</v>
      </c>
      <c r="E14" s="21">
        <f t="shared" si="0"/>
        <v>512.55805449083061</v>
      </c>
      <c r="F14" s="21"/>
      <c r="G14" s="21">
        <f t="shared" si="0"/>
        <v>216041.44001212265</v>
      </c>
      <c r="H14" s="21">
        <f t="shared" si="0"/>
        <v>28327.130594744234</v>
      </c>
      <c r="I14" s="21"/>
      <c r="J14" s="21"/>
      <c r="K14" s="21"/>
      <c r="L14" s="21"/>
      <c r="M14" s="21">
        <f t="shared" si="0"/>
        <v>13389.525693994159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0.21426359806833079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5.248705144243357</v>
      </c>
      <c r="C18" s="23"/>
      <c r="D18" s="23">
        <f t="shared" ref="D18:M18" si="1">D14*D16</f>
        <v>9.0594328536604749</v>
      </c>
      <c r="E18" s="23">
        <f t="shared" si="1"/>
        <v>116.35067836941856</v>
      </c>
      <c r="F18" s="23"/>
      <c r="G18" s="23">
        <f t="shared" si="1"/>
        <v>57683.064483236754</v>
      </c>
      <c r="H18" s="23">
        <f t="shared" si="1"/>
        <v>7053.4555180913139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8.2204498140165498E-3</v>
      </c>
      <c r="H50" s="319">
        <f t="shared" si="2"/>
        <v>0</v>
      </c>
      <c r="I50" s="319">
        <f t="shared" si="2"/>
        <v>0</v>
      </c>
      <c r="J50" s="319">
        <f t="shared" si="2"/>
        <v>0</v>
      </c>
      <c r="K50" s="319">
        <f t="shared" si="2"/>
        <v>0</v>
      </c>
      <c r="L50" s="319">
        <f t="shared" si="2"/>
        <v>0</v>
      </c>
      <c r="M50" s="319">
        <f t="shared" si="2"/>
        <v>4.6985589072123319E-4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8.2204498140165498E-3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4.6985589072123319E-4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2283.4582816712636</v>
      </c>
      <c r="H54" s="21">
        <f t="shared" si="3"/>
        <v>0</v>
      </c>
      <c r="I54" s="21">
        <f t="shared" si="3"/>
        <v>0</v>
      </c>
      <c r="J54" s="21">
        <f t="shared" si="3"/>
        <v>0</v>
      </c>
      <c r="K54" s="21">
        <f t="shared" si="3"/>
        <v>0</v>
      </c>
      <c r="L54" s="21">
        <f t="shared" si="3"/>
        <v>0</v>
      </c>
      <c r="M54" s="21">
        <f t="shared" si="3"/>
        <v>130.51552520034255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0.21426359806833079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609.68336120622746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30399.280700000003</v>
      </c>
      <c r="D10" s="991">
        <f ca="1">tertiair!C16</f>
        <v>0</v>
      </c>
      <c r="E10" s="991">
        <f ca="1">tertiair!D16</f>
        <v>32231.426702355209</v>
      </c>
      <c r="F10" s="991">
        <f>tertiair!E16</f>
        <v>273.93785227489246</v>
      </c>
      <c r="G10" s="991">
        <f ca="1">tertiair!F16</f>
        <v>4171.2974483231637</v>
      </c>
      <c r="H10" s="991">
        <f>tertiair!G16</f>
        <v>0</v>
      </c>
      <c r="I10" s="991">
        <f>tertiair!H16</f>
        <v>0</v>
      </c>
      <c r="J10" s="991">
        <f>tertiair!I16</f>
        <v>0</v>
      </c>
      <c r="K10" s="991">
        <f>tertiair!J16</f>
        <v>0</v>
      </c>
      <c r="L10" s="991">
        <f>tertiair!K16</f>
        <v>0</v>
      </c>
      <c r="M10" s="991">
        <f ca="1">tertiair!L16</f>
        <v>0</v>
      </c>
      <c r="N10" s="991">
        <f>tertiair!M16</f>
        <v>0</v>
      </c>
      <c r="O10" s="991">
        <f ca="1">tertiair!N16</f>
        <v>2294.9631320916942</v>
      </c>
      <c r="P10" s="991">
        <f>tertiair!O16</f>
        <v>1.5633333333333335</v>
      </c>
      <c r="Q10" s="992">
        <f>tertiair!P16</f>
        <v>38.133333333333333</v>
      </c>
      <c r="R10" s="675">
        <f ca="1">SUM(C10:Q10)</f>
        <v>69410.602501711634</v>
      </c>
      <c r="S10" s="67"/>
    </row>
    <row r="11" spans="1:19" s="448" customFormat="1">
      <c r="A11" s="784" t="s">
        <v>224</v>
      </c>
      <c r="B11" s="789"/>
      <c r="C11" s="991">
        <f>huishoudens!B8</f>
        <v>22423.460377966163</v>
      </c>
      <c r="D11" s="991">
        <f>huishoudens!C8</f>
        <v>0</v>
      </c>
      <c r="E11" s="991">
        <f>huishoudens!D8</f>
        <v>57749.046379534331</v>
      </c>
      <c r="F11" s="991">
        <f>huishoudens!E8</f>
        <v>5052.6880003788528</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5237.6901261457515</v>
      </c>
      <c r="P11" s="991">
        <f>huishoudens!O8</f>
        <v>162.58666666666667</v>
      </c>
      <c r="Q11" s="992">
        <f>huishoudens!P8</f>
        <v>190.66666666666669</v>
      </c>
      <c r="R11" s="675">
        <f>SUM(C11:Q11)</f>
        <v>90816.138217358442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48235.259999999995</v>
      </c>
      <c r="D13" s="991">
        <f>industrie!C18</f>
        <v>26987.142857142859</v>
      </c>
      <c r="E13" s="991">
        <f>industrie!D18</f>
        <v>15860.476022299605</v>
      </c>
      <c r="F13" s="991">
        <f>industrie!E18</f>
        <v>877.57119492125526</v>
      </c>
      <c r="G13" s="991">
        <f>industrie!F18</f>
        <v>38539.811404906242</v>
      </c>
      <c r="H13" s="991">
        <f>industrie!G18</f>
        <v>0</v>
      </c>
      <c r="I13" s="991">
        <f>industrie!H18</f>
        <v>0</v>
      </c>
      <c r="J13" s="991">
        <f>industrie!I18</f>
        <v>0</v>
      </c>
      <c r="K13" s="991">
        <f>industrie!J18</f>
        <v>479.22281746710928</v>
      </c>
      <c r="L13" s="991">
        <f>industrie!K18</f>
        <v>0</v>
      </c>
      <c r="M13" s="991">
        <f>industrie!L18</f>
        <v>0</v>
      </c>
      <c r="N13" s="991">
        <f>industrie!M18</f>
        <v>0</v>
      </c>
      <c r="O13" s="991">
        <f>industrie!N18</f>
        <v>10676.272365576673</v>
      </c>
      <c r="P13" s="991">
        <f>industrie!O18</f>
        <v>0</v>
      </c>
      <c r="Q13" s="992">
        <f>industrie!P18</f>
        <v>0</v>
      </c>
      <c r="R13" s="675">
        <f>SUM(C13:Q13)</f>
        <v>141655.75666231374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101058.00107796615</v>
      </c>
      <c r="D16" s="707">
        <f t="shared" ref="D16:R16" ca="1" si="0">SUM(D9:D15)</f>
        <v>26987.142857142859</v>
      </c>
      <c r="E16" s="707">
        <f t="shared" ca="1" si="0"/>
        <v>105840.94910418915</v>
      </c>
      <c r="F16" s="707">
        <f t="shared" si="0"/>
        <v>6204.1970475750004</v>
      </c>
      <c r="G16" s="707">
        <f t="shared" ca="1" si="0"/>
        <v>42711.108853229409</v>
      </c>
      <c r="H16" s="707">
        <f t="shared" si="0"/>
        <v>0</v>
      </c>
      <c r="I16" s="707">
        <f t="shared" si="0"/>
        <v>0</v>
      </c>
      <c r="J16" s="707">
        <f t="shared" si="0"/>
        <v>0</v>
      </c>
      <c r="K16" s="707">
        <f t="shared" si="0"/>
        <v>479.22281746710928</v>
      </c>
      <c r="L16" s="707">
        <f t="shared" si="0"/>
        <v>0</v>
      </c>
      <c r="M16" s="707">
        <f t="shared" ca="1" si="0"/>
        <v>0</v>
      </c>
      <c r="N16" s="707">
        <f t="shared" si="0"/>
        <v>0</v>
      </c>
      <c r="O16" s="707">
        <f t="shared" ca="1" si="0"/>
        <v>18208.925623814117</v>
      </c>
      <c r="P16" s="707">
        <f t="shared" si="0"/>
        <v>164.15</v>
      </c>
      <c r="Q16" s="707">
        <f t="shared" si="0"/>
        <v>228.8</v>
      </c>
      <c r="R16" s="707">
        <f t="shared" ca="1" si="0"/>
        <v>301882.49738138379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2283.4582816712636</v>
      </c>
      <c r="I19" s="991">
        <f>transport!H54</f>
        <v>0</v>
      </c>
      <c r="J19" s="991">
        <f>transport!I54</f>
        <v>0</v>
      </c>
      <c r="K19" s="991">
        <f>transport!J54</f>
        <v>0</v>
      </c>
      <c r="L19" s="991">
        <f>transport!K54</f>
        <v>0</v>
      </c>
      <c r="M19" s="991">
        <f>transport!L54</f>
        <v>0</v>
      </c>
      <c r="N19" s="991">
        <f>transport!M54</f>
        <v>130.51552520034255</v>
      </c>
      <c r="O19" s="991">
        <f>transport!N54</f>
        <v>0</v>
      </c>
      <c r="P19" s="991">
        <f>transport!O54</f>
        <v>0</v>
      </c>
      <c r="Q19" s="992">
        <f>transport!P54</f>
        <v>0</v>
      </c>
      <c r="R19" s="675">
        <f>SUM(C19:Q19)</f>
        <v>2413.973806871606</v>
      </c>
      <c r="S19" s="67"/>
    </row>
    <row r="20" spans="1:19" s="448" customFormat="1">
      <c r="A20" s="784" t="s">
        <v>306</v>
      </c>
      <c r="B20" s="789"/>
      <c r="C20" s="991">
        <f>transport!B14</f>
        <v>24.496485597938538</v>
      </c>
      <c r="D20" s="991">
        <f>transport!C14</f>
        <v>0</v>
      </c>
      <c r="E20" s="991">
        <f>transport!D14</f>
        <v>44.848677493368683</v>
      </c>
      <c r="F20" s="991">
        <f>transport!E14</f>
        <v>512.55805449083061</v>
      </c>
      <c r="G20" s="991">
        <f>transport!F14</f>
        <v>0</v>
      </c>
      <c r="H20" s="991">
        <f>transport!G14</f>
        <v>216041.44001212265</v>
      </c>
      <c r="I20" s="991">
        <f>transport!H14</f>
        <v>28327.130594744234</v>
      </c>
      <c r="J20" s="991">
        <f>transport!I14</f>
        <v>0</v>
      </c>
      <c r="K20" s="991">
        <f>transport!J14</f>
        <v>0</v>
      </c>
      <c r="L20" s="991">
        <f>transport!K14</f>
        <v>0</v>
      </c>
      <c r="M20" s="991">
        <f>transport!L14</f>
        <v>0</v>
      </c>
      <c r="N20" s="991">
        <f>transport!M14</f>
        <v>13389.525693994159</v>
      </c>
      <c r="O20" s="991">
        <f>transport!N14</f>
        <v>0</v>
      </c>
      <c r="P20" s="991">
        <f>transport!O14</f>
        <v>0</v>
      </c>
      <c r="Q20" s="992">
        <f>transport!P14</f>
        <v>0</v>
      </c>
      <c r="R20" s="675">
        <f>SUM(C20:Q20)</f>
        <v>258339.99951844319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24.496485597938538</v>
      </c>
      <c r="D22" s="787">
        <f t="shared" ref="D22:R22" si="1">SUM(D18:D21)</f>
        <v>0</v>
      </c>
      <c r="E22" s="787">
        <f t="shared" si="1"/>
        <v>44.848677493368683</v>
      </c>
      <c r="F22" s="787">
        <f t="shared" si="1"/>
        <v>512.55805449083061</v>
      </c>
      <c r="G22" s="787">
        <f t="shared" si="1"/>
        <v>0</v>
      </c>
      <c r="H22" s="787">
        <f t="shared" si="1"/>
        <v>218324.8982937939</v>
      </c>
      <c r="I22" s="787">
        <f t="shared" si="1"/>
        <v>28327.130594744234</v>
      </c>
      <c r="J22" s="787">
        <f t="shared" si="1"/>
        <v>0</v>
      </c>
      <c r="K22" s="787">
        <f t="shared" si="1"/>
        <v>0</v>
      </c>
      <c r="L22" s="787">
        <f t="shared" si="1"/>
        <v>0</v>
      </c>
      <c r="M22" s="787">
        <f t="shared" si="1"/>
        <v>0</v>
      </c>
      <c r="N22" s="787">
        <f t="shared" si="1"/>
        <v>13520.041219194502</v>
      </c>
      <c r="O22" s="787">
        <f t="shared" si="1"/>
        <v>0</v>
      </c>
      <c r="P22" s="787">
        <f t="shared" si="1"/>
        <v>0</v>
      </c>
      <c r="Q22" s="787">
        <f t="shared" si="1"/>
        <v>0</v>
      </c>
      <c r="R22" s="787">
        <f t="shared" si="1"/>
        <v>260753.97332531479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414.70920000000001</v>
      </c>
      <c r="D24" s="991">
        <f>+landbouw!C8</f>
        <v>10131.428571428571</v>
      </c>
      <c r="E24" s="991">
        <f>+landbouw!D8</f>
        <v>0</v>
      </c>
      <c r="F24" s="991">
        <f>+landbouw!E8</f>
        <v>3.841210306579447</v>
      </c>
      <c r="G24" s="991">
        <f>+landbouw!F8</f>
        <v>1052.1962424215264</v>
      </c>
      <c r="H24" s="991">
        <f>+landbouw!G8</f>
        <v>0</v>
      </c>
      <c r="I24" s="991">
        <f>+landbouw!H8</f>
        <v>0</v>
      </c>
      <c r="J24" s="991">
        <f>+landbouw!I8</f>
        <v>0</v>
      </c>
      <c r="K24" s="991">
        <f>+landbouw!J8</f>
        <v>63.579548528179757</v>
      </c>
      <c r="L24" s="991">
        <f>+landbouw!K8</f>
        <v>0</v>
      </c>
      <c r="M24" s="991">
        <f>+landbouw!L8</f>
        <v>0</v>
      </c>
      <c r="N24" s="991">
        <f>+landbouw!M8</f>
        <v>0</v>
      </c>
      <c r="O24" s="991">
        <f>+landbouw!N8</f>
        <v>0</v>
      </c>
      <c r="P24" s="991">
        <f>+landbouw!O8</f>
        <v>0</v>
      </c>
      <c r="Q24" s="992">
        <f>+landbouw!P8</f>
        <v>0</v>
      </c>
      <c r="R24" s="675">
        <f>SUM(C24:Q24)</f>
        <v>11665.754772684857</v>
      </c>
      <c r="S24" s="67"/>
    </row>
    <row r="25" spans="1:19" s="448" customFormat="1" ht="15" thickBot="1">
      <c r="A25" s="806" t="s">
        <v>849</v>
      </c>
      <c r="B25" s="994"/>
      <c r="C25" s="995">
        <f>IF(Onbekend_ele_kWh="---",0,Onbekend_ele_kWh)/1000+IF(REST_rest_ele_kWh="---",0,REST_rest_ele_kWh)/1000</f>
        <v>936.22309999999993</v>
      </c>
      <c r="D25" s="995"/>
      <c r="E25" s="995">
        <f>IF(onbekend_gas_kWh="---",0,onbekend_gas_kWh)/1000+IF(REST_rest_gas_kWh="---",0,REST_rest_gas_kWh)/1000</f>
        <v>3139.1851142793103</v>
      </c>
      <c r="F25" s="995"/>
      <c r="G25" s="995"/>
      <c r="H25" s="995"/>
      <c r="I25" s="995"/>
      <c r="J25" s="995"/>
      <c r="K25" s="995"/>
      <c r="L25" s="995"/>
      <c r="M25" s="995"/>
      <c r="N25" s="995"/>
      <c r="O25" s="995"/>
      <c r="P25" s="995"/>
      <c r="Q25" s="996"/>
      <c r="R25" s="675">
        <f>SUM(C25:Q25)</f>
        <v>4075.4082142793104</v>
      </c>
      <c r="S25" s="67"/>
    </row>
    <row r="26" spans="1:19" s="448" customFormat="1" ht="15.75" thickBot="1">
      <c r="A26" s="680" t="s">
        <v>850</v>
      </c>
      <c r="B26" s="792"/>
      <c r="C26" s="787">
        <f>SUM(C24:C25)</f>
        <v>1350.9322999999999</v>
      </c>
      <c r="D26" s="787">
        <f t="shared" ref="D26:R26" si="2">SUM(D24:D25)</f>
        <v>10131.428571428571</v>
      </c>
      <c r="E26" s="787">
        <f t="shared" si="2"/>
        <v>3139.1851142793103</v>
      </c>
      <c r="F26" s="787">
        <f t="shared" si="2"/>
        <v>3.841210306579447</v>
      </c>
      <c r="G26" s="787">
        <f t="shared" si="2"/>
        <v>1052.1962424215264</v>
      </c>
      <c r="H26" s="787">
        <f t="shared" si="2"/>
        <v>0</v>
      </c>
      <c r="I26" s="787">
        <f t="shared" si="2"/>
        <v>0</v>
      </c>
      <c r="J26" s="787">
        <f t="shared" si="2"/>
        <v>0</v>
      </c>
      <c r="K26" s="787">
        <f t="shared" si="2"/>
        <v>63.579548528179757</v>
      </c>
      <c r="L26" s="787">
        <f t="shared" si="2"/>
        <v>0</v>
      </c>
      <c r="M26" s="787">
        <f t="shared" si="2"/>
        <v>0</v>
      </c>
      <c r="N26" s="787">
        <f t="shared" si="2"/>
        <v>0</v>
      </c>
      <c r="O26" s="787">
        <f t="shared" si="2"/>
        <v>0</v>
      </c>
      <c r="P26" s="787">
        <f t="shared" si="2"/>
        <v>0</v>
      </c>
      <c r="Q26" s="787">
        <f t="shared" si="2"/>
        <v>0</v>
      </c>
      <c r="R26" s="787">
        <f t="shared" si="2"/>
        <v>15741.162986964167</v>
      </c>
      <c r="S26" s="67"/>
    </row>
    <row r="27" spans="1:19" s="448" customFormat="1" ht="17.25" thickTop="1" thickBot="1">
      <c r="A27" s="681" t="s">
        <v>115</v>
      </c>
      <c r="B27" s="780"/>
      <c r="C27" s="682">
        <f ca="1">C22+C16+C26</f>
        <v>102433.42986356409</v>
      </c>
      <c r="D27" s="682">
        <f t="shared" ref="D27:R27" ca="1" si="3">D22+D16+D26</f>
        <v>37118.571428571428</v>
      </c>
      <c r="E27" s="682">
        <f t="shared" ca="1" si="3"/>
        <v>109024.98289596183</v>
      </c>
      <c r="F27" s="682">
        <f t="shared" si="3"/>
        <v>6720.5963123724105</v>
      </c>
      <c r="G27" s="682">
        <f t="shared" ca="1" si="3"/>
        <v>43763.305095650932</v>
      </c>
      <c r="H27" s="682">
        <f t="shared" si="3"/>
        <v>218324.8982937939</v>
      </c>
      <c r="I27" s="682">
        <f t="shared" si="3"/>
        <v>28327.130594744234</v>
      </c>
      <c r="J27" s="682">
        <f t="shared" si="3"/>
        <v>0</v>
      </c>
      <c r="K27" s="682">
        <f t="shared" si="3"/>
        <v>542.80236599528905</v>
      </c>
      <c r="L27" s="682">
        <f t="shared" si="3"/>
        <v>0</v>
      </c>
      <c r="M27" s="682">
        <f t="shared" ca="1" si="3"/>
        <v>0</v>
      </c>
      <c r="N27" s="682">
        <f t="shared" si="3"/>
        <v>13520.041219194502</v>
      </c>
      <c r="O27" s="682">
        <f t="shared" ca="1" si="3"/>
        <v>18208.925623814117</v>
      </c>
      <c r="P27" s="682">
        <f t="shared" si="3"/>
        <v>164.15</v>
      </c>
      <c r="Q27" s="682">
        <f t="shared" si="3"/>
        <v>228.8</v>
      </c>
      <c r="R27" s="682">
        <f t="shared" ca="1" si="3"/>
        <v>578377.63369366282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6513.4592614711655</v>
      </c>
      <c r="D40" s="991">
        <f ca="1">tertiair!C20</f>
        <v>0</v>
      </c>
      <c r="E40" s="991">
        <f ca="1">tertiair!D20</f>
        <v>6510.7481938757528</v>
      </c>
      <c r="F40" s="991">
        <f>tertiair!E20</f>
        <v>62.183892466400593</v>
      </c>
      <c r="G40" s="991">
        <f ca="1">tertiair!F20</f>
        <v>1113.7364187022847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14200.127766515603</v>
      </c>
    </row>
    <row r="41" spans="1:18">
      <c r="A41" s="797" t="s">
        <v>224</v>
      </c>
      <c r="B41" s="804"/>
      <c r="C41" s="991">
        <f ca="1">huishoudens!B12</f>
        <v>4804.5313017256831</v>
      </c>
      <c r="D41" s="991">
        <f ca="1">huishoudens!C12</f>
        <v>0</v>
      </c>
      <c r="E41" s="991">
        <f>huishoudens!D12</f>
        <v>11665.307368665935</v>
      </c>
      <c r="F41" s="991">
        <f>huishoudens!E12</f>
        <v>1146.9601760859996</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17616.798846477617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10335.060361361431</v>
      </c>
      <c r="D43" s="991">
        <f ca="1">industrie!C22</f>
        <v>6413.4151260504223</v>
      </c>
      <c r="E43" s="991">
        <f>industrie!D22</f>
        <v>3203.8161565045202</v>
      </c>
      <c r="F43" s="991">
        <f>industrie!E22</f>
        <v>199.20866124712495</v>
      </c>
      <c r="G43" s="991">
        <f>industrie!F22</f>
        <v>10290.129645109968</v>
      </c>
      <c r="H43" s="991">
        <f>industrie!G22</f>
        <v>0</v>
      </c>
      <c r="I43" s="991">
        <f>industrie!H22</f>
        <v>0</v>
      </c>
      <c r="J43" s="991">
        <f>industrie!I22</f>
        <v>0</v>
      </c>
      <c r="K43" s="991">
        <f>industrie!J22</f>
        <v>169.64487738335669</v>
      </c>
      <c r="L43" s="991">
        <f>industrie!K22</f>
        <v>0</v>
      </c>
      <c r="M43" s="991">
        <f>industrie!L22</f>
        <v>0</v>
      </c>
      <c r="N43" s="991">
        <f>industrie!M22</f>
        <v>0</v>
      </c>
      <c r="O43" s="991">
        <f>industrie!N22</f>
        <v>0</v>
      </c>
      <c r="P43" s="991">
        <f>industrie!O22</f>
        <v>0</v>
      </c>
      <c r="Q43" s="749">
        <f>industrie!P22</f>
        <v>0</v>
      </c>
      <c r="R43" s="824">
        <f t="shared" ca="1" si="4"/>
        <v>30611.27482765682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21653.05092455828</v>
      </c>
      <c r="D46" s="707">
        <f t="shared" ref="D46:Q46" ca="1" si="5">SUM(D39:D45)</f>
        <v>6413.4151260504223</v>
      </c>
      <c r="E46" s="707">
        <f t="shared" ca="1" si="5"/>
        <v>21379.871719046208</v>
      </c>
      <c r="F46" s="707">
        <f t="shared" si="5"/>
        <v>1408.3527297995252</v>
      </c>
      <c r="G46" s="707">
        <f t="shared" ca="1" si="5"/>
        <v>11403.866063812253</v>
      </c>
      <c r="H46" s="707">
        <f t="shared" si="5"/>
        <v>0</v>
      </c>
      <c r="I46" s="707">
        <f t="shared" si="5"/>
        <v>0</v>
      </c>
      <c r="J46" s="707">
        <f t="shared" si="5"/>
        <v>0</v>
      </c>
      <c r="K46" s="707">
        <f t="shared" si="5"/>
        <v>169.64487738335669</v>
      </c>
      <c r="L46" s="707">
        <f t="shared" si="5"/>
        <v>0</v>
      </c>
      <c r="M46" s="707">
        <f t="shared" ca="1" si="5"/>
        <v>0</v>
      </c>
      <c r="N46" s="707">
        <f t="shared" si="5"/>
        <v>0</v>
      </c>
      <c r="O46" s="707">
        <f t="shared" ca="1" si="5"/>
        <v>0</v>
      </c>
      <c r="P46" s="707">
        <f t="shared" si="5"/>
        <v>0</v>
      </c>
      <c r="Q46" s="707">
        <f t="shared" si="5"/>
        <v>0</v>
      </c>
      <c r="R46" s="707">
        <f ca="1">SUM(R39:R45)</f>
        <v>62428.201440650038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609.68336120622746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609.68336120622746</v>
      </c>
    </row>
    <row r="50" spans="1:18">
      <c r="A50" s="800" t="s">
        <v>306</v>
      </c>
      <c r="B50" s="810"/>
      <c r="C50" s="678">
        <f ca="1">transport!B18</f>
        <v>5.248705144243357</v>
      </c>
      <c r="D50" s="678">
        <f>transport!C18</f>
        <v>0</v>
      </c>
      <c r="E50" s="678">
        <f>transport!D18</f>
        <v>9.0594328536604749</v>
      </c>
      <c r="F50" s="678">
        <f>transport!E18</f>
        <v>116.35067836941856</v>
      </c>
      <c r="G50" s="678">
        <f>transport!F18</f>
        <v>0</v>
      </c>
      <c r="H50" s="678">
        <f>transport!G18</f>
        <v>57683.064483236754</v>
      </c>
      <c r="I50" s="678">
        <f>transport!H18</f>
        <v>7053.4555180913139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64867.178817695392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5.248705144243357</v>
      </c>
      <c r="D52" s="707">
        <f t="shared" ref="D52:Q52" ca="1" si="6">SUM(D48:D51)</f>
        <v>0</v>
      </c>
      <c r="E52" s="707">
        <f t="shared" si="6"/>
        <v>9.0594328536604749</v>
      </c>
      <c r="F52" s="707">
        <f t="shared" si="6"/>
        <v>116.35067836941856</v>
      </c>
      <c r="G52" s="707">
        <f t="shared" si="6"/>
        <v>0</v>
      </c>
      <c r="H52" s="707">
        <f t="shared" si="6"/>
        <v>58292.74784444298</v>
      </c>
      <c r="I52" s="707">
        <f t="shared" si="6"/>
        <v>7053.4555180913139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65476.862178901618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88.857085344039007</v>
      </c>
      <c r="D54" s="678">
        <f ca="1">+landbouw!C12</f>
        <v>2407.7042016806727</v>
      </c>
      <c r="E54" s="678">
        <f>+landbouw!D12</f>
        <v>0</v>
      </c>
      <c r="F54" s="678">
        <f>+landbouw!E12</f>
        <v>0.87195473959353453</v>
      </c>
      <c r="G54" s="678">
        <f>+landbouw!F12</f>
        <v>280.93639672654757</v>
      </c>
      <c r="H54" s="678">
        <f>+landbouw!G12</f>
        <v>0</v>
      </c>
      <c r="I54" s="678">
        <f>+landbouw!H12</f>
        <v>0</v>
      </c>
      <c r="J54" s="678">
        <f>+landbouw!I12</f>
        <v>0</v>
      </c>
      <c r="K54" s="678">
        <f>+landbouw!J12</f>
        <v>22.507160178975631</v>
      </c>
      <c r="L54" s="678">
        <f>+landbouw!K12</f>
        <v>0</v>
      </c>
      <c r="M54" s="678">
        <f>+landbouw!L12</f>
        <v>0</v>
      </c>
      <c r="N54" s="678">
        <f>+landbouw!M12</f>
        <v>0</v>
      </c>
      <c r="O54" s="678">
        <f>+landbouw!N12</f>
        <v>0</v>
      </c>
      <c r="P54" s="678">
        <f>+landbouw!O12</f>
        <v>0</v>
      </c>
      <c r="Q54" s="679">
        <f>+landbouw!P12</f>
        <v>0</v>
      </c>
      <c r="R54" s="706">
        <f ca="1">SUM(C54:Q54)</f>
        <v>2800.8767986698285</v>
      </c>
    </row>
    <row r="55" spans="1:18" ht="15" thickBot="1">
      <c r="A55" s="800" t="s">
        <v>849</v>
      </c>
      <c r="B55" s="810"/>
      <c r="C55" s="678">
        <f ca="1">C25*'EF ele_warmte'!B12</f>
        <v>200.59853000068665</v>
      </c>
      <c r="D55" s="678"/>
      <c r="E55" s="678">
        <f>E25*EF_CO2_aardgas</f>
        <v>634.1153930844207</v>
      </c>
      <c r="F55" s="678"/>
      <c r="G55" s="678"/>
      <c r="H55" s="678"/>
      <c r="I55" s="678"/>
      <c r="J55" s="678"/>
      <c r="K55" s="678"/>
      <c r="L55" s="678"/>
      <c r="M55" s="678"/>
      <c r="N55" s="678"/>
      <c r="O55" s="678"/>
      <c r="P55" s="678"/>
      <c r="Q55" s="679"/>
      <c r="R55" s="706">
        <f ca="1">SUM(C55:Q55)</f>
        <v>834.71392308510735</v>
      </c>
    </row>
    <row r="56" spans="1:18" ht="15.75" thickBot="1">
      <c r="A56" s="798" t="s">
        <v>850</v>
      </c>
      <c r="B56" s="811"/>
      <c r="C56" s="707">
        <f ca="1">SUM(C54:C55)</f>
        <v>289.45561534472563</v>
      </c>
      <c r="D56" s="707">
        <f t="shared" ref="D56:Q56" ca="1" si="7">SUM(D54:D55)</f>
        <v>2407.7042016806727</v>
      </c>
      <c r="E56" s="707">
        <f t="shared" si="7"/>
        <v>634.1153930844207</v>
      </c>
      <c r="F56" s="707">
        <f t="shared" si="7"/>
        <v>0.87195473959353453</v>
      </c>
      <c r="G56" s="707">
        <f t="shared" si="7"/>
        <v>280.93639672654757</v>
      </c>
      <c r="H56" s="707">
        <f t="shared" si="7"/>
        <v>0</v>
      </c>
      <c r="I56" s="707">
        <f t="shared" si="7"/>
        <v>0</v>
      </c>
      <c r="J56" s="707">
        <f t="shared" si="7"/>
        <v>0</v>
      </c>
      <c r="K56" s="707">
        <f t="shared" si="7"/>
        <v>22.507160178975631</v>
      </c>
      <c r="L56" s="707">
        <f t="shared" si="7"/>
        <v>0</v>
      </c>
      <c r="M56" s="707">
        <f t="shared" si="7"/>
        <v>0</v>
      </c>
      <c r="N56" s="707">
        <f t="shared" si="7"/>
        <v>0</v>
      </c>
      <c r="O56" s="707">
        <f t="shared" si="7"/>
        <v>0</v>
      </c>
      <c r="P56" s="707">
        <f t="shared" si="7"/>
        <v>0</v>
      </c>
      <c r="Q56" s="708">
        <f t="shared" si="7"/>
        <v>0</v>
      </c>
      <c r="R56" s="709">
        <f ca="1">SUM(R54:R55)</f>
        <v>3635.5907217549357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21947.75524504725</v>
      </c>
      <c r="D61" s="715">
        <f t="shared" ref="D61:Q61" ca="1" si="8">D46+D52+D56</f>
        <v>8821.1193277310958</v>
      </c>
      <c r="E61" s="715">
        <f t="shared" ca="1" si="8"/>
        <v>22023.046544984289</v>
      </c>
      <c r="F61" s="715">
        <f t="shared" si="8"/>
        <v>1525.5753629085373</v>
      </c>
      <c r="G61" s="715">
        <f t="shared" ca="1" si="8"/>
        <v>11684.8024605388</v>
      </c>
      <c r="H61" s="715">
        <f t="shared" si="8"/>
        <v>58292.74784444298</v>
      </c>
      <c r="I61" s="715">
        <f t="shared" si="8"/>
        <v>7053.4555180913139</v>
      </c>
      <c r="J61" s="715">
        <f t="shared" si="8"/>
        <v>0</v>
      </c>
      <c r="K61" s="715">
        <f t="shared" si="8"/>
        <v>192.15203756233231</v>
      </c>
      <c r="L61" s="715">
        <f t="shared" si="8"/>
        <v>0</v>
      </c>
      <c r="M61" s="715">
        <f t="shared" ca="1" si="8"/>
        <v>0</v>
      </c>
      <c r="N61" s="715">
        <f t="shared" si="8"/>
        <v>0</v>
      </c>
      <c r="O61" s="715">
        <f t="shared" ca="1" si="8"/>
        <v>0</v>
      </c>
      <c r="P61" s="715">
        <f t="shared" si="8"/>
        <v>0</v>
      </c>
      <c r="Q61" s="715">
        <f t="shared" si="8"/>
        <v>0</v>
      </c>
      <c r="R61" s="715">
        <f ca="1">R46+R52+R56</f>
        <v>131540.6543413066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0.21426359806833081</v>
      </c>
      <c r="D63" s="756">
        <f t="shared" ca="1" si="9"/>
        <v>0.23764705882352952</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5079.5171231320364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25983</v>
      </c>
      <c r="D76" s="1012">
        <f>'lokale energieproductie'!C8</f>
        <v>30568.235294117643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6174.783529411764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5079.5171231320364</v>
      </c>
      <c r="C78" s="730">
        <f>SUM(C72:C77)</f>
        <v>25983</v>
      </c>
      <c r="D78" s="731">
        <f t="shared" ref="D78:H78" si="10">SUM(D76:D77)</f>
        <v>30568.235294117643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6174.783529411764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37118.571428571428</v>
      </c>
      <c r="D87" s="752">
        <f>'lokale energieproductie'!C17</f>
        <v>43668.907563025212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8821.119327731094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37118.571428571428</v>
      </c>
      <c r="D90" s="730">
        <f t="shared" ref="D90:H90" si="12">SUM(D87:D89)</f>
        <v>43668.907563025212</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8821.119327731094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5079.5171231320364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25983</v>
      </c>
      <c r="C8" s="545">
        <f>B50</f>
        <v>30568.235294117643</v>
      </c>
      <c r="D8" s="1022"/>
      <c r="E8" s="1022">
        <f>E50</f>
        <v>0</v>
      </c>
      <c r="F8" s="1023"/>
      <c r="G8" s="546"/>
      <c r="H8" s="1022">
        <f>I50</f>
        <v>0</v>
      </c>
      <c r="I8" s="1022">
        <f>G50+F50</f>
        <v>0</v>
      </c>
      <c r="J8" s="1022">
        <f>H50+D50+C50</f>
        <v>0</v>
      </c>
      <c r="K8" s="1022"/>
      <c r="L8" s="1022"/>
      <c r="M8" s="1022"/>
      <c r="N8" s="547"/>
      <c r="O8" s="548">
        <f>C8*$C$12+D8*$D$12+E8*$E$12+F8*$F$12+G8*$G$12+H8*$H$12+I8*$I$12+J8*$J$12</f>
        <v>6174.783529411764</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31062.517123132035</v>
      </c>
      <c r="C10" s="558">
        <f t="shared" ref="C10:L10" si="0">SUM(C8:C9)</f>
        <v>30568.235294117643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6174.783529411764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37118.571428571428</v>
      </c>
      <c r="C17" s="570">
        <f>B51</f>
        <v>43668.907563025212</v>
      </c>
      <c r="D17" s="571"/>
      <c r="E17" s="571">
        <f>E51</f>
        <v>0</v>
      </c>
      <c r="F17" s="1028"/>
      <c r="G17" s="572"/>
      <c r="H17" s="570">
        <f>I51</f>
        <v>0</v>
      </c>
      <c r="I17" s="571">
        <f>G51+F51</f>
        <v>0</v>
      </c>
      <c r="J17" s="571">
        <f>H51+D51+C51</f>
        <v>0</v>
      </c>
      <c r="K17" s="571"/>
      <c r="L17" s="571"/>
      <c r="M17" s="571"/>
      <c r="N17" s="1029"/>
      <c r="O17" s="573">
        <f>C17*$C$22+E17*$E$22+H17*$H$22+I17*$I$22+J17*$J$22+D17*$D$22+F17*$F$22+G17*$G$22+K17*$K$22+L17*$L$22</f>
        <v>8821.119327731094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37118.571428571428</v>
      </c>
      <c r="C20" s="557">
        <f>SUM(C17:C19)</f>
        <v>43668.907563025212</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8821.119327731094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11052</v>
      </c>
      <c r="C28" s="771">
        <v>2160</v>
      </c>
      <c r="D28" s="628" t="s">
        <v>913</v>
      </c>
      <c r="E28" s="627" t="s">
        <v>914</v>
      </c>
      <c r="F28" s="627" t="s">
        <v>915</v>
      </c>
      <c r="G28" s="627" t="s">
        <v>916</v>
      </c>
      <c r="H28" s="627" t="s">
        <v>917</v>
      </c>
      <c r="I28" s="627" t="s">
        <v>914</v>
      </c>
      <c r="J28" s="770">
        <v>40246</v>
      </c>
      <c r="K28" s="770">
        <v>39468</v>
      </c>
      <c r="L28" s="627" t="s">
        <v>918</v>
      </c>
      <c r="M28" s="627">
        <v>4198</v>
      </c>
      <c r="N28" s="627">
        <v>18891</v>
      </c>
      <c r="O28" s="627">
        <v>26987.142857142859</v>
      </c>
      <c r="P28" s="627">
        <v>53974.285714285717</v>
      </c>
      <c r="Q28" s="627">
        <v>0</v>
      </c>
      <c r="R28" s="627">
        <v>0</v>
      </c>
      <c r="S28" s="627">
        <v>0</v>
      </c>
      <c r="T28" s="627">
        <v>0</v>
      </c>
      <c r="U28" s="627">
        <v>0</v>
      </c>
      <c r="V28" s="627">
        <v>0</v>
      </c>
      <c r="W28" s="627">
        <v>0</v>
      </c>
      <c r="X28" s="627">
        <v>800</v>
      </c>
      <c r="Y28" s="627" t="s">
        <v>35</v>
      </c>
      <c r="Z28" s="629" t="s">
        <v>388</v>
      </c>
    </row>
    <row r="29" spans="1:26" s="581" customFormat="1" ht="25.5">
      <c r="A29" s="580"/>
      <c r="B29" s="771">
        <v>11052</v>
      </c>
      <c r="C29" s="771">
        <v>2160</v>
      </c>
      <c r="D29" s="628" t="s">
        <v>919</v>
      </c>
      <c r="E29" s="627" t="s">
        <v>920</v>
      </c>
      <c r="F29" s="627" t="s">
        <v>921</v>
      </c>
      <c r="G29" s="627" t="s">
        <v>916</v>
      </c>
      <c r="H29" s="627" t="s">
        <v>917</v>
      </c>
      <c r="I29" s="627" t="s">
        <v>920</v>
      </c>
      <c r="J29" s="770">
        <v>39750</v>
      </c>
      <c r="K29" s="770">
        <v>39750</v>
      </c>
      <c r="L29" s="627" t="s">
        <v>922</v>
      </c>
      <c r="M29" s="627">
        <v>290</v>
      </c>
      <c r="N29" s="627">
        <v>1305</v>
      </c>
      <c r="O29" s="627">
        <v>1864.2857142857142</v>
      </c>
      <c r="P29" s="627">
        <v>3728.5714285714289</v>
      </c>
      <c r="Q29" s="627">
        <v>0</v>
      </c>
      <c r="R29" s="627">
        <v>0</v>
      </c>
      <c r="S29" s="627">
        <v>0</v>
      </c>
      <c r="T29" s="627">
        <v>0</v>
      </c>
      <c r="U29" s="627">
        <v>0</v>
      </c>
      <c r="V29" s="627">
        <v>0</v>
      </c>
      <c r="W29" s="627">
        <v>0</v>
      </c>
      <c r="X29" s="627">
        <v>10</v>
      </c>
      <c r="Y29" s="627" t="s">
        <v>111</v>
      </c>
      <c r="Z29" s="629" t="s">
        <v>111</v>
      </c>
    </row>
    <row r="30" spans="1:26" s="581" customFormat="1" ht="25.5">
      <c r="A30" s="580"/>
      <c r="B30" s="771">
        <v>11052</v>
      </c>
      <c r="C30" s="771">
        <v>2160</v>
      </c>
      <c r="D30" s="628" t="s">
        <v>923</v>
      </c>
      <c r="E30" s="627" t="s">
        <v>924</v>
      </c>
      <c r="F30" s="627" t="s">
        <v>925</v>
      </c>
      <c r="G30" s="627" t="s">
        <v>916</v>
      </c>
      <c r="H30" s="627" t="s">
        <v>917</v>
      </c>
      <c r="I30" s="627" t="s">
        <v>924</v>
      </c>
      <c r="J30" s="770">
        <v>40590</v>
      </c>
      <c r="K30" s="770">
        <v>40655</v>
      </c>
      <c r="L30" s="627" t="s">
        <v>918</v>
      </c>
      <c r="M30" s="627">
        <v>1286</v>
      </c>
      <c r="N30" s="627">
        <v>5787</v>
      </c>
      <c r="O30" s="627">
        <v>8267.1428571428569</v>
      </c>
      <c r="P30" s="627">
        <v>16534.285714285714</v>
      </c>
      <c r="Q30" s="627">
        <v>0</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5774</v>
      </c>
      <c r="N31" s="585">
        <f>SUM(N28:N30)</f>
        <v>25983</v>
      </c>
      <c r="O31" s="585">
        <f>SUM(O28:O30)</f>
        <v>37118.571428571428</v>
      </c>
      <c r="P31" s="585">
        <f>SUM(P28:P30)</f>
        <v>74237.142857142855</v>
      </c>
      <c r="Q31" s="585">
        <f>SUM(Q28:Q30)</f>
        <v>0</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4198</v>
      </c>
      <c r="N32" s="585">
        <f>SUMIF($Z$28:$Z$30,"industrie",N28:N30)</f>
        <v>18891</v>
      </c>
      <c r="O32" s="585">
        <f>SUMIF($Z$28:$Z$30,"industrie",O28:O30)</f>
        <v>26987.142857142859</v>
      </c>
      <c r="P32" s="585">
        <f>SUMIF($Z$28:$Z$30,"industrie",P28:P30)</f>
        <v>53974.285714285717</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1576</v>
      </c>
      <c r="N34" s="590">
        <f>SUMIF($Z$28:$Z$30,"landbouw",N28:N30)</f>
        <v>7092</v>
      </c>
      <c r="O34" s="590">
        <f>SUMIF($Z$28:$Z$30,"landbouw",O28:O30)</f>
        <v>10131.428571428571</v>
      </c>
      <c r="P34" s="590">
        <f>SUMIF($Z$28:$Z$30,"landbouw",P28:P30)</f>
        <v>20262.857142857141</v>
      </c>
      <c r="Q34" s="590">
        <f>SUMIF($Z$28:$Z$30,"landbouw",Q28:Q30)</f>
        <v>0</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30568.235294117643</v>
      </c>
      <c r="C50" s="619">
        <f t="shared" si="2"/>
        <v>0</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43668.907563025212</v>
      </c>
      <c r="C51" s="622">
        <f t="shared" si="3"/>
        <v>0</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22423.460377966163</v>
      </c>
      <c r="C4" s="452">
        <f>huishoudens!C8</f>
        <v>0</v>
      </c>
      <c r="D4" s="452">
        <f>huishoudens!D8</f>
        <v>57749.046379534331</v>
      </c>
      <c r="E4" s="452">
        <f>huishoudens!E8</f>
        <v>5052.6880003788528</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5237.6901261457515</v>
      </c>
      <c r="O4" s="452">
        <f>huishoudens!O8</f>
        <v>162.58666666666667</v>
      </c>
      <c r="P4" s="453">
        <f>huishoudens!P8</f>
        <v>190.66666666666669</v>
      </c>
      <c r="Q4" s="454">
        <f>SUM(B4:P4)</f>
        <v>90816.138217358442</v>
      </c>
    </row>
    <row r="5" spans="1:17">
      <c r="A5" s="451" t="s">
        <v>155</v>
      </c>
      <c r="B5" s="452">
        <f ca="1">tertiair!B16</f>
        <v>29523.596700000002</v>
      </c>
      <c r="C5" s="452">
        <f ca="1">tertiair!C16</f>
        <v>0</v>
      </c>
      <c r="D5" s="452">
        <f ca="1">tertiair!D16</f>
        <v>32231.426702355209</v>
      </c>
      <c r="E5" s="452">
        <f>tertiair!E16</f>
        <v>273.93785227489246</v>
      </c>
      <c r="F5" s="452">
        <f ca="1">tertiair!F16</f>
        <v>4171.2974483231637</v>
      </c>
      <c r="G5" s="452">
        <f>tertiair!G16</f>
        <v>0</v>
      </c>
      <c r="H5" s="452">
        <f>tertiair!H16</f>
        <v>0</v>
      </c>
      <c r="I5" s="452">
        <f>tertiair!I16</f>
        <v>0</v>
      </c>
      <c r="J5" s="452">
        <f>tertiair!J16</f>
        <v>0</v>
      </c>
      <c r="K5" s="452">
        <f>tertiair!K16</f>
        <v>0</v>
      </c>
      <c r="L5" s="452">
        <f ca="1">tertiair!L16</f>
        <v>0</v>
      </c>
      <c r="M5" s="452">
        <f>tertiair!M16</f>
        <v>0</v>
      </c>
      <c r="N5" s="452">
        <f ca="1">tertiair!N16</f>
        <v>2294.9631320916942</v>
      </c>
      <c r="O5" s="452">
        <f>tertiair!O16</f>
        <v>1.5633333333333335</v>
      </c>
      <c r="P5" s="453">
        <f>tertiair!P16</f>
        <v>38.133333333333333</v>
      </c>
      <c r="Q5" s="451">
        <f t="shared" ref="Q5:Q14" ca="1" si="0">SUM(B5:P5)</f>
        <v>68534.91850171164</v>
      </c>
    </row>
    <row r="6" spans="1:17">
      <c r="A6" s="451" t="s">
        <v>193</v>
      </c>
      <c r="B6" s="452">
        <f>'openbare verlichting'!B8</f>
        <v>875.68399999999997</v>
      </c>
      <c r="C6" s="452"/>
      <c r="D6" s="452"/>
      <c r="E6" s="452"/>
      <c r="F6" s="452"/>
      <c r="G6" s="452"/>
      <c r="H6" s="452"/>
      <c r="I6" s="452"/>
      <c r="J6" s="452"/>
      <c r="K6" s="452"/>
      <c r="L6" s="452"/>
      <c r="M6" s="452"/>
      <c r="N6" s="452"/>
      <c r="O6" s="452"/>
      <c r="P6" s="453"/>
      <c r="Q6" s="451">
        <f t="shared" si="0"/>
        <v>875.68399999999997</v>
      </c>
    </row>
    <row r="7" spans="1:17">
      <c r="A7" s="451" t="s">
        <v>111</v>
      </c>
      <c r="B7" s="452">
        <f>landbouw!B8</f>
        <v>414.70920000000001</v>
      </c>
      <c r="C7" s="452">
        <f>landbouw!C8</f>
        <v>10131.428571428571</v>
      </c>
      <c r="D7" s="452">
        <f>landbouw!D8</f>
        <v>0</v>
      </c>
      <c r="E7" s="452">
        <f>landbouw!E8</f>
        <v>3.841210306579447</v>
      </c>
      <c r="F7" s="452">
        <f>landbouw!F8</f>
        <v>1052.1962424215264</v>
      </c>
      <c r="G7" s="452">
        <f>landbouw!G8</f>
        <v>0</v>
      </c>
      <c r="H7" s="452">
        <f>landbouw!H8</f>
        <v>0</v>
      </c>
      <c r="I7" s="452">
        <f>landbouw!I8</f>
        <v>0</v>
      </c>
      <c r="J7" s="452">
        <f>landbouw!J8</f>
        <v>63.579548528179757</v>
      </c>
      <c r="K7" s="452">
        <f>landbouw!K8</f>
        <v>0</v>
      </c>
      <c r="L7" s="452">
        <f>landbouw!L8</f>
        <v>0</v>
      </c>
      <c r="M7" s="452">
        <f>landbouw!M8</f>
        <v>0</v>
      </c>
      <c r="N7" s="452">
        <f>landbouw!N8</f>
        <v>0</v>
      </c>
      <c r="O7" s="452">
        <f>landbouw!O8</f>
        <v>0</v>
      </c>
      <c r="P7" s="453">
        <f>landbouw!P8</f>
        <v>0</v>
      </c>
      <c r="Q7" s="451">
        <f t="shared" si="0"/>
        <v>11665.754772684857</v>
      </c>
    </row>
    <row r="8" spans="1:17">
      <c r="A8" s="451" t="s">
        <v>649</v>
      </c>
      <c r="B8" s="452">
        <f>industrie!B18</f>
        <v>48235.259999999995</v>
      </c>
      <c r="C8" s="452">
        <f>industrie!C18</f>
        <v>26987.142857142859</v>
      </c>
      <c r="D8" s="452">
        <f>industrie!D18</f>
        <v>15860.476022299605</v>
      </c>
      <c r="E8" s="452">
        <f>industrie!E18</f>
        <v>877.57119492125526</v>
      </c>
      <c r="F8" s="452">
        <f>industrie!F18</f>
        <v>38539.811404906242</v>
      </c>
      <c r="G8" s="452">
        <f>industrie!G18</f>
        <v>0</v>
      </c>
      <c r="H8" s="452">
        <f>industrie!H18</f>
        <v>0</v>
      </c>
      <c r="I8" s="452">
        <f>industrie!I18</f>
        <v>0</v>
      </c>
      <c r="J8" s="452">
        <f>industrie!J18</f>
        <v>479.22281746710928</v>
      </c>
      <c r="K8" s="452">
        <f>industrie!K18</f>
        <v>0</v>
      </c>
      <c r="L8" s="452">
        <f>industrie!L18</f>
        <v>0</v>
      </c>
      <c r="M8" s="452">
        <f>industrie!M18</f>
        <v>0</v>
      </c>
      <c r="N8" s="452">
        <f>industrie!N18</f>
        <v>10676.272365576673</v>
      </c>
      <c r="O8" s="452">
        <f>industrie!O18</f>
        <v>0</v>
      </c>
      <c r="P8" s="453">
        <f>industrie!P18</f>
        <v>0</v>
      </c>
      <c r="Q8" s="451">
        <f t="shared" si="0"/>
        <v>141655.75666231374</v>
      </c>
    </row>
    <row r="9" spans="1:17" s="457" customFormat="1">
      <c r="A9" s="455" t="s">
        <v>570</v>
      </c>
      <c r="B9" s="456">
        <f>transport!B14</f>
        <v>24.496485597938538</v>
      </c>
      <c r="C9" s="456">
        <f>transport!C14</f>
        <v>0</v>
      </c>
      <c r="D9" s="456">
        <f>transport!D14</f>
        <v>44.848677493368683</v>
      </c>
      <c r="E9" s="456">
        <f>transport!E14</f>
        <v>512.55805449083061</v>
      </c>
      <c r="F9" s="456">
        <f>transport!F14</f>
        <v>0</v>
      </c>
      <c r="G9" s="456">
        <f>transport!G14</f>
        <v>216041.44001212265</v>
      </c>
      <c r="H9" s="456">
        <f>transport!H14</f>
        <v>28327.130594744234</v>
      </c>
      <c r="I9" s="456">
        <f>transport!I14</f>
        <v>0</v>
      </c>
      <c r="J9" s="456">
        <f>transport!J14</f>
        <v>0</v>
      </c>
      <c r="K9" s="456">
        <f>transport!K14</f>
        <v>0</v>
      </c>
      <c r="L9" s="456">
        <f>transport!L14</f>
        <v>0</v>
      </c>
      <c r="M9" s="456">
        <f>transport!M14</f>
        <v>13389.525693994159</v>
      </c>
      <c r="N9" s="456">
        <f>transport!N14</f>
        <v>0</v>
      </c>
      <c r="O9" s="456">
        <f>transport!O14</f>
        <v>0</v>
      </c>
      <c r="P9" s="456">
        <f>transport!P14</f>
        <v>0</v>
      </c>
      <c r="Q9" s="455">
        <f>SUM(B9:P9)</f>
        <v>258339.99951844319</v>
      </c>
    </row>
    <row r="10" spans="1:17">
      <c r="A10" s="451" t="s">
        <v>560</v>
      </c>
      <c r="B10" s="452">
        <f>transport!B54</f>
        <v>0</v>
      </c>
      <c r="C10" s="452">
        <f>transport!C54</f>
        <v>0</v>
      </c>
      <c r="D10" s="452">
        <f>transport!D54</f>
        <v>0</v>
      </c>
      <c r="E10" s="452">
        <f>transport!E54</f>
        <v>0</v>
      </c>
      <c r="F10" s="452">
        <f>transport!F54</f>
        <v>0</v>
      </c>
      <c r="G10" s="452">
        <f>transport!G54</f>
        <v>2283.4582816712636</v>
      </c>
      <c r="H10" s="452">
        <f>transport!H54</f>
        <v>0</v>
      </c>
      <c r="I10" s="452">
        <f>transport!I54</f>
        <v>0</v>
      </c>
      <c r="J10" s="452">
        <f>transport!J54</f>
        <v>0</v>
      </c>
      <c r="K10" s="452">
        <f>transport!K54</f>
        <v>0</v>
      </c>
      <c r="L10" s="452">
        <f>transport!L54</f>
        <v>0</v>
      </c>
      <c r="M10" s="452">
        <f>transport!M54</f>
        <v>130.51552520034255</v>
      </c>
      <c r="N10" s="452">
        <f>transport!N54</f>
        <v>0</v>
      </c>
      <c r="O10" s="452">
        <f>transport!O54</f>
        <v>0</v>
      </c>
      <c r="P10" s="453">
        <f>transport!P54</f>
        <v>0</v>
      </c>
      <c r="Q10" s="451">
        <f t="shared" si="0"/>
        <v>2413.973806871606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936.22309999999993</v>
      </c>
      <c r="C14" s="459"/>
      <c r="D14" s="459">
        <f>'SEAP template'!E25</f>
        <v>3139.1851142793103</v>
      </c>
      <c r="E14" s="459"/>
      <c r="F14" s="459"/>
      <c r="G14" s="459"/>
      <c r="H14" s="459"/>
      <c r="I14" s="459"/>
      <c r="J14" s="459"/>
      <c r="K14" s="459"/>
      <c r="L14" s="459"/>
      <c r="M14" s="459"/>
      <c r="N14" s="459"/>
      <c r="O14" s="459"/>
      <c r="P14" s="460"/>
      <c r="Q14" s="451">
        <f t="shared" si="0"/>
        <v>4075.4082142793104</v>
      </c>
    </row>
    <row r="15" spans="1:17" s="461" customFormat="1">
      <c r="A15" s="1017" t="s">
        <v>564</v>
      </c>
      <c r="B15" s="957">
        <f ca="1">SUM(B4:B14)</f>
        <v>102433.4298635641</v>
      </c>
      <c r="C15" s="957">
        <f t="shared" ref="C15:Q15" ca="1" si="1">SUM(C4:C14)</f>
        <v>37118.571428571428</v>
      </c>
      <c r="D15" s="957">
        <f t="shared" ca="1" si="1"/>
        <v>109024.98289596183</v>
      </c>
      <c r="E15" s="957">
        <f t="shared" si="1"/>
        <v>6720.5963123724105</v>
      </c>
      <c r="F15" s="957">
        <f t="shared" ca="1" si="1"/>
        <v>43763.305095650932</v>
      </c>
      <c r="G15" s="957">
        <f t="shared" si="1"/>
        <v>218324.8982937939</v>
      </c>
      <c r="H15" s="957">
        <f t="shared" si="1"/>
        <v>28327.130594744234</v>
      </c>
      <c r="I15" s="957">
        <f t="shared" si="1"/>
        <v>0</v>
      </c>
      <c r="J15" s="957">
        <f t="shared" si="1"/>
        <v>542.80236599528905</v>
      </c>
      <c r="K15" s="957">
        <f t="shared" si="1"/>
        <v>0</v>
      </c>
      <c r="L15" s="957">
        <f t="shared" ca="1" si="1"/>
        <v>0</v>
      </c>
      <c r="M15" s="957">
        <f t="shared" si="1"/>
        <v>13520.041219194502</v>
      </c>
      <c r="N15" s="957">
        <f t="shared" ca="1" si="1"/>
        <v>18208.925623814117</v>
      </c>
      <c r="O15" s="957">
        <f t="shared" si="1"/>
        <v>164.15</v>
      </c>
      <c r="P15" s="957">
        <f t="shared" si="1"/>
        <v>228.8</v>
      </c>
      <c r="Q15" s="957">
        <f t="shared" ca="1" si="1"/>
        <v>578377.63369366282</v>
      </c>
    </row>
    <row r="17" spans="1:17">
      <c r="A17" s="462" t="s">
        <v>565</v>
      </c>
      <c r="B17" s="761">
        <f ca="1">huishoudens!B10</f>
        <v>0.21426359806833079</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4804.5313017256831</v>
      </c>
      <c r="C22" s="452">
        <f t="shared" ref="C22:C32" ca="1" si="3">C4*$C$17</f>
        <v>0</v>
      </c>
      <c r="D22" s="452">
        <f t="shared" ref="D22:D32" si="4">D4*$D$17</f>
        <v>11665.307368665935</v>
      </c>
      <c r="E22" s="452">
        <f t="shared" ref="E22:E32" si="5">E4*$E$17</f>
        <v>1146.9601760859996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17616.798846477617</v>
      </c>
    </row>
    <row r="23" spans="1:17">
      <c r="A23" s="451" t="s">
        <v>155</v>
      </c>
      <c r="B23" s="452">
        <f t="shared" ca="1" si="2"/>
        <v>6325.8320568602976</v>
      </c>
      <c r="C23" s="452">
        <f t="shared" ca="1" si="3"/>
        <v>0</v>
      </c>
      <c r="D23" s="452">
        <f t="shared" ca="1" si="4"/>
        <v>6510.7481938757528</v>
      </c>
      <c r="E23" s="452">
        <f t="shared" si="5"/>
        <v>62.183892466400593</v>
      </c>
      <c r="F23" s="452">
        <f t="shared" ca="1" si="6"/>
        <v>1113.7364187022847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14012.500561904735</v>
      </c>
    </row>
    <row r="24" spans="1:17">
      <c r="A24" s="451" t="s">
        <v>193</v>
      </c>
      <c r="B24" s="452">
        <f t="shared" ca="1" si="2"/>
        <v>187.62720461086818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187.62720461086818</v>
      </c>
    </row>
    <row r="25" spans="1:17">
      <c r="A25" s="451" t="s">
        <v>111</v>
      </c>
      <c r="B25" s="452">
        <f t="shared" ca="1" si="2"/>
        <v>88.857085344039007</v>
      </c>
      <c r="C25" s="452">
        <f t="shared" ca="1" si="3"/>
        <v>2407.7042016806727</v>
      </c>
      <c r="D25" s="452">
        <f t="shared" si="4"/>
        <v>0</v>
      </c>
      <c r="E25" s="452">
        <f t="shared" si="5"/>
        <v>0.87195473959353453</v>
      </c>
      <c r="F25" s="452">
        <f t="shared" si="6"/>
        <v>280.93639672654757</v>
      </c>
      <c r="G25" s="452">
        <f t="shared" si="7"/>
        <v>0</v>
      </c>
      <c r="H25" s="452">
        <f t="shared" si="8"/>
        <v>0</v>
      </c>
      <c r="I25" s="452">
        <f t="shared" si="9"/>
        <v>0</v>
      </c>
      <c r="J25" s="452">
        <f t="shared" si="10"/>
        <v>22.507160178975631</v>
      </c>
      <c r="K25" s="452">
        <f t="shared" si="11"/>
        <v>0</v>
      </c>
      <c r="L25" s="452">
        <f t="shared" si="12"/>
        <v>0</v>
      </c>
      <c r="M25" s="452">
        <f t="shared" si="13"/>
        <v>0</v>
      </c>
      <c r="N25" s="452">
        <f t="shared" si="14"/>
        <v>0</v>
      </c>
      <c r="O25" s="452">
        <f t="shared" si="15"/>
        <v>0</v>
      </c>
      <c r="P25" s="453">
        <f t="shared" si="16"/>
        <v>0</v>
      </c>
      <c r="Q25" s="451">
        <f t="shared" ca="1" si="17"/>
        <v>2800.8767986698285</v>
      </c>
    </row>
    <row r="26" spans="1:17">
      <c r="A26" s="451" t="s">
        <v>649</v>
      </c>
      <c r="B26" s="452">
        <f t="shared" ca="1" si="2"/>
        <v>10335.060361361431</v>
      </c>
      <c r="C26" s="452">
        <f t="shared" ca="1" si="3"/>
        <v>6413.4151260504223</v>
      </c>
      <c r="D26" s="452">
        <f t="shared" si="4"/>
        <v>3203.8161565045202</v>
      </c>
      <c r="E26" s="452">
        <f t="shared" si="5"/>
        <v>199.20866124712495</v>
      </c>
      <c r="F26" s="452">
        <f t="shared" si="6"/>
        <v>10290.129645109968</v>
      </c>
      <c r="G26" s="452">
        <f t="shared" si="7"/>
        <v>0</v>
      </c>
      <c r="H26" s="452">
        <f t="shared" si="8"/>
        <v>0</v>
      </c>
      <c r="I26" s="452">
        <f t="shared" si="9"/>
        <v>0</v>
      </c>
      <c r="J26" s="452">
        <f t="shared" si="10"/>
        <v>169.64487738335669</v>
      </c>
      <c r="K26" s="452">
        <f t="shared" si="11"/>
        <v>0</v>
      </c>
      <c r="L26" s="452">
        <f t="shared" si="12"/>
        <v>0</v>
      </c>
      <c r="M26" s="452">
        <f t="shared" si="13"/>
        <v>0</v>
      </c>
      <c r="N26" s="452">
        <f t="shared" si="14"/>
        <v>0</v>
      </c>
      <c r="O26" s="452">
        <f t="shared" si="15"/>
        <v>0</v>
      </c>
      <c r="P26" s="453">
        <f t="shared" si="16"/>
        <v>0</v>
      </c>
      <c r="Q26" s="451">
        <f t="shared" ca="1" si="17"/>
        <v>30611.27482765682</v>
      </c>
    </row>
    <row r="27" spans="1:17" s="457" customFormat="1">
      <c r="A27" s="455" t="s">
        <v>570</v>
      </c>
      <c r="B27" s="755">
        <f t="shared" ca="1" si="2"/>
        <v>5.248705144243357</v>
      </c>
      <c r="C27" s="456">
        <f t="shared" ca="1" si="3"/>
        <v>0</v>
      </c>
      <c r="D27" s="456">
        <f t="shared" si="4"/>
        <v>9.0594328536604749</v>
      </c>
      <c r="E27" s="456">
        <f t="shared" si="5"/>
        <v>116.35067836941856</v>
      </c>
      <c r="F27" s="456">
        <f t="shared" si="6"/>
        <v>0</v>
      </c>
      <c r="G27" s="456">
        <f t="shared" si="7"/>
        <v>57683.064483236754</v>
      </c>
      <c r="H27" s="456">
        <f t="shared" si="8"/>
        <v>7053.4555180913139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64867.178817695392</v>
      </c>
    </row>
    <row r="28" spans="1:17">
      <c r="A28" s="451" t="s">
        <v>560</v>
      </c>
      <c r="B28" s="452">
        <f t="shared" ca="1" si="2"/>
        <v>0</v>
      </c>
      <c r="C28" s="452">
        <f t="shared" ca="1" si="3"/>
        <v>0</v>
      </c>
      <c r="D28" s="452">
        <f t="shared" si="4"/>
        <v>0</v>
      </c>
      <c r="E28" s="452">
        <f t="shared" si="5"/>
        <v>0</v>
      </c>
      <c r="F28" s="452">
        <f t="shared" si="6"/>
        <v>0</v>
      </c>
      <c r="G28" s="452">
        <f t="shared" si="7"/>
        <v>609.68336120622746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609.68336120622746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200.59853000068665</v>
      </c>
      <c r="C32" s="452">
        <f t="shared" ca="1" si="3"/>
        <v>0</v>
      </c>
      <c r="D32" s="452">
        <f t="shared" si="4"/>
        <v>634.1153930844207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834.71392308510735</v>
      </c>
    </row>
    <row r="33" spans="1:17" s="461" customFormat="1">
      <c r="A33" s="1017" t="s">
        <v>564</v>
      </c>
      <c r="B33" s="957">
        <f ca="1">SUM(B22:B32)</f>
        <v>21947.75524504725</v>
      </c>
      <c r="C33" s="957">
        <f t="shared" ref="C33:Q33" ca="1" si="18">SUM(C22:C32)</f>
        <v>8821.1193277310958</v>
      </c>
      <c r="D33" s="957">
        <f t="shared" ca="1" si="18"/>
        <v>22023.046544984289</v>
      </c>
      <c r="E33" s="957">
        <f t="shared" si="18"/>
        <v>1525.5753629085373</v>
      </c>
      <c r="F33" s="957">
        <f t="shared" ca="1" si="18"/>
        <v>11684.8024605388</v>
      </c>
      <c r="G33" s="957">
        <f t="shared" si="18"/>
        <v>58292.74784444298</v>
      </c>
      <c r="H33" s="957">
        <f t="shared" si="18"/>
        <v>7053.4555180913139</v>
      </c>
      <c r="I33" s="957">
        <f t="shared" si="18"/>
        <v>0</v>
      </c>
      <c r="J33" s="957">
        <f t="shared" si="18"/>
        <v>192.15203756233231</v>
      </c>
      <c r="K33" s="957">
        <f t="shared" si="18"/>
        <v>0</v>
      </c>
      <c r="L33" s="957">
        <f t="shared" ca="1" si="18"/>
        <v>0</v>
      </c>
      <c r="M33" s="957">
        <f t="shared" si="18"/>
        <v>0</v>
      </c>
      <c r="N33" s="957">
        <f t="shared" ca="1" si="18"/>
        <v>0</v>
      </c>
      <c r="O33" s="957">
        <f t="shared" si="18"/>
        <v>0</v>
      </c>
      <c r="P33" s="957">
        <f t="shared" si="18"/>
        <v>0</v>
      </c>
      <c r="Q33" s="957">
        <f t="shared" ca="1" si="18"/>
        <v>131540.6543413066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5079.5171231320364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25983</v>
      </c>
      <c r="D8" s="1034">
        <f>'SEAP template'!D76</f>
        <v>30568.235294117643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6174.783529411764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5079.5171231320364</v>
      </c>
      <c r="C10" s="1038">
        <f>SUM(C4:C9)</f>
        <v>25983</v>
      </c>
      <c r="D10" s="1038">
        <f t="shared" ref="D10:H10" si="0">SUM(D8:D9)</f>
        <v>30568.235294117643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6174.783529411764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0.21426359806833079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37118.571428571428</v>
      </c>
      <c r="D17" s="1035">
        <f>'SEAP template'!D87</f>
        <v>43668.907563025212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8821.119327731094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37118.571428571428</v>
      </c>
      <c r="D20" s="1038">
        <f t="shared" ref="D20:H20" si="2">SUM(D17:D19)</f>
        <v>43668.907563025212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8821.119327731094</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0.21426359806833079</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2020-06-20T16:02:01Z</dcterms:modified>
</cp:coreProperties>
</file>