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1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2.xml" ContentType="application/vnd.openxmlformats-officedocument.spreadsheetml.table+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Y:\Unit_SEB\2_TEEM\Projecten\_MKM-Markal\N78I4 - actualisatie CoM tool 2020\3 Werkdocumenten\tool_v2.2\Rapporten_2014\"/>
    </mc:Choice>
  </mc:AlternateContent>
  <bookViews>
    <workbookView xWindow="480" yWindow="360" windowWidth="14640" windowHeight="7515" tabRatio="598"/>
  </bookViews>
  <sheets>
    <sheet name="LEGENDE" sheetId="31" r:id="rId1"/>
    <sheet name="OUTPUT--&gt;" sheetId="53" r:id="rId2"/>
    <sheet name="SEAP template" sheetId="14" r:id="rId3"/>
    <sheet name="Inventaris 2014" sheetId="48" r:id="rId4"/>
    <sheet name="betrouwbaarheid inventaris" sheetId="58" r:id="rId5"/>
    <sheet name="Lokale energieproductie 2014" sheetId="59" r:id="rId6"/>
    <sheet name="betrouwbaarheid productie" sheetId="60" r:id="rId7"/>
    <sheet name="grafiek finaal energieverbruik" sheetId="54" r:id="rId8"/>
    <sheet name="taart finaal energieverbruik" sheetId="55" r:id="rId9"/>
    <sheet name="grafiek CO2 emissies" sheetId="56" r:id="rId10"/>
    <sheet name="taart CO2 emissies" sheetId="57" r:id="rId11"/>
    <sheet name="INPUT--&gt;" sheetId="35" r:id="rId12"/>
    <sheet name="Eigen gebouwen" sheetId="19" r:id="rId13"/>
    <sheet name="Eigen openbare verlichting" sheetId="49" r:id="rId14"/>
    <sheet name="Eigen vloot" sheetId="20" r:id="rId15"/>
    <sheet name="Eigen informatie GS &amp; warmtenet" sheetId="43" r:id="rId16"/>
    <sheet name="Conversiefactoren" sheetId="50" r:id="rId17"/>
    <sheet name="DATA--&gt;" sheetId="36" r:id="rId18"/>
    <sheet name="data" sheetId="4" r:id="rId19"/>
    <sheet name="EF N2O_CH4 landbouw" sheetId="7" r:id="rId20"/>
    <sheet name="ha_N2O bodem landbouw" sheetId="21" r:id="rId21"/>
    <sheet name="GWP N2O_CH4" sheetId="47" r:id="rId22"/>
    <sheet name="EF brandstof" sheetId="11" r:id="rId23"/>
    <sheet name="EF ele_warmte" sheetId="6" r:id="rId24"/>
    <sheet name="ECF transport " sheetId="23" r:id="rId25"/>
    <sheet name="E Balans VL " sheetId="5" r:id="rId26"/>
    <sheet name="BEREKENINGEN PER SECTOR --&gt;" sheetId="45" r:id="rId27"/>
    <sheet name="openbare verlichting" sheetId="9" r:id="rId28"/>
    <sheet name="huishoudens" sheetId="13" r:id="rId29"/>
    <sheet name="tertiair" sheetId="15" r:id="rId30"/>
    <sheet name="industrie" sheetId="16" r:id="rId31"/>
    <sheet name="landbouw" sheetId="17" r:id="rId32"/>
    <sheet name="transport" sheetId="22" r:id="rId33"/>
    <sheet name="lokale energieproductie" sheetId="18" r:id="rId34"/>
    <sheet name="BRONNEN --&gt;" sheetId="44" r:id="rId35"/>
    <sheet name="versiebeheer" sheetId="51" r:id="rId36"/>
  </sheets>
  <definedNames>
    <definedName name="_xlnm._FilterDatabase" localSheetId="24" hidden="1">'ECF transport '!#REF!</definedName>
    <definedName name="_Toc352313866" localSheetId="19">'EF N2O_CH4 landbouw'!$A$19</definedName>
    <definedName name="Aantal_pluimvee">data!$B$28</definedName>
    <definedName name="Aantal_schapen">data!$B$26</definedName>
    <definedName name="aantalbiggen_tot_20kg">data!$B$21</definedName>
    <definedName name="aantalCultuurgronden">data!$B$14</definedName>
    <definedName name="Aantalezels">data!$B$30</definedName>
    <definedName name="AantalFokvarkens_beren">data!$B$24</definedName>
    <definedName name="AantalFokvarkens_zeugen">data!$B$25</definedName>
    <definedName name="aantalGeiten">data!$B$27</definedName>
    <definedName name="aantalHuishoudens">data!$B$9</definedName>
    <definedName name="aantalMelkkoeien">data!$B$16</definedName>
    <definedName name="AantalMestvarkens_meer_dan_110kg">data!$B$23</definedName>
    <definedName name="Aantalpaarden">data!$B$29</definedName>
    <definedName name="aantalRunderen_0_tot_1_jaar">data!$B$18</definedName>
    <definedName name="aantalRunderen_1_tot_2_jaar">data!$B$19</definedName>
    <definedName name="aantalRunderen_meer_dan_2jaar">data!$B$20</definedName>
    <definedName name="aantalRunderen_tot_1_jaar">data!$B$18</definedName>
    <definedName name="aantalSlachtvarkens">data!$B$15</definedName>
    <definedName name="AantalVarkens_20_tot_110kg">data!$B$22</definedName>
    <definedName name="Aantalw2001_aardgas">data!$B$97</definedName>
    <definedName name="aantalw2001_ander">data!$B$98</definedName>
    <definedName name="aantalw2001_elektriciteit">data!$B$100</definedName>
    <definedName name="aantalw2001_hout">data!$B$101</definedName>
    <definedName name="aantalw2001_niet_gespec">data!$B$102</definedName>
    <definedName name="aantalw2001_propaan">data!$B$99</definedName>
    <definedName name="aantalw2001_steenkool">data!$B$103</definedName>
    <definedName name="aantalw2001_stookolie">data!$B$104</definedName>
    <definedName name="aantalw2001_WP">data!$B$105</definedName>
    <definedName name="aantalWP_NB_ander">data!$B$117</definedName>
    <definedName name="aantalWP_NB_industrie">data!$B$119</definedName>
    <definedName name="AantalWP_NB_industrie_met_kantoor">data!$B$120</definedName>
    <definedName name="aantalWP_NB_kantoor">data!$B$121</definedName>
    <definedName name="aantalWP_NB_NIET_RESIDENTIEEL_EPN">data!$B$125</definedName>
    <definedName name="aantalWP_NB_school">data!$B$122</definedName>
    <definedName name="aantalWP_NB_wonen">data!$B$123</definedName>
    <definedName name="aantalWP_NB_wonen_met_kantoor">data!$B$124</definedName>
    <definedName name="aantalZB_NB_ander">data!$C$117</definedName>
    <definedName name="aantalZB_NB_ander_met_kantoor">data!$C$118</definedName>
    <definedName name="aantalZB_NB_industrie">data!$C$119</definedName>
    <definedName name="aantalZB_NB_industrie_met_kantoor">data!$C$120</definedName>
    <definedName name="aantalZB_NB_kantoor">data!$C$121</definedName>
    <definedName name="aantalZB_NB_NIET_RESIDENTIEEL_EPN">data!$C$125</definedName>
    <definedName name="aantalZB_NB_school">data!$C$122</definedName>
    <definedName name="aantalZB_NB_wonen">data!$C$123</definedName>
    <definedName name="aantalZB_NB_wonen_met_kantoor">data!$C$124</definedName>
    <definedName name="aantalZoogkoeien">data!$B$17</definedName>
    <definedName name="antalWP_NB_ander_met_kantoor">data!$B$118</definedName>
    <definedName name="EF_anderfossiel_CO2">'EF brandstof'!$I$4</definedName>
    <definedName name="EF_benzine_CO2">'EF brandstof'!$F$4</definedName>
    <definedName name="EF_bruinkool_CO2">'EF brandstof'!$G$4</definedName>
    <definedName name="EF_CO2_aardgas">'EF brandstof'!$B$4</definedName>
    <definedName name="EF_diesel_CO2">'EF brandstof'!$E$4</definedName>
    <definedName name="EF_steenkool_CO2">'EF brandstof'!$H$4</definedName>
    <definedName name="EF_stookolie_CO2">'EF brandstof'!$D$4</definedName>
    <definedName name="EF_VLgas_CO2">'EF brandstof'!$C$4</definedName>
    <definedName name="EigenWP">data!$B$111</definedName>
    <definedName name="EigenZB">data!$B$110</definedName>
    <definedName name="EN_ander_gas_aantal">data!$C$35</definedName>
    <definedName name="EN_andere_ele_aantal">data!$E$35</definedName>
    <definedName name="EN_andere_ele_kWh">data!$F$35</definedName>
    <definedName name="EN_andere_gas_kWh">data!$D$35</definedName>
    <definedName name="EN_ele_ele_aantal">data!$E$36</definedName>
    <definedName name="EN_ele_ele_kWh">data!$F$36</definedName>
    <definedName name="EN_ele_gas_aantal">data!$C$36</definedName>
    <definedName name="EN_ele_gas_kWh">data!$D$36</definedName>
    <definedName name="EN_raff_ele_aantal">data!$E$37</definedName>
    <definedName name="EN_raff_ele_kWh">data!$F$37</definedName>
    <definedName name="EN_raff_gas_aantal">data!$C$37</definedName>
    <definedName name="EN_raff_gas_kWh">data!$D$37</definedName>
    <definedName name="EN_rest_ele_aantal">data!$E$38</definedName>
    <definedName name="EN_rest_ele_kWh">data!$F$38</definedName>
    <definedName name="EN_rest_gas_aantal">data!$C$38</definedName>
    <definedName name="EN_rest_gas_kWh">data!$D$38</definedName>
    <definedName name="HH_hh_ele_aantal">data!$E$39</definedName>
    <definedName name="HH_hh_ele_kWh">data!$F$39</definedName>
    <definedName name="HH_hh_gas_aantal">data!$C$39</definedName>
    <definedName name="HH_hh_gas_kWh">data!$D$39</definedName>
    <definedName name="HH_rest_ele_aantal">data!$E$40</definedName>
    <definedName name="HH_rest_gas_aantal">data!$C$40</definedName>
    <definedName name="HH_rest_gas_kWh">data!$D$40</definedName>
    <definedName name="HH_rest_kWh">data!$F$40</definedName>
    <definedName name="IND_ander_ele_kWh">data!$F$41</definedName>
    <definedName name="IND_ander_gas_aantal">data!$C$41</definedName>
    <definedName name="IND_andere_ele_aantal">data!$E$41</definedName>
    <definedName name="IND_andere_gas_kWh">data!$D$41</definedName>
    <definedName name="IND_chemie_ele_aantal">data!$E$42</definedName>
    <definedName name="IND_chemie_ele_kWh">data!$F$42</definedName>
    <definedName name="IND_chemie_gas_aantal">data!$C$42</definedName>
    <definedName name="IND_chemie_gas_kWh">data!$D$42</definedName>
    <definedName name="IND_ijzer_ele_aantal">data!$E$43</definedName>
    <definedName name="IND_ijzer_ele_kWh">data!$F$43</definedName>
    <definedName name="IND_ijzer_gas_aantal">data!$C$43</definedName>
    <definedName name="IND_ijzer_gas_kWh">data!$D$43</definedName>
    <definedName name="IND_metaal_ele_aantal">data!$E$44</definedName>
    <definedName name="IND_metaal_ele_kWh">data!$F$44</definedName>
    <definedName name="IND_metaal_gas_aantal">data!$C$44</definedName>
    <definedName name="IND_metaal_Gas_kWH">data!$D$44</definedName>
    <definedName name="IND_min_ele_aantal">data!$E$45</definedName>
    <definedName name="IND_min_ele_kWh">data!$F$45</definedName>
    <definedName name="IND_min_gas_aantal">data!$C$45</definedName>
    <definedName name="IND_min_gas_kWh">data!$D$45</definedName>
    <definedName name="IND_nonf_ele_aantal">data!$E$46</definedName>
    <definedName name="IND_nonf_ele_kWh">data!$F$46</definedName>
    <definedName name="IND_nonf_gas_aantal">data!$C$46</definedName>
    <definedName name="IND_nonf_gas_kWh">data!$D$46</definedName>
    <definedName name="IND_papier_ele_aantal">data!$E$47</definedName>
    <definedName name="IND_papier_ele_kWh">data!$F$47</definedName>
    <definedName name="IND_papier_gas_aantal">data!$C$47</definedName>
    <definedName name="IND_papier_gas_kWh">data!$D$47</definedName>
    <definedName name="IND_rest_ele_aantal">data!$E$48</definedName>
    <definedName name="IND_rest_ele_kWh">data!$F$48</definedName>
    <definedName name="IND_rest_gas_aantal">data!$C$48</definedName>
    <definedName name="IND_rest_gas_kWh">data!$D$48</definedName>
    <definedName name="IND_textiel_ele_aantal">data!$E$49</definedName>
    <definedName name="IND_textiel_ele_kWh">data!$F$49</definedName>
    <definedName name="IND_textiel_gas_aantal">data!$C$49</definedName>
    <definedName name="IND_textiel_gas_kWh">data!$D$49</definedName>
    <definedName name="IND_voed_ele_aantal">data!$E$50</definedName>
    <definedName name="IND_voed_ele_kWh">data!$F$50</definedName>
    <definedName name="IND_voed_gas_aantal">data!$C$50</definedName>
    <definedName name="IND_voed_gas_kWh">data!$D$50</definedName>
    <definedName name="jaar">data!$B$1</definedName>
    <definedName name="kWh_PV_groter_dan_10kW">data!$B$92</definedName>
    <definedName name="kWh_PV_kleiner_dan_10kW">data!$B$91</definedName>
    <definedName name="kWh_waterkracht">data!$B$89</definedName>
    <definedName name="kWh_wind_land">data!$B$90</definedName>
    <definedName name="LB_lb_ele_aantal">data!$E$51</definedName>
    <definedName name="LB_lb_ele_kWh">data!$F$51</definedName>
    <definedName name="LB_lb_gas_aantal">data!$C$51</definedName>
    <definedName name="LB_lb_gas_kWh">data!$D$51</definedName>
    <definedName name="LB_rest_ele_aantal">data!$E$52</definedName>
    <definedName name="LB_rest_ele_kWh">data!$F$52</definedName>
    <definedName name="LB_rest_gas_aantal">data!$C$52</definedName>
    <definedName name="LB_rest_gas_kWh">data!$D$52</definedName>
    <definedName name="NIS">data!$A$1</definedName>
    <definedName name="Onbekend_ele_aantal">data!$E$53</definedName>
    <definedName name="Onbekend_ele_kWh">data!$F$53</definedName>
    <definedName name="onbekend_gas_aantal">data!$C$53</definedName>
    <definedName name="onbekend_gas_kWh">data!$D$53</definedName>
    <definedName name="OV_ov_ele_aantal">data!$E$54</definedName>
    <definedName name="OV_ov_ele_kWh">data!$F$54</definedName>
    <definedName name="OV_rest_ele_aantal">data!$E$55</definedName>
    <definedName name="OV_rest_ele_kWh">data!$F$55</definedName>
    <definedName name="Resolution">1</definedName>
    <definedName name="REST_rest_aantal_gas">data!$C$56</definedName>
    <definedName name="REST_rest_ele_aantal">data!$E$56</definedName>
    <definedName name="REST_rest_ele_kWh">data!$F$56</definedName>
    <definedName name="REST_rest_gas_kWh">data!$D$56</definedName>
    <definedName name="selectie">data!$A$1</definedName>
    <definedName name="TER_ander_ele_aantal">data!$E$57</definedName>
    <definedName name="TER_ander_ele_kWh">data!$F$57</definedName>
    <definedName name="TER_ander_gas_aantal">data!$C$57</definedName>
    <definedName name="TER_ander_gas_kWh">data!$D$57</definedName>
    <definedName name="TER_gezond_ele_aantal">data!$E$58</definedName>
    <definedName name="TER_gezond_ele_kWh">data!$F$58</definedName>
    <definedName name="TER_gezond_gas_aantal">data!$C$58</definedName>
    <definedName name="TER_gezond_gas_kWh">data!$D$58</definedName>
    <definedName name="TER_handel_ele_aantal">data!$E$59</definedName>
    <definedName name="TER_handel_ele_kWh">data!$F$59</definedName>
    <definedName name="TER_handel_gas_aantal">data!$C$59</definedName>
    <definedName name="TER_handel_gas_kWh">data!$D$59</definedName>
    <definedName name="TER_horeca_ele_aantal">data!$E$60</definedName>
    <definedName name="TER_horeca_ele_kWh">data!$F$60</definedName>
    <definedName name="TER_horeca_gas_aantal">data!$C$60</definedName>
    <definedName name="TER_horeca_gas_kWh">data!$D$60</definedName>
    <definedName name="TER_kantoor_ele_aantal">data!$E$61</definedName>
    <definedName name="TER_kantoor_ele_kWh">data!$F$61</definedName>
    <definedName name="TER_Kantoor_gas_aantal">data!$C$61</definedName>
    <definedName name="TER_kantoor_gas_kWh">data!$D$61</definedName>
    <definedName name="TER_Onderw_gas_aantal">data!$C$62</definedName>
    <definedName name="TER_onderwijs_ele_aantal">data!$E$62</definedName>
    <definedName name="TER_onderwijs_ele_kWh">data!$F$62</definedName>
    <definedName name="TER_onderwijs_gas_kWh">data!$D$62</definedName>
    <definedName name="TER_rest_ele_aantal">data!$E$63</definedName>
    <definedName name="TER_rest_ele_kWh">data!$F$63</definedName>
    <definedName name="TER_rest_gas_aantal">data!$C$63</definedName>
    <definedName name="TER_rest_gas_kWh">data!$D$63</definedName>
    <definedName name="TR_lucht_gas_aantal">data!$C$64</definedName>
    <definedName name="TR_luchtvaart_ele_aantal">data!$E$64</definedName>
    <definedName name="TR_luchtvaart_ele_kWh">data!$F$64</definedName>
    <definedName name="TR_luchtvaart_Gas_kWh">data!$D$64</definedName>
    <definedName name="TR_pijp_ele_aantal">data!$E$67</definedName>
    <definedName name="TR_pijp_ele_kWh">data!$F$67</definedName>
    <definedName name="TR_pijp_gas_aantal">data!$C$67</definedName>
    <definedName name="TR_pijp_gas_kWh">data!$D$67</definedName>
    <definedName name="TR_rest_ele_aantal">data!$E$65</definedName>
    <definedName name="TR_rest_ele_kWh">data!$F$65</definedName>
    <definedName name="TR_rest_gas_aantal">data!$C$65</definedName>
    <definedName name="TR_rest_gas_kWh">data!$D$65</definedName>
    <definedName name="TR_water_ele_aantal">data!$E$66</definedName>
    <definedName name="TR_water_ele_kWh">data!$F$66</definedName>
    <definedName name="TR_water_gas_aantal">data!$C$66</definedName>
    <definedName name="TR_water_gas_kWh">data!$D$66</definedName>
    <definedName name="TR_weg_ele_aantal">data!$E$68</definedName>
    <definedName name="TR_weg_ele_kWh">data!$F$68</definedName>
    <definedName name="TR_weg_gas_aantal">data!$C$68</definedName>
    <definedName name="TR_weg_gas_kWh">data!$D$68</definedName>
    <definedName name="txtMunicipality">data!$A$5</definedName>
    <definedName name="txtNIS">data!$A$4</definedName>
    <definedName name="txtyear">data!$B$1</definedName>
    <definedName name="type">data!$A$3</definedName>
    <definedName name="vkm_bus">data!$B$83</definedName>
    <definedName name="vkm_GW_PW">data!$D$73</definedName>
    <definedName name="vkm_GW_ZV">data!$D$74</definedName>
    <definedName name="vkm_NGW_PW">data!$D$75</definedName>
    <definedName name="vkm_NGW_ZV">data!$D$76</definedName>
    <definedName name="vkm_SW_PW">data!$D$77</definedName>
    <definedName name="vkm_SW_ZV">data!$D$78</definedName>
    <definedName name="vkm_tram">data!$B$84</definedName>
    <definedName name="WP_HH_bestaande_bouw">data!$B$132</definedName>
    <definedName name="WP_NHH_bestaande_bouw">data!$B$131</definedName>
    <definedName name="ZB_HH_bestaande_bouw">data!$B$129</definedName>
    <definedName name="ZB_NHH_bestaande_bouw">data!$B$130</definedName>
  </definedNames>
  <calcPr calcId="162913" calcMode="manual"/>
</workbook>
</file>

<file path=xl/calcChain.xml><?xml version="1.0" encoding="utf-8"?>
<calcChain xmlns="http://schemas.openxmlformats.org/spreadsheetml/2006/main">
  <c r="B46" i="15" l="1"/>
  <c r="B38" i="15"/>
  <c r="AC24" i="5" l="1"/>
  <c r="AC23" i="5"/>
  <c r="AC22" i="5"/>
  <c r="AC21" i="5"/>
  <c r="AC20" i="5"/>
  <c r="AC19" i="5"/>
  <c r="AC18" i="5"/>
  <c r="AC17" i="5"/>
  <c r="AC16" i="5"/>
  <c r="Y15" i="5"/>
  <c r="AC15" i="5" s="1"/>
  <c r="E42" i="22" l="1"/>
  <c r="E78" i="22"/>
  <c r="E34" i="50"/>
  <c r="E32" i="50"/>
  <c r="E30" i="50"/>
  <c r="E28" i="50"/>
  <c r="P7" i="59" l="1"/>
  <c r="P6" i="59"/>
  <c r="P5" i="59"/>
  <c r="P4" i="59"/>
  <c r="L19" i="18" l="1"/>
  <c r="K19" i="18"/>
  <c r="N89" i="14" s="1"/>
  <c r="N19" i="59" s="1"/>
  <c r="J19" i="18"/>
  <c r="J89" i="14" s="1"/>
  <c r="J19" i="59" s="1"/>
  <c r="I19" i="18"/>
  <c r="I89" i="14" s="1"/>
  <c r="I19" i="59" s="1"/>
  <c r="H19" i="18"/>
  <c r="G19" i="18"/>
  <c r="H89" i="14" s="1"/>
  <c r="H19" i="59" s="1"/>
  <c r="F19" i="18"/>
  <c r="E19" i="18"/>
  <c r="F89" i="14" s="1"/>
  <c r="F19" i="59" s="1"/>
  <c r="D19" i="18"/>
  <c r="C19" i="18"/>
  <c r="B19" i="18"/>
  <c r="N18" i="18"/>
  <c r="L88" i="14" s="1"/>
  <c r="M18" i="18"/>
  <c r="L18" i="18"/>
  <c r="L20" i="18" s="1"/>
  <c r="K18" i="18"/>
  <c r="J18" i="18"/>
  <c r="J88" i="14" s="1"/>
  <c r="J18" i="59" s="1"/>
  <c r="I18" i="18"/>
  <c r="H18" i="18"/>
  <c r="G18" i="18"/>
  <c r="H88" i="14" s="1"/>
  <c r="F18" i="18"/>
  <c r="E18" i="18"/>
  <c r="D18" i="18"/>
  <c r="E88" i="14" s="1"/>
  <c r="E18" i="59" s="1"/>
  <c r="C18" i="18"/>
  <c r="D88" i="14" s="1"/>
  <c r="D18" i="59" s="1"/>
  <c r="B18" i="18"/>
  <c r="L9" i="18"/>
  <c r="K9" i="18"/>
  <c r="N77" i="14" s="1"/>
  <c r="G9" i="18"/>
  <c r="G10" i="18" s="1"/>
  <c r="F9" i="18"/>
  <c r="F10" i="18" s="1"/>
  <c r="D9" i="18"/>
  <c r="E77" i="14" s="1"/>
  <c r="E9" i="59" s="1"/>
  <c r="K22" i="18"/>
  <c r="J22" i="18"/>
  <c r="I22" i="18"/>
  <c r="H22" i="18"/>
  <c r="K12" i="18"/>
  <c r="J12" i="18"/>
  <c r="I12" i="18"/>
  <c r="H12" i="18"/>
  <c r="W39" i="18"/>
  <c r="V39" i="18"/>
  <c r="U39" i="18"/>
  <c r="T39" i="18"/>
  <c r="S39" i="18"/>
  <c r="R39" i="18"/>
  <c r="Q39" i="18"/>
  <c r="P39" i="18"/>
  <c r="D6" i="17" s="1"/>
  <c r="O39" i="18"/>
  <c r="N39" i="18"/>
  <c r="M39" i="18"/>
  <c r="W38" i="18"/>
  <c r="V38" i="18"/>
  <c r="U38" i="18"/>
  <c r="T38" i="18"/>
  <c r="S38" i="18"/>
  <c r="R38" i="18"/>
  <c r="Q38" i="18"/>
  <c r="P38" i="18"/>
  <c r="O38" i="18"/>
  <c r="N38" i="18"/>
  <c r="M38" i="18"/>
  <c r="W37" i="18"/>
  <c r="V37" i="18"/>
  <c r="U37" i="18"/>
  <c r="T37" i="18"/>
  <c r="S37" i="18"/>
  <c r="R37" i="18"/>
  <c r="Q37" i="18"/>
  <c r="P37" i="18"/>
  <c r="O37" i="18"/>
  <c r="N37" i="18"/>
  <c r="M37" i="18"/>
  <c r="W36" i="18"/>
  <c r="V36" i="18"/>
  <c r="U36" i="18"/>
  <c r="T36" i="18"/>
  <c r="I9" i="18" s="1"/>
  <c r="S36" i="18"/>
  <c r="E9" i="18" s="1"/>
  <c r="R36" i="18"/>
  <c r="Q36" i="18"/>
  <c r="P36" i="18"/>
  <c r="C9" i="18" s="1"/>
  <c r="O36" i="18"/>
  <c r="N36" i="18"/>
  <c r="B9" i="18" s="1"/>
  <c r="M36" i="18"/>
  <c r="W32" i="18"/>
  <c r="V32" i="18"/>
  <c r="U32" i="18"/>
  <c r="T32" i="18"/>
  <c r="S32" i="18"/>
  <c r="F6" i="17" s="1"/>
  <c r="R32" i="18"/>
  <c r="Q32" i="18"/>
  <c r="P32" i="18"/>
  <c r="O32" i="18"/>
  <c r="N32" i="18"/>
  <c r="M32" i="18"/>
  <c r="W31" i="18"/>
  <c r="V31" i="18"/>
  <c r="U31" i="18"/>
  <c r="T31" i="18"/>
  <c r="S31" i="18"/>
  <c r="R31" i="18"/>
  <c r="Q31" i="18"/>
  <c r="P31" i="18"/>
  <c r="D13" i="15" s="1"/>
  <c r="O31" i="18"/>
  <c r="C13" i="15" s="1"/>
  <c r="N31" i="18"/>
  <c r="M31" i="18"/>
  <c r="W30" i="18"/>
  <c r="V30" i="18"/>
  <c r="U30" i="18"/>
  <c r="T30" i="18"/>
  <c r="S30" i="18"/>
  <c r="R30" i="18"/>
  <c r="Q30" i="18"/>
  <c r="P30" i="18"/>
  <c r="O30" i="18"/>
  <c r="N30" i="18"/>
  <c r="M30" i="18"/>
  <c r="W29" i="18"/>
  <c r="V29" i="18"/>
  <c r="U29" i="18"/>
  <c r="T29" i="18"/>
  <c r="S29" i="18"/>
  <c r="R29" i="18"/>
  <c r="Q29" i="18"/>
  <c r="P29" i="18"/>
  <c r="O29" i="18"/>
  <c r="B17" i="18" s="1"/>
  <c r="N29" i="18"/>
  <c r="B8" i="18" s="1"/>
  <c r="M29" i="18"/>
  <c r="G22" i="18"/>
  <c r="F22" i="18"/>
  <c r="E22" i="18"/>
  <c r="D22" i="18"/>
  <c r="C22" i="18"/>
  <c r="D20" i="18"/>
  <c r="G12" i="18"/>
  <c r="F12" i="18"/>
  <c r="E12" i="18"/>
  <c r="D12" i="18"/>
  <c r="C12" i="18"/>
  <c r="L10" i="18"/>
  <c r="K10" i="18"/>
  <c r="B6" i="18"/>
  <c r="B74" i="14" s="1"/>
  <c r="B6" i="59" s="1"/>
  <c r="B5" i="18"/>
  <c r="B73" i="14" s="1"/>
  <c r="B5" i="59" s="1"/>
  <c r="B4" i="18"/>
  <c r="B72" i="14" s="1"/>
  <c r="B4" i="59" s="1"/>
  <c r="D5" i="17"/>
  <c r="B19" i="6"/>
  <c r="B18" i="6"/>
  <c r="B5" i="6"/>
  <c r="C29" i="14" s="1"/>
  <c r="B6" i="6"/>
  <c r="C64" i="14" s="1"/>
  <c r="D14" i="48"/>
  <c r="D32" i="48" s="1"/>
  <c r="B14" i="48"/>
  <c r="Q14" i="48" s="1"/>
  <c r="P7" i="48"/>
  <c r="O7" i="48"/>
  <c r="M7" i="48"/>
  <c r="K7" i="48"/>
  <c r="K25" i="48" s="1"/>
  <c r="I7" i="48"/>
  <c r="H7" i="48"/>
  <c r="G7" i="48"/>
  <c r="G25" i="48" s="1"/>
  <c r="P10" i="48"/>
  <c r="O10" i="48"/>
  <c r="N10" i="48"/>
  <c r="N28" i="48" s="1"/>
  <c r="L10" i="48"/>
  <c r="K10" i="48"/>
  <c r="J10" i="48"/>
  <c r="J28" i="48" s="1"/>
  <c r="I10" i="48"/>
  <c r="H10" i="48"/>
  <c r="F10" i="48"/>
  <c r="F28" i="48" s="1"/>
  <c r="E10" i="48"/>
  <c r="D10" i="48"/>
  <c r="C10" i="48"/>
  <c r="P9" i="48"/>
  <c r="O9" i="48"/>
  <c r="N9" i="48"/>
  <c r="L9" i="48"/>
  <c r="K9" i="48"/>
  <c r="J9" i="48"/>
  <c r="I9" i="48"/>
  <c r="I27" i="48" s="1"/>
  <c r="F9" i="48"/>
  <c r="C9" i="48"/>
  <c r="P13" i="48"/>
  <c r="O13" i="48"/>
  <c r="N13" i="48"/>
  <c r="L13" i="48"/>
  <c r="L31" i="48" s="1"/>
  <c r="K13" i="48"/>
  <c r="J13" i="48"/>
  <c r="I13" i="48"/>
  <c r="F13" i="48"/>
  <c r="E13" i="48"/>
  <c r="D13" i="48"/>
  <c r="C13" i="48"/>
  <c r="B13" i="48"/>
  <c r="M8" i="48"/>
  <c r="K8" i="48"/>
  <c r="K26" i="48" s="1"/>
  <c r="I8" i="48"/>
  <c r="H8" i="48"/>
  <c r="G8" i="48"/>
  <c r="G26" i="48" s="1"/>
  <c r="B12" i="48"/>
  <c r="P17" i="48"/>
  <c r="O17" i="48"/>
  <c r="O32" i="48" s="1"/>
  <c r="N17" i="48"/>
  <c r="M17" i="48"/>
  <c r="L17" i="48"/>
  <c r="K17" i="48"/>
  <c r="K28" i="48" s="1"/>
  <c r="J17" i="48"/>
  <c r="I17" i="48"/>
  <c r="H17" i="48"/>
  <c r="G17" i="48"/>
  <c r="F17" i="48"/>
  <c r="E17" i="48"/>
  <c r="D17" i="48"/>
  <c r="M4" i="48"/>
  <c r="L4" i="48"/>
  <c r="K4" i="48"/>
  <c r="I4" i="48"/>
  <c r="H4" i="48"/>
  <c r="G4" i="48"/>
  <c r="C4" i="48"/>
  <c r="M5" i="48"/>
  <c r="K5" i="48"/>
  <c r="I5" i="48"/>
  <c r="H5" i="48"/>
  <c r="G5" i="48"/>
  <c r="P11" i="48"/>
  <c r="O11" i="48"/>
  <c r="N11" i="48"/>
  <c r="M11" i="48"/>
  <c r="M29" i="48" s="1"/>
  <c r="L11" i="48"/>
  <c r="K11" i="48"/>
  <c r="J11" i="48"/>
  <c r="I11" i="48"/>
  <c r="I29" i="48" s="1"/>
  <c r="H11" i="48"/>
  <c r="G11" i="48"/>
  <c r="F11" i="48"/>
  <c r="E11" i="48"/>
  <c r="E29" i="48" s="1"/>
  <c r="D11" i="48"/>
  <c r="C11" i="48"/>
  <c r="B11" i="48"/>
  <c r="N32" i="48"/>
  <c r="J32" i="48"/>
  <c r="F32" i="48"/>
  <c r="N31" i="48"/>
  <c r="J31" i="48"/>
  <c r="F31" i="48"/>
  <c r="N30" i="48"/>
  <c r="J30" i="48"/>
  <c r="F30" i="48"/>
  <c r="N24" i="48"/>
  <c r="J24" i="48"/>
  <c r="F24" i="48"/>
  <c r="P32" i="48"/>
  <c r="M32" i="48"/>
  <c r="L32" i="48"/>
  <c r="K32" i="48"/>
  <c r="I32" i="48"/>
  <c r="H32" i="48"/>
  <c r="E32" i="48"/>
  <c r="D30" i="48"/>
  <c r="O31" i="48"/>
  <c r="I31" i="48"/>
  <c r="E31" i="48"/>
  <c r="D31" i="48"/>
  <c r="P29" i="48"/>
  <c r="N29" i="48"/>
  <c r="L29" i="48"/>
  <c r="J29" i="48"/>
  <c r="H29" i="48"/>
  <c r="F29" i="48"/>
  <c r="D29" i="48"/>
  <c r="P28" i="48"/>
  <c r="L28" i="48"/>
  <c r="I28" i="48"/>
  <c r="H28" i="48"/>
  <c r="E28" i="48"/>
  <c r="D28" i="48"/>
  <c r="P27" i="48"/>
  <c r="N27" i="48"/>
  <c r="L27" i="48"/>
  <c r="J27" i="48"/>
  <c r="F27" i="48"/>
  <c r="M26" i="48"/>
  <c r="I26" i="48"/>
  <c r="H26" i="48"/>
  <c r="P25" i="48"/>
  <c r="M25" i="48"/>
  <c r="I25" i="48"/>
  <c r="H25" i="48"/>
  <c r="M23" i="48"/>
  <c r="K23" i="48"/>
  <c r="I23" i="48"/>
  <c r="H23" i="48"/>
  <c r="M22" i="48"/>
  <c r="K15" i="48"/>
  <c r="I22" i="48"/>
  <c r="O89" i="14"/>
  <c r="O19" i="59" s="1"/>
  <c r="M89" i="14"/>
  <c r="M19" i="59" s="1"/>
  <c r="L89" i="14"/>
  <c r="L19" i="59" s="1"/>
  <c r="K89" i="14"/>
  <c r="K19" i="59" s="1"/>
  <c r="E89" i="14"/>
  <c r="E19" i="59" s="1"/>
  <c r="D89" i="14"/>
  <c r="D19" i="59" s="1"/>
  <c r="M88" i="14"/>
  <c r="M18" i="59" s="1"/>
  <c r="K88" i="14"/>
  <c r="K18" i="59" s="1"/>
  <c r="I88" i="14"/>
  <c r="I18" i="59" s="1"/>
  <c r="F88" i="14"/>
  <c r="F18" i="59" s="1"/>
  <c r="O87" i="14"/>
  <c r="O17" i="59" s="1"/>
  <c r="N87" i="14"/>
  <c r="N17" i="59" s="1"/>
  <c r="L87" i="14"/>
  <c r="L17" i="59" s="1"/>
  <c r="K87" i="14"/>
  <c r="K17" i="59" s="1"/>
  <c r="H87" i="14"/>
  <c r="H17" i="59" s="1"/>
  <c r="G87" i="14"/>
  <c r="G17" i="59" s="1"/>
  <c r="E87" i="14"/>
  <c r="E17" i="59" s="1"/>
  <c r="O77" i="14"/>
  <c r="O9" i="59" s="1"/>
  <c r="L77" i="14"/>
  <c r="L9" i="59" s="1"/>
  <c r="K77" i="14"/>
  <c r="K9" i="59" s="1"/>
  <c r="O76" i="14"/>
  <c r="O8" i="59" s="1"/>
  <c r="N76" i="14"/>
  <c r="N8" i="59" s="1"/>
  <c r="L76" i="14"/>
  <c r="L8" i="59" s="1"/>
  <c r="K76" i="14"/>
  <c r="K8" i="59" s="1"/>
  <c r="K10" i="59" s="1"/>
  <c r="H76" i="14"/>
  <c r="H8" i="59" s="1"/>
  <c r="G76" i="14"/>
  <c r="G8" i="59" s="1"/>
  <c r="E76" i="14"/>
  <c r="E8" i="59" s="1"/>
  <c r="B75" i="14"/>
  <c r="B7" i="59" s="1"/>
  <c r="Q54" i="14"/>
  <c r="P54" i="14"/>
  <c r="N54" i="14"/>
  <c r="L54" i="14"/>
  <c r="L56" i="14" s="1"/>
  <c r="J54" i="14"/>
  <c r="I54" i="14"/>
  <c r="H54" i="14"/>
  <c r="H56" i="14" s="1"/>
  <c r="Q24" i="14"/>
  <c r="P24" i="14"/>
  <c r="N24" i="14"/>
  <c r="L24" i="14"/>
  <c r="J24" i="14"/>
  <c r="I24" i="14"/>
  <c r="H24" i="14"/>
  <c r="Q50" i="14"/>
  <c r="P50" i="14"/>
  <c r="O50" i="14"/>
  <c r="M50" i="14"/>
  <c r="L50" i="14"/>
  <c r="K50" i="14"/>
  <c r="J50" i="14"/>
  <c r="G50" i="14"/>
  <c r="D50" i="14"/>
  <c r="Q49" i="14"/>
  <c r="P49" i="14"/>
  <c r="O49" i="14"/>
  <c r="M49" i="14"/>
  <c r="L49" i="14"/>
  <c r="K49" i="14"/>
  <c r="J49" i="14"/>
  <c r="I49" i="14"/>
  <c r="G49" i="14"/>
  <c r="F49" i="14"/>
  <c r="E49" i="14"/>
  <c r="Q20" i="14"/>
  <c r="P20" i="14"/>
  <c r="P22" i="14" s="1"/>
  <c r="O20" i="14"/>
  <c r="M20" i="14"/>
  <c r="L20" i="14"/>
  <c r="L22" i="14" s="1"/>
  <c r="K20" i="14"/>
  <c r="J20" i="14"/>
  <c r="G20" i="14"/>
  <c r="D20" i="14"/>
  <c r="D22" i="14" s="1"/>
  <c r="Q19" i="14"/>
  <c r="P19" i="14"/>
  <c r="O19" i="14"/>
  <c r="M19" i="14"/>
  <c r="L19" i="14"/>
  <c r="K19" i="14"/>
  <c r="J19" i="14"/>
  <c r="I19" i="14"/>
  <c r="G19" i="14"/>
  <c r="F19" i="14"/>
  <c r="E19" i="14"/>
  <c r="D19" i="14"/>
  <c r="Q48" i="14"/>
  <c r="P48" i="14"/>
  <c r="O48" i="14"/>
  <c r="M48" i="14"/>
  <c r="L48" i="14"/>
  <c r="K48" i="14"/>
  <c r="J48" i="14"/>
  <c r="J52" i="14" s="1"/>
  <c r="G48" i="14"/>
  <c r="F48" i="14"/>
  <c r="E48" i="14"/>
  <c r="D48" i="14"/>
  <c r="Q18" i="14"/>
  <c r="Q22" i="14" s="1"/>
  <c r="P18" i="14"/>
  <c r="O18" i="14"/>
  <c r="M18" i="14"/>
  <c r="M22" i="14" s="1"/>
  <c r="L18" i="14"/>
  <c r="K18" i="14"/>
  <c r="J18" i="14"/>
  <c r="G18" i="14"/>
  <c r="F18" i="14"/>
  <c r="E18" i="14"/>
  <c r="D18" i="14"/>
  <c r="C18" i="14"/>
  <c r="N43" i="14"/>
  <c r="L43" i="14"/>
  <c r="J43" i="14"/>
  <c r="I43" i="14"/>
  <c r="H43" i="14"/>
  <c r="N13" i="14"/>
  <c r="L13" i="14"/>
  <c r="J13" i="14"/>
  <c r="I13" i="14"/>
  <c r="H13" i="14"/>
  <c r="C12" i="14"/>
  <c r="N41" i="14"/>
  <c r="M41" i="14"/>
  <c r="L41" i="14"/>
  <c r="J41" i="14"/>
  <c r="I41" i="14"/>
  <c r="H41" i="14"/>
  <c r="N11" i="14"/>
  <c r="M11" i="14"/>
  <c r="L11" i="14"/>
  <c r="J11" i="14"/>
  <c r="I11" i="14"/>
  <c r="H11" i="14"/>
  <c r="D11" i="14"/>
  <c r="N40" i="14"/>
  <c r="L40" i="14"/>
  <c r="J40" i="14"/>
  <c r="J46" i="14" s="1"/>
  <c r="I40" i="14"/>
  <c r="H40" i="14"/>
  <c r="N10" i="14"/>
  <c r="L10" i="14"/>
  <c r="J10" i="14"/>
  <c r="I10" i="14"/>
  <c r="I16" i="14" s="1"/>
  <c r="H10" i="14"/>
  <c r="Q39" i="14"/>
  <c r="P39" i="14"/>
  <c r="O39" i="14"/>
  <c r="N39" i="14"/>
  <c r="M39" i="14"/>
  <c r="L39" i="14"/>
  <c r="L46" i="14" s="1"/>
  <c r="L61" i="14" s="1"/>
  <c r="K39" i="14"/>
  <c r="J39" i="14"/>
  <c r="I39" i="14"/>
  <c r="H39" i="14"/>
  <c r="H46" i="14" s="1"/>
  <c r="G39" i="14"/>
  <c r="F39" i="14"/>
  <c r="E39" i="14"/>
  <c r="Q9" i="14"/>
  <c r="P9" i="14"/>
  <c r="O9" i="14"/>
  <c r="N9" i="14"/>
  <c r="M9" i="14"/>
  <c r="L9" i="14"/>
  <c r="K9" i="14"/>
  <c r="J9" i="14"/>
  <c r="I9" i="14"/>
  <c r="H9" i="14"/>
  <c r="G9" i="14"/>
  <c r="F9" i="14"/>
  <c r="E9" i="14"/>
  <c r="D9" i="14"/>
  <c r="C9" i="14"/>
  <c r="R90" i="14"/>
  <c r="R78" i="14"/>
  <c r="P56" i="14"/>
  <c r="Q56" i="14"/>
  <c r="N56" i="14"/>
  <c r="J56" i="14"/>
  <c r="I56" i="14"/>
  <c r="Q52" i="14"/>
  <c r="P52" i="14"/>
  <c r="O52" i="14"/>
  <c r="M52" i="14"/>
  <c r="L52" i="14"/>
  <c r="K52" i="14"/>
  <c r="G52" i="14"/>
  <c r="R44" i="14"/>
  <c r="N46" i="14"/>
  <c r="I46" i="14"/>
  <c r="E25" i="14"/>
  <c r="E55" i="14" s="1"/>
  <c r="C25" i="14"/>
  <c r="Q26" i="14"/>
  <c r="P26" i="14"/>
  <c r="N26" i="14"/>
  <c r="L26" i="14"/>
  <c r="J26" i="14"/>
  <c r="I26" i="14"/>
  <c r="H26" i="14"/>
  <c r="O22" i="14"/>
  <c r="K22" i="14"/>
  <c r="J22" i="14"/>
  <c r="G22" i="14"/>
  <c r="L16" i="14"/>
  <c r="H16" i="14"/>
  <c r="R12" i="14"/>
  <c r="N16" i="14"/>
  <c r="J16" i="14"/>
  <c r="L6" i="17" l="1"/>
  <c r="F20" i="18"/>
  <c r="F13" i="15"/>
  <c r="N6" i="17"/>
  <c r="E10" i="59"/>
  <c r="B45" i="18"/>
  <c r="C49" i="18" s="1"/>
  <c r="C6" i="17"/>
  <c r="J9" i="18"/>
  <c r="J77" i="14" s="1"/>
  <c r="J9" i="59" s="1"/>
  <c r="K20" i="18"/>
  <c r="L10" i="59"/>
  <c r="B16" i="16"/>
  <c r="C45" i="18"/>
  <c r="E48" i="18" s="1"/>
  <c r="E8" i="18" s="1"/>
  <c r="C16" i="16"/>
  <c r="H9" i="18"/>
  <c r="M77" i="14" s="1"/>
  <c r="M9" i="59" s="1"/>
  <c r="I77" i="14"/>
  <c r="I9" i="59" s="1"/>
  <c r="G77" i="14"/>
  <c r="G9" i="59" s="1"/>
  <c r="G10" i="59" s="1"/>
  <c r="L78" i="14"/>
  <c r="L90" i="14"/>
  <c r="L18" i="59"/>
  <c r="L20" i="59" s="1"/>
  <c r="E20" i="59"/>
  <c r="H90" i="14"/>
  <c r="H18" i="59"/>
  <c r="H20" i="59" s="1"/>
  <c r="G88" i="14"/>
  <c r="G18" i="59" s="1"/>
  <c r="K20" i="59"/>
  <c r="K78" i="14"/>
  <c r="O10" i="59"/>
  <c r="N78" i="14"/>
  <c r="N9" i="59"/>
  <c r="N10" i="59" s="1"/>
  <c r="B20" i="18"/>
  <c r="B13" i="15"/>
  <c r="B10" i="18"/>
  <c r="N13" i="15"/>
  <c r="L13" i="15"/>
  <c r="F77" i="14"/>
  <c r="F9" i="59" s="1"/>
  <c r="O19" i="18"/>
  <c r="O78" i="14"/>
  <c r="N88" i="14"/>
  <c r="D10" i="18"/>
  <c r="E78" i="14"/>
  <c r="D77" i="14"/>
  <c r="D9" i="59" s="1"/>
  <c r="H77" i="14"/>
  <c r="O88" i="14"/>
  <c r="G89" i="14"/>
  <c r="G19" i="59" s="1"/>
  <c r="G20" i="18"/>
  <c r="O18" i="18"/>
  <c r="G23" i="48"/>
  <c r="O25" i="48"/>
  <c r="K27" i="48"/>
  <c r="O27" i="48"/>
  <c r="Q11" i="48"/>
  <c r="G29" i="48"/>
  <c r="K29" i="48"/>
  <c r="O29" i="48"/>
  <c r="K31" i="48"/>
  <c r="P31" i="48"/>
  <c r="I15" i="48"/>
  <c r="G32" i="48"/>
  <c r="O28" i="48"/>
  <c r="Q12" i="48"/>
  <c r="G22" i="48"/>
  <c r="K22" i="48"/>
  <c r="G24" i="48"/>
  <c r="K24" i="48"/>
  <c r="O24" i="48"/>
  <c r="G30" i="48"/>
  <c r="K30" i="48"/>
  <c r="O30" i="48"/>
  <c r="H22" i="48"/>
  <c r="L22" i="48"/>
  <c r="D24" i="48"/>
  <c r="H24" i="48"/>
  <c r="L24" i="48"/>
  <c r="P24" i="48"/>
  <c r="H30" i="48"/>
  <c r="L30" i="48"/>
  <c r="P30" i="48"/>
  <c r="E24" i="48"/>
  <c r="I24" i="48"/>
  <c r="I33" i="48" s="1"/>
  <c r="M24" i="48"/>
  <c r="E30" i="48"/>
  <c r="I30" i="48"/>
  <c r="M30" i="48"/>
  <c r="J61" i="14"/>
  <c r="J63" i="14" s="1"/>
  <c r="E90" i="14"/>
  <c r="J27" i="14"/>
  <c r="L27" i="14"/>
  <c r="L63" i="14" s="1"/>
  <c r="R9" i="14"/>
  <c r="R25" i="14"/>
  <c r="K90" i="14"/>
  <c r="I49" i="18" l="1"/>
  <c r="H17" i="18" s="1"/>
  <c r="D49" i="18"/>
  <c r="H49" i="18"/>
  <c r="E49" i="18"/>
  <c r="E17" i="18" s="1"/>
  <c r="E20" i="18" s="1"/>
  <c r="G78" i="14"/>
  <c r="B48" i="18"/>
  <c r="C8" i="18" s="1"/>
  <c r="D76" i="14" s="1"/>
  <c r="D8" i="59" s="1"/>
  <c r="D10" i="59" s="1"/>
  <c r="H48" i="18"/>
  <c r="F48" i="18"/>
  <c r="C48" i="18"/>
  <c r="I48" i="18"/>
  <c r="H8" i="18" s="1"/>
  <c r="M76" i="14" s="1"/>
  <c r="D48" i="18"/>
  <c r="B49" i="18"/>
  <c r="C17" i="18" s="1"/>
  <c r="D87" i="14" s="1"/>
  <c r="D17" i="59" s="1"/>
  <c r="D20" i="59" s="1"/>
  <c r="F49" i="18"/>
  <c r="O9" i="18"/>
  <c r="G49" i="18"/>
  <c r="J17" i="18"/>
  <c r="J87" i="14" s="1"/>
  <c r="G48" i="18"/>
  <c r="G20" i="59"/>
  <c r="Q77" i="14"/>
  <c r="P9" i="59" s="1"/>
  <c r="O90" i="14"/>
  <c r="O18" i="59"/>
  <c r="O20" i="59" s="1"/>
  <c r="B89" i="14"/>
  <c r="B19" i="59" s="1"/>
  <c r="G90" i="14"/>
  <c r="C89" i="14"/>
  <c r="C19" i="59" s="1"/>
  <c r="Q89" i="14"/>
  <c r="P19" i="59" s="1"/>
  <c r="H78" i="14"/>
  <c r="H9" i="59"/>
  <c r="H10" i="59" s="1"/>
  <c r="N90" i="14"/>
  <c r="N18" i="59"/>
  <c r="N20" i="59" s="1"/>
  <c r="C77" i="14"/>
  <c r="C9" i="59" s="1"/>
  <c r="H20" i="18"/>
  <c r="M87" i="14"/>
  <c r="F76" i="14"/>
  <c r="E10" i="18"/>
  <c r="B88" i="14"/>
  <c r="B18" i="59" s="1"/>
  <c r="C88" i="14"/>
  <c r="C18" i="59" s="1"/>
  <c r="B77" i="14"/>
  <c r="B9" i="59" s="1"/>
  <c r="Q88" i="14"/>
  <c r="P18" i="59" s="1"/>
  <c r="K33" i="48"/>
  <c r="H14" i="15"/>
  <c r="H16" i="15" s="1"/>
  <c r="G14" i="15"/>
  <c r="G16" i="15" s="1"/>
  <c r="F87" i="14" l="1"/>
  <c r="F90" i="14" s="1"/>
  <c r="C10" i="18"/>
  <c r="I8" i="18"/>
  <c r="I10" i="18" s="1"/>
  <c r="H10" i="18"/>
  <c r="I17" i="18"/>
  <c r="I87" i="14" s="1"/>
  <c r="J8" i="18"/>
  <c r="C20" i="18"/>
  <c r="J20" i="18"/>
  <c r="M78" i="14"/>
  <c r="M8" i="59"/>
  <c r="M10" i="59" s="1"/>
  <c r="F17" i="59"/>
  <c r="F20" i="59" s="1"/>
  <c r="F78" i="14"/>
  <c r="F8" i="59"/>
  <c r="F10" i="59" s="1"/>
  <c r="J90" i="14"/>
  <c r="J17" i="59"/>
  <c r="J20" i="59" s="1"/>
  <c r="M90" i="14"/>
  <c r="M17" i="59"/>
  <c r="M20" i="59" s="1"/>
  <c r="Q76" i="14"/>
  <c r="D78" i="14"/>
  <c r="Q87" i="14"/>
  <c r="D90" i="14"/>
  <c r="A31" i="23"/>
  <c r="A32" i="23"/>
  <c r="A33" i="23"/>
  <c r="O17" i="18" l="1"/>
  <c r="O20" i="18" s="1"/>
  <c r="I76" i="14"/>
  <c r="I8" i="59" s="1"/>
  <c r="I10" i="59" s="1"/>
  <c r="O8" i="18"/>
  <c r="O10" i="18" s="1"/>
  <c r="I20" i="18"/>
  <c r="I17" i="59"/>
  <c r="I20" i="59" s="1"/>
  <c r="C87" i="14"/>
  <c r="C17" i="59" s="1"/>
  <c r="C20" i="59" s="1"/>
  <c r="J10" i="18"/>
  <c r="J76" i="14"/>
  <c r="J8" i="59" s="1"/>
  <c r="J10" i="59" s="1"/>
  <c r="Q90" i="14"/>
  <c r="B17" i="6" s="1"/>
  <c r="P17" i="59"/>
  <c r="P20" i="59" s="1"/>
  <c r="Q78" i="14"/>
  <c r="B9" i="6" s="1"/>
  <c r="P8" i="59"/>
  <c r="P10" i="59" s="1"/>
  <c r="B87" i="14"/>
  <c r="I90" i="14"/>
  <c r="B10" i="44"/>
  <c r="B25" i="44"/>
  <c r="B24" i="44"/>
  <c r="I78" i="14" l="1"/>
  <c r="C90" i="14"/>
  <c r="J78" i="14"/>
  <c r="B76" i="14"/>
  <c r="B78" i="14" s="1"/>
  <c r="C76" i="14"/>
  <c r="C78" i="14" s="1"/>
  <c r="B90" i="14"/>
  <c r="B17" i="59"/>
  <c r="B20" i="59" s="1"/>
  <c r="A6" i="23"/>
  <c r="A5" i="23"/>
  <c r="B8" i="59" l="1"/>
  <c r="B10" i="59" s="1"/>
  <c r="B4" i="6"/>
  <c r="C8" i="59"/>
  <c r="C10" i="59" s="1"/>
  <c r="A2" i="23"/>
  <c r="A3" i="23" l="1"/>
  <c r="A4" i="23"/>
  <c r="A7" i="23"/>
  <c r="A8" i="23"/>
  <c r="A9" i="23"/>
  <c r="A10" i="23"/>
  <c r="A11" i="23"/>
  <c r="A12" i="23"/>
  <c r="A13" i="23"/>
  <c r="A14" i="23"/>
  <c r="A15" i="23"/>
  <c r="A16" i="23"/>
  <c r="A17" i="23"/>
  <c r="A18" i="23"/>
  <c r="A19" i="23"/>
  <c r="A20" i="23"/>
  <c r="A21" i="23"/>
  <c r="A22" i="23"/>
  <c r="A23" i="23"/>
  <c r="A24" i="23"/>
  <c r="A25" i="23"/>
  <c r="A26" i="23"/>
  <c r="A27" i="23"/>
  <c r="A28" i="23"/>
  <c r="A29" i="23"/>
  <c r="A30" i="23"/>
  <c r="E7" i="22" l="1"/>
  <c r="E11" i="22"/>
  <c r="D9" i="22"/>
  <c r="E9" i="22"/>
  <c r="E8" i="22"/>
  <c r="E10" i="22"/>
  <c r="B11" i="22"/>
  <c r="B10" i="22"/>
  <c r="B9" i="22"/>
  <c r="E6" i="22"/>
  <c r="B7" i="22"/>
  <c r="B6" i="22"/>
  <c r="D11" i="22"/>
  <c r="D10" i="22"/>
  <c r="B8" i="22"/>
  <c r="D8" i="22"/>
  <c r="D7" i="22"/>
  <c r="D6" i="22"/>
  <c r="B52" i="22"/>
  <c r="AC25" i="5"/>
  <c r="AB25" i="5"/>
  <c r="AA25" i="5"/>
  <c r="Z25" i="5"/>
  <c r="Y25" i="5"/>
  <c r="X25" i="5"/>
  <c r="W25" i="5"/>
  <c r="V25" i="5"/>
  <c r="U25" i="5"/>
  <c r="T25" i="5"/>
  <c r="S25" i="5"/>
  <c r="R25" i="5"/>
  <c r="Q25" i="5"/>
  <c r="P25" i="5"/>
  <c r="O25" i="5"/>
  <c r="N25" i="5"/>
  <c r="M25" i="5"/>
  <c r="L25" i="5"/>
  <c r="K25" i="5"/>
  <c r="J25" i="5"/>
  <c r="I25" i="5"/>
  <c r="H25" i="5"/>
  <c r="G25" i="5"/>
  <c r="F25" i="5"/>
  <c r="E25" i="5"/>
  <c r="D25" i="5"/>
  <c r="C25" i="5"/>
  <c r="B4" i="21" l="1"/>
  <c r="H9" i="22" l="1"/>
  <c r="H10" i="22"/>
  <c r="H8" i="22"/>
  <c r="H6" i="22"/>
  <c r="H11" i="22"/>
  <c r="H7" i="22"/>
  <c r="M15" i="19"/>
  <c r="M14" i="15" s="1"/>
  <c r="M16" i="15" s="1"/>
  <c r="O15" i="19"/>
  <c r="P15" i="19"/>
  <c r="E35" i="50" l="1"/>
  <c r="E33" i="50"/>
  <c r="E31" i="50"/>
  <c r="E29" i="50"/>
  <c r="N24" i="22" l="1"/>
  <c r="N25" i="22" l="1"/>
  <c r="B28" i="17" l="1"/>
  <c r="B27" i="17"/>
  <c r="B26" i="17"/>
  <c r="B31" i="19" l="1"/>
  <c r="B24" i="19"/>
  <c r="B69" i="13" l="1"/>
  <c r="B35" i="19" l="1"/>
  <c r="B26" i="19"/>
  <c r="B27" i="19" s="1"/>
  <c r="B6" i="13" l="1"/>
  <c r="B17" i="17" l="1"/>
  <c r="B34" i="17" l="1"/>
  <c r="B18" i="13" l="1"/>
  <c r="B19" i="13"/>
  <c r="B20" i="13"/>
  <c r="B21" i="13"/>
  <c r="B6" i="16" l="1"/>
  <c r="L5" i="17" l="1"/>
  <c r="D8" i="17"/>
  <c r="L16" i="16"/>
  <c r="L18" i="16" s="1"/>
  <c r="F16" i="16"/>
  <c r="N16" i="16"/>
  <c r="D16" i="16"/>
  <c r="A78" i="22"/>
  <c r="A77" i="22"/>
  <c r="A76" i="22"/>
  <c r="A75" i="22"/>
  <c r="A74" i="22"/>
  <c r="B64" i="22"/>
  <c r="N56" i="22"/>
  <c r="M56" i="22"/>
  <c r="L56" i="22"/>
  <c r="K56" i="22"/>
  <c r="J56" i="22"/>
  <c r="I56" i="22"/>
  <c r="H56" i="22"/>
  <c r="G56" i="22"/>
  <c r="F56" i="22"/>
  <c r="E56" i="22"/>
  <c r="D56" i="22"/>
  <c r="B50" i="22"/>
  <c r="B54" i="22" s="1"/>
  <c r="P50" i="22"/>
  <c r="P54" i="22" s="1"/>
  <c r="O50" i="22"/>
  <c r="O54" i="22" s="1"/>
  <c r="N50" i="22"/>
  <c r="N54" i="22" s="1"/>
  <c r="L50" i="22"/>
  <c r="L54" i="22" s="1"/>
  <c r="K50" i="22"/>
  <c r="K54" i="22" s="1"/>
  <c r="J50" i="22"/>
  <c r="J54" i="22" s="1"/>
  <c r="I50" i="22"/>
  <c r="I54" i="22" s="1"/>
  <c r="H50" i="22"/>
  <c r="H54" i="22" s="1"/>
  <c r="F50" i="22"/>
  <c r="F54" i="22" s="1"/>
  <c r="E50" i="22"/>
  <c r="E54" i="22" s="1"/>
  <c r="D50" i="22"/>
  <c r="D54" i="22" s="1"/>
  <c r="C50" i="22"/>
  <c r="C54" i="22" s="1"/>
  <c r="N16" i="22"/>
  <c r="M16" i="22"/>
  <c r="L16" i="22"/>
  <c r="K16" i="22"/>
  <c r="J16" i="22"/>
  <c r="I16" i="22"/>
  <c r="H16" i="22"/>
  <c r="G16" i="22"/>
  <c r="F16" i="22"/>
  <c r="E16" i="22"/>
  <c r="D16" i="22"/>
  <c r="B29" i="17"/>
  <c r="C29" i="17" s="1"/>
  <c r="C28" i="17"/>
  <c r="C27" i="17"/>
  <c r="C26" i="17"/>
  <c r="J5" i="17"/>
  <c r="N10" i="17"/>
  <c r="M10" i="17"/>
  <c r="M12" i="17" s="1"/>
  <c r="L10" i="17"/>
  <c r="K10" i="17"/>
  <c r="J10" i="17"/>
  <c r="I10" i="17"/>
  <c r="H10" i="17"/>
  <c r="G10" i="17"/>
  <c r="F10" i="17"/>
  <c r="E10" i="17"/>
  <c r="D10" i="17"/>
  <c r="F5" i="17"/>
  <c r="F8" i="17" s="1"/>
  <c r="C5" i="17"/>
  <c r="B5" i="17"/>
  <c r="B8" i="17" s="1"/>
  <c r="B51" i="16"/>
  <c r="P5" i="16" s="1"/>
  <c r="B45" i="16"/>
  <c r="B43" i="16"/>
  <c r="B37" i="16"/>
  <c r="C37" i="16" s="1"/>
  <c r="F15" i="16" s="1"/>
  <c r="B36" i="16"/>
  <c r="C36" i="16" s="1"/>
  <c r="J14" i="16" s="1"/>
  <c r="B35" i="16"/>
  <c r="B34" i="16"/>
  <c r="B12" i="16" s="1"/>
  <c r="B33" i="16"/>
  <c r="C33" i="16" s="1"/>
  <c r="F11" i="16" s="1"/>
  <c r="B32" i="16"/>
  <c r="C32" i="16" s="1"/>
  <c r="J10" i="16" s="1"/>
  <c r="B31" i="16"/>
  <c r="C31" i="16" s="1"/>
  <c r="F9" i="16" s="1"/>
  <c r="B30" i="16"/>
  <c r="C30" i="16" s="1"/>
  <c r="N8" i="16" s="1"/>
  <c r="B29" i="16"/>
  <c r="C29" i="16" s="1"/>
  <c r="N20" i="16"/>
  <c r="M20" i="16"/>
  <c r="M22" i="16" s="1"/>
  <c r="L20" i="16"/>
  <c r="K20" i="16"/>
  <c r="J20" i="16"/>
  <c r="I20" i="16"/>
  <c r="H20" i="16"/>
  <c r="G20" i="16"/>
  <c r="F20" i="16"/>
  <c r="E20" i="16"/>
  <c r="D20" i="16"/>
  <c r="D15" i="16"/>
  <c r="D14" i="16"/>
  <c r="D13" i="16"/>
  <c r="D12" i="16"/>
  <c r="D11" i="16"/>
  <c r="D10" i="16"/>
  <c r="D9" i="16"/>
  <c r="D8" i="16"/>
  <c r="D7" i="16"/>
  <c r="D6" i="16"/>
  <c r="C5" i="16"/>
  <c r="B40" i="15"/>
  <c r="B32" i="15"/>
  <c r="C32" i="15" s="1"/>
  <c r="N12" i="15" s="1"/>
  <c r="B31" i="15"/>
  <c r="C31" i="15" s="1"/>
  <c r="E11" i="15" s="1"/>
  <c r="B30" i="15"/>
  <c r="C30" i="15" s="1"/>
  <c r="E10" i="15" s="1"/>
  <c r="B29" i="15"/>
  <c r="C29" i="15" s="1"/>
  <c r="J9" i="15" s="1"/>
  <c r="B28" i="15"/>
  <c r="C28" i="15" s="1"/>
  <c r="N8" i="15" s="1"/>
  <c r="B27" i="15"/>
  <c r="C27" i="15" s="1"/>
  <c r="F7" i="15" s="1"/>
  <c r="B26" i="15"/>
  <c r="C26" i="15" s="1"/>
  <c r="E6" i="15" s="1"/>
  <c r="N18" i="15"/>
  <c r="M18" i="15"/>
  <c r="L18" i="15"/>
  <c r="K18" i="15"/>
  <c r="J18" i="15"/>
  <c r="I18" i="15"/>
  <c r="H18" i="15"/>
  <c r="G18" i="15"/>
  <c r="F18" i="15"/>
  <c r="E18" i="15"/>
  <c r="D18" i="15"/>
  <c r="D12" i="15"/>
  <c r="D11" i="15"/>
  <c r="D10" i="15"/>
  <c r="D9" i="15"/>
  <c r="D8" i="15"/>
  <c r="D7" i="15"/>
  <c r="D6" i="15"/>
  <c r="P5" i="15"/>
  <c r="P16" i="15" s="1"/>
  <c r="C5" i="15"/>
  <c r="B77" i="13"/>
  <c r="P5" i="13" s="1"/>
  <c r="P8" i="13" s="1"/>
  <c r="B71" i="13"/>
  <c r="B52" i="13"/>
  <c r="B49" i="13"/>
  <c r="B45" i="13"/>
  <c r="B29" i="13"/>
  <c r="B32" i="13" s="1"/>
  <c r="B44" i="13" s="1"/>
  <c r="B28" i="13"/>
  <c r="B26" i="13"/>
  <c r="B25" i="13"/>
  <c r="B24" i="13"/>
  <c r="B23" i="13"/>
  <c r="B22" i="13"/>
  <c r="N10" i="13"/>
  <c r="M10" i="13"/>
  <c r="L10" i="13"/>
  <c r="K10" i="13"/>
  <c r="J10" i="13"/>
  <c r="I10" i="13"/>
  <c r="H10" i="13"/>
  <c r="G10" i="13"/>
  <c r="F10" i="13"/>
  <c r="E10" i="13"/>
  <c r="D10" i="13"/>
  <c r="M8" i="13"/>
  <c r="L8" i="13"/>
  <c r="O5" i="13"/>
  <c r="O8" i="13" s="1"/>
  <c r="D5" i="13"/>
  <c r="D8" i="13" s="1"/>
  <c r="C5" i="13"/>
  <c r="C8" i="13" s="1"/>
  <c r="B5" i="13"/>
  <c r="B8" i="13" s="1"/>
  <c r="B5" i="9"/>
  <c r="B8" i="9" s="1"/>
  <c r="B6" i="48" s="1"/>
  <c r="Q6" i="48" s="1"/>
  <c r="E21" i="50"/>
  <c r="E20" i="50"/>
  <c r="E19" i="50"/>
  <c r="D18" i="50"/>
  <c r="E18" i="50" s="1"/>
  <c r="D17" i="50"/>
  <c r="E17" i="50" s="1"/>
  <c r="E16" i="50"/>
  <c r="E15" i="50"/>
  <c r="E14" i="50"/>
  <c r="E13" i="50"/>
  <c r="E12" i="50"/>
  <c r="E11" i="50"/>
  <c r="E10" i="50"/>
  <c r="E9" i="50"/>
  <c r="E8" i="50"/>
  <c r="E7" i="50"/>
  <c r="E6" i="50"/>
  <c r="E5" i="50"/>
  <c r="N29" i="20"/>
  <c r="M29" i="20"/>
  <c r="L29" i="20"/>
  <c r="K29" i="20"/>
  <c r="J29" i="20"/>
  <c r="I29" i="20"/>
  <c r="H29" i="20"/>
  <c r="G29" i="20"/>
  <c r="F29" i="20"/>
  <c r="E29" i="20"/>
  <c r="D29" i="20"/>
  <c r="H26" i="20"/>
  <c r="G26" i="20"/>
  <c r="E26" i="20"/>
  <c r="E27" i="20" s="1"/>
  <c r="E12" i="22" s="1"/>
  <c r="D26" i="20"/>
  <c r="D27" i="20" s="1"/>
  <c r="D12" i="22" s="1"/>
  <c r="B26" i="20"/>
  <c r="B27" i="20" s="1"/>
  <c r="B12" i="22" s="1"/>
  <c r="N17" i="49"/>
  <c r="M17" i="49"/>
  <c r="L17" i="49"/>
  <c r="K17" i="49"/>
  <c r="J17" i="49"/>
  <c r="I17" i="49"/>
  <c r="F17" i="49"/>
  <c r="E17" i="49"/>
  <c r="D17" i="49"/>
  <c r="B15" i="49"/>
  <c r="B6" i="9" s="1"/>
  <c r="N17" i="19"/>
  <c r="M17" i="19"/>
  <c r="M19" i="19" s="1"/>
  <c r="L17" i="19"/>
  <c r="K17" i="19"/>
  <c r="J17" i="19"/>
  <c r="I17" i="19"/>
  <c r="F17" i="19"/>
  <c r="E17" i="19"/>
  <c r="D17" i="19"/>
  <c r="P19" i="19"/>
  <c r="O19" i="19"/>
  <c r="N15" i="19"/>
  <c r="N14" i="15" s="1"/>
  <c r="L15" i="19"/>
  <c r="L14" i="15" s="1"/>
  <c r="K15" i="19"/>
  <c r="K14" i="15" s="1"/>
  <c r="K16" i="15" s="1"/>
  <c r="J15" i="19"/>
  <c r="J14" i="15" s="1"/>
  <c r="I15" i="19"/>
  <c r="F15" i="19"/>
  <c r="F14" i="15" s="1"/>
  <c r="E15" i="19"/>
  <c r="E14" i="15" s="1"/>
  <c r="D15" i="19"/>
  <c r="C15" i="19"/>
  <c r="C14" i="15" s="1"/>
  <c r="B15" i="19"/>
  <c r="B14" i="15" s="1"/>
  <c r="A7" i="31"/>
  <c r="A6" i="31"/>
  <c r="C11" i="14" l="1"/>
  <c r="B4" i="48"/>
  <c r="O4" i="48"/>
  <c r="O22" i="48" s="1"/>
  <c r="P11" i="14"/>
  <c r="J15" i="16"/>
  <c r="B7" i="48"/>
  <c r="C24" i="14"/>
  <c r="C26" i="14" s="1"/>
  <c r="D4" i="48"/>
  <c r="D22" i="48" s="1"/>
  <c r="E11" i="14"/>
  <c r="P4" i="48"/>
  <c r="P22" i="48" s="1"/>
  <c r="Q11" i="14"/>
  <c r="Q10" i="14"/>
  <c r="P5" i="48"/>
  <c r="B10" i="48"/>
  <c r="C19" i="14"/>
  <c r="G24" i="14"/>
  <c r="G26" i="14" s="1"/>
  <c r="F7" i="48"/>
  <c r="F25" i="48" s="1"/>
  <c r="L8" i="48"/>
  <c r="L26" i="48" s="1"/>
  <c r="M13" i="14"/>
  <c r="C16" i="15"/>
  <c r="C5" i="48" s="1"/>
  <c r="C18" i="16"/>
  <c r="D7" i="48"/>
  <c r="E24" i="14"/>
  <c r="B13" i="16"/>
  <c r="C35" i="16"/>
  <c r="D14" i="15"/>
  <c r="P18" i="16"/>
  <c r="N5" i="17"/>
  <c r="I14" i="15"/>
  <c r="I16" i="15" s="1"/>
  <c r="J8" i="17"/>
  <c r="L16" i="15"/>
  <c r="B67" i="22"/>
  <c r="M11" i="22"/>
  <c r="G10" i="22"/>
  <c r="M9" i="22"/>
  <c r="G8" i="22"/>
  <c r="M7" i="22"/>
  <c r="G6" i="22"/>
  <c r="G11" i="22"/>
  <c r="M8" i="22"/>
  <c r="G7" i="22"/>
  <c r="M10" i="22"/>
  <c r="G9" i="22"/>
  <c r="M6" i="22"/>
  <c r="B7" i="15"/>
  <c r="O5" i="16"/>
  <c r="B38" i="13"/>
  <c r="B50" i="13" s="1"/>
  <c r="B11" i="15"/>
  <c r="B11" i="16"/>
  <c r="J19" i="19"/>
  <c r="N19" i="19"/>
  <c r="D12" i="17"/>
  <c r="E54" i="14" s="1"/>
  <c r="E56" i="14" s="1"/>
  <c r="D31" i="20"/>
  <c r="L22" i="16"/>
  <c r="M43" i="14" s="1"/>
  <c r="K19" i="19"/>
  <c r="I19" i="19"/>
  <c r="E31" i="20"/>
  <c r="L12" i="13"/>
  <c r="E8" i="16"/>
  <c r="K20" i="15"/>
  <c r="F19" i="19"/>
  <c r="L19" i="19"/>
  <c r="M12" i="13"/>
  <c r="C78" i="22"/>
  <c r="M51" i="22" s="1"/>
  <c r="M27" i="20"/>
  <c r="H27" i="20"/>
  <c r="J7" i="15"/>
  <c r="J11" i="15"/>
  <c r="N7" i="15"/>
  <c r="N11" i="15"/>
  <c r="E7" i="15"/>
  <c r="F11" i="15"/>
  <c r="L58" i="22"/>
  <c r="E58" i="22"/>
  <c r="J58" i="22"/>
  <c r="O58" i="22"/>
  <c r="K58" i="22"/>
  <c r="P58" i="22"/>
  <c r="I58" i="22"/>
  <c r="N58" i="22"/>
  <c r="F58" i="22"/>
  <c r="G27" i="20"/>
  <c r="D58" i="22"/>
  <c r="H58" i="22"/>
  <c r="E12" i="15"/>
  <c r="O5" i="15"/>
  <c r="O16" i="15" s="1"/>
  <c r="M20" i="15"/>
  <c r="G20" i="15"/>
  <c r="H20" i="15"/>
  <c r="F8" i="16"/>
  <c r="J9" i="16"/>
  <c r="F6" i="15"/>
  <c r="F8" i="15"/>
  <c r="N10" i="16"/>
  <c r="E14" i="16"/>
  <c r="D5" i="15"/>
  <c r="D16" i="15" s="1"/>
  <c r="B8" i="15"/>
  <c r="J8" i="15"/>
  <c r="F12" i="15"/>
  <c r="I20" i="15"/>
  <c r="B9" i="16"/>
  <c r="N9" i="16"/>
  <c r="E8" i="15"/>
  <c r="B10" i="15"/>
  <c r="E9" i="16"/>
  <c r="B6" i="15"/>
  <c r="N9" i="15"/>
  <c r="J10" i="15"/>
  <c r="D5" i="16"/>
  <c r="F10" i="16"/>
  <c r="J11" i="16"/>
  <c r="B15" i="16"/>
  <c r="F14" i="16"/>
  <c r="J6" i="15"/>
  <c r="F10" i="15"/>
  <c r="B12" i="15"/>
  <c r="J12" i="15"/>
  <c r="B7" i="16"/>
  <c r="E10" i="16"/>
  <c r="N14" i="16"/>
  <c r="N11" i="16"/>
  <c r="N6" i="15"/>
  <c r="F9" i="15"/>
  <c r="N10" i="15"/>
  <c r="B8" i="16"/>
  <c r="J8" i="16"/>
  <c r="B10" i="16"/>
  <c r="E11" i="16"/>
  <c r="B14" i="16"/>
  <c r="E15" i="16"/>
  <c r="E7" i="16"/>
  <c r="J7" i="16"/>
  <c r="F7" i="16"/>
  <c r="N7" i="16"/>
  <c r="E9" i="15"/>
  <c r="N15" i="16"/>
  <c r="C34" i="16"/>
  <c r="B9" i="15"/>
  <c r="E19" i="19"/>
  <c r="D19" i="19"/>
  <c r="E5" i="22"/>
  <c r="E14" i="22" s="1"/>
  <c r="D5" i="22"/>
  <c r="D14" i="22" s="1"/>
  <c r="B5" i="22"/>
  <c r="B14" i="22" s="1"/>
  <c r="B39" i="13"/>
  <c r="B51" i="13" s="1"/>
  <c r="F5" i="13" s="1"/>
  <c r="F8" i="13" s="1"/>
  <c r="P12" i="13"/>
  <c r="Q41" i="14" s="1"/>
  <c r="D12" i="13"/>
  <c r="E41" i="14" s="1"/>
  <c r="C22" i="13"/>
  <c r="C21" i="13"/>
  <c r="C20" i="13"/>
  <c r="O12" i="13"/>
  <c r="P41" i="14" s="1"/>
  <c r="J12" i="17"/>
  <c r="K54" i="14" s="1"/>
  <c r="K56" i="14" s="1"/>
  <c r="E5" i="17"/>
  <c r="C8" i="17"/>
  <c r="K24" i="14" l="1"/>
  <c r="K26" i="14" s="1"/>
  <c r="J7" i="48"/>
  <c r="J25" i="48" s="1"/>
  <c r="P22" i="16"/>
  <c r="Q43" i="14" s="1"/>
  <c r="P8" i="48"/>
  <c r="P26" i="48" s="1"/>
  <c r="Q13" i="14"/>
  <c r="Q16" i="14" s="1"/>
  <c r="Q27" i="14" s="1"/>
  <c r="P23" i="48"/>
  <c r="P33" i="48" s="1"/>
  <c r="P15" i="48"/>
  <c r="P10" i="14"/>
  <c r="O5" i="48"/>
  <c r="F4" i="48"/>
  <c r="F22" i="48" s="1"/>
  <c r="G11" i="14"/>
  <c r="I18" i="14"/>
  <c r="H13" i="48"/>
  <c r="H31" i="48" s="1"/>
  <c r="H18" i="14"/>
  <c r="G13" i="48"/>
  <c r="M12" i="22"/>
  <c r="M13" i="48"/>
  <c r="M31" i="48" s="1"/>
  <c r="N18" i="14"/>
  <c r="F20" i="14"/>
  <c r="F22" i="14" s="1"/>
  <c r="E9" i="48"/>
  <c r="D9" i="48"/>
  <c r="D27" i="48" s="1"/>
  <c r="E20" i="14"/>
  <c r="E22" i="14" s="1"/>
  <c r="C20" i="14"/>
  <c r="B9" i="48"/>
  <c r="D10" i="14"/>
  <c r="C7" i="48"/>
  <c r="D24" i="14"/>
  <c r="D26" i="14" s="1"/>
  <c r="C8" i="48"/>
  <c r="D13" i="14"/>
  <c r="E26" i="14"/>
  <c r="D25" i="48"/>
  <c r="M10" i="14"/>
  <c r="L5" i="48"/>
  <c r="E10" i="14"/>
  <c r="D5" i="48"/>
  <c r="B34" i="13"/>
  <c r="B46" i="13" s="1"/>
  <c r="E5" i="13" s="1"/>
  <c r="E8" i="13" s="1"/>
  <c r="N8" i="17"/>
  <c r="B35" i="13"/>
  <c r="B47" i="13" s="1"/>
  <c r="O18" i="16"/>
  <c r="B36" i="13"/>
  <c r="G31" i="20"/>
  <c r="H48" i="14" s="1"/>
  <c r="G12" i="22"/>
  <c r="D18" i="16"/>
  <c r="E8" i="17"/>
  <c r="H12" i="22"/>
  <c r="L8" i="17"/>
  <c r="M50" i="22"/>
  <c r="M54" i="22" s="1"/>
  <c r="G51" i="22"/>
  <c r="G50" i="22" s="1"/>
  <c r="G54" i="22" s="1"/>
  <c r="F12" i="17"/>
  <c r="G54" i="14" s="1"/>
  <c r="G56" i="14" s="1"/>
  <c r="D20" i="15"/>
  <c r="E40" i="14" s="1"/>
  <c r="M31" i="20"/>
  <c r="N48" i="14" s="1"/>
  <c r="H31" i="20"/>
  <c r="I48" i="14" s="1"/>
  <c r="M5" i="22"/>
  <c r="M14" i="22" s="1"/>
  <c r="G5" i="22"/>
  <c r="G14" i="22" s="1"/>
  <c r="H5" i="22"/>
  <c r="E5" i="15"/>
  <c r="O20" i="15"/>
  <c r="P40" i="14" s="1"/>
  <c r="P20" i="15"/>
  <c r="Q40" i="14" s="1"/>
  <c r="J5" i="15"/>
  <c r="F5" i="15"/>
  <c r="F16" i="15" s="1"/>
  <c r="B5" i="15"/>
  <c r="B16" i="15" s="1"/>
  <c r="B5" i="16"/>
  <c r="B18" i="16" s="1"/>
  <c r="N5" i="15"/>
  <c r="N16" i="15" s="1"/>
  <c r="F12" i="13"/>
  <c r="G41" i="14" s="1"/>
  <c r="F13" i="16"/>
  <c r="E13" i="16"/>
  <c r="N13" i="16"/>
  <c r="J13" i="16"/>
  <c r="N12" i="16"/>
  <c r="J12" i="16"/>
  <c r="F12" i="16"/>
  <c r="E12" i="16"/>
  <c r="B48" i="13"/>
  <c r="C48" i="13" s="1"/>
  <c r="N5" i="13" s="1"/>
  <c r="N8" i="13" s="1"/>
  <c r="C50" i="13"/>
  <c r="J5" i="13" s="1"/>
  <c r="J8" i="13" s="1"/>
  <c r="O22" i="16" l="1"/>
  <c r="P43" i="14" s="1"/>
  <c r="P46" i="14" s="1"/>
  <c r="P61" i="14" s="1"/>
  <c r="P63" i="14" s="1"/>
  <c r="O8" i="48"/>
  <c r="O26" i="48" s="1"/>
  <c r="P13" i="14"/>
  <c r="Q46" i="14"/>
  <c r="Q61" i="14" s="1"/>
  <c r="Q63" i="14" s="1"/>
  <c r="F24" i="14"/>
  <c r="F26" i="14" s="1"/>
  <c r="E7" i="48"/>
  <c r="E25" i="48" s="1"/>
  <c r="P16" i="14"/>
  <c r="P27" i="14" s="1"/>
  <c r="O15" i="48"/>
  <c r="O23" i="48"/>
  <c r="O33" i="48" s="1"/>
  <c r="E12" i="13"/>
  <c r="F41" i="14" s="1"/>
  <c r="E4" i="48"/>
  <c r="F11" i="14"/>
  <c r="J4" i="48"/>
  <c r="K11" i="14"/>
  <c r="N4" i="48"/>
  <c r="N22" i="48" s="1"/>
  <c r="O11" i="14"/>
  <c r="R18" i="14"/>
  <c r="H19" i="14"/>
  <c r="G10" i="48"/>
  <c r="M10" i="48"/>
  <c r="M28" i="48" s="1"/>
  <c r="N19" i="14"/>
  <c r="G31" i="48"/>
  <c r="Q13" i="48"/>
  <c r="E27" i="48"/>
  <c r="G9" i="48"/>
  <c r="H20" i="14"/>
  <c r="N20" i="14"/>
  <c r="M9" i="48"/>
  <c r="C22" i="14"/>
  <c r="B8" i="48"/>
  <c r="C13" i="14"/>
  <c r="O24" i="14"/>
  <c r="O26" i="14" s="1"/>
  <c r="N7" i="48"/>
  <c r="N25" i="48" s="1"/>
  <c r="L12" i="17"/>
  <c r="M54" i="14" s="1"/>
  <c r="M56" i="14" s="1"/>
  <c r="M24" i="14"/>
  <c r="L7" i="48"/>
  <c r="D22" i="16"/>
  <c r="E43" i="14" s="1"/>
  <c r="E13" i="14"/>
  <c r="D8" i="48"/>
  <c r="D26" i="48" s="1"/>
  <c r="O10" i="14"/>
  <c r="N5" i="48"/>
  <c r="C10" i="14"/>
  <c r="B5" i="48"/>
  <c r="G10" i="14"/>
  <c r="F5" i="48"/>
  <c r="E12" i="17"/>
  <c r="F54" i="14" s="1"/>
  <c r="F56" i="14" s="1"/>
  <c r="J16" i="15"/>
  <c r="E16" i="15"/>
  <c r="H14" i="22"/>
  <c r="N12" i="17"/>
  <c r="O54" i="14" s="1"/>
  <c r="O56" i="14" s="1"/>
  <c r="M58" i="22"/>
  <c r="N49" i="14" s="1"/>
  <c r="D18" i="22"/>
  <c r="E50" i="14" s="1"/>
  <c r="E52" i="14" s="1"/>
  <c r="E18" i="22"/>
  <c r="F50" i="14" s="1"/>
  <c r="F52" i="14" s="1"/>
  <c r="G58" i="22"/>
  <c r="H49" i="14" s="1"/>
  <c r="M18" i="22"/>
  <c r="N50" i="14" s="1"/>
  <c r="N20" i="15"/>
  <c r="O40" i="14" s="1"/>
  <c r="F20" i="15"/>
  <c r="G40" i="14" s="1"/>
  <c r="N5" i="16"/>
  <c r="E5" i="16"/>
  <c r="J5" i="16"/>
  <c r="C35" i="13"/>
  <c r="F5" i="16"/>
  <c r="C36" i="13"/>
  <c r="N12" i="13"/>
  <c r="O41" i="14" s="1"/>
  <c r="C38" i="13"/>
  <c r="C39" i="13"/>
  <c r="C32" i="13"/>
  <c r="C34" i="13"/>
  <c r="J12" i="13"/>
  <c r="K41" i="14" s="1"/>
  <c r="L20" i="15"/>
  <c r="M40" i="14" s="1"/>
  <c r="N22" i="14" l="1"/>
  <c r="N27" i="14" s="1"/>
  <c r="H22" i="14"/>
  <c r="H27" i="14" s="1"/>
  <c r="F10" i="14"/>
  <c r="E5" i="48"/>
  <c r="N52" i="14"/>
  <c r="N61" i="14" s="1"/>
  <c r="K10" i="14"/>
  <c r="J5" i="48"/>
  <c r="J23" i="48" s="1"/>
  <c r="J22" i="48"/>
  <c r="R11" i="14"/>
  <c r="E22" i="48"/>
  <c r="Q4" i="48"/>
  <c r="R19" i="14"/>
  <c r="G28" i="48"/>
  <c r="Q10" i="48"/>
  <c r="G15" i="48"/>
  <c r="G27" i="48"/>
  <c r="M27" i="48"/>
  <c r="M33" i="48" s="1"/>
  <c r="M15" i="48"/>
  <c r="H9" i="48"/>
  <c r="Q9" i="48" s="1"/>
  <c r="I20" i="14"/>
  <c r="L25" i="48"/>
  <c r="Q7" i="48"/>
  <c r="M26" i="14"/>
  <c r="R24" i="14"/>
  <c r="R26" i="14" s="1"/>
  <c r="E20" i="15"/>
  <c r="F40" i="14" s="1"/>
  <c r="F46" i="14" s="1"/>
  <c r="F61" i="14" s="1"/>
  <c r="F18" i="16"/>
  <c r="F22" i="16" s="1"/>
  <c r="G43" i="14" s="1"/>
  <c r="J18" i="16"/>
  <c r="E18" i="16"/>
  <c r="J20" i="15"/>
  <c r="K40" i="14" s="1"/>
  <c r="N18" i="16"/>
  <c r="N22" i="16" s="1"/>
  <c r="O43" i="14" s="1"/>
  <c r="G18" i="22"/>
  <c r="H50" i="14" s="1"/>
  <c r="H52" i="14" s="1"/>
  <c r="H61" i="14" s="1"/>
  <c r="H63" i="14" s="1"/>
  <c r="E22" i="16"/>
  <c r="F43" i="14" s="1"/>
  <c r="H18" i="22"/>
  <c r="I50" i="14" s="1"/>
  <c r="I52" i="14" s="1"/>
  <c r="I61" i="14" s="1"/>
  <c r="F13" i="14" l="1"/>
  <c r="F16" i="14" s="1"/>
  <c r="F27" i="14" s="1"/>
  <c r="F63" i="14" s="1"/>
  <c r="E8" i="48"/>
  <c r="E26" i="48" s="1"/>
  <c r="E23" i="48"/>
  <c r="E33" i="48" s="1"/>
  <c r="E15" i="48"/>
  <c r="J22" i="16"/>
  <c r="K43" i="14" s="1"/>
  <c r="K46" i="14" s="1"/>
  <c r="K61" i="14" s="1"/>
  <c r="K13" i="14"/>
  <c r="K16" i="14" s="1"/>
  <c r="K27" i="14" s="1"/>
  <c r="J8" i="48"/>
  <c r="N63" i="14"/>
  <c r="G33" i="48"/>
  <c r="I22" i="14"/>
  <c r="I27" i="14" s="1"/>
  <c r="I63" i="14" s="1"/>
  <c r="R20" i="14"/>
  <c r="R22" i="14" s="1"/>
  <c r="H27" i="48"/>
  <c r="H33" i="48" s="1"/>
  <c r="H15" i="48"/>
  <c r="O13" i="14"/>
  <c r="N8" i="48"/>
  <c r="N26" i="48" s="1"/>
  <c r="F8" i="48"/>
  <c r="G13" i="14"/>
  <c r="J26" i="48" l="1"/>
  <c r="J33" i="48" s="1"/>
  <c r="J15" i="48"/>
  <c r="K63" i="14"/>
  <c r="R13" i="14"/>
  <c r="F26" i="48"/>
  <c r="Q8" i="48"/>
  <c r="M16" i="14" l="1"/>
  <c r="M27" i="14" s="1"/>
  <c r="D16" i="14"/>
  <c r="D27" i="14" s="1"/>
  <c r="B20" i="6" s="1"/>
  <c r="C15" i="48" l="1"/>
  <c r="B15" i="48"/>
  <c r="L23" i="48"/>
  <c r="L33" i="48" s="1"/>
  <c r="L15" i="48"/>
  <c r="O16" i="14"/>
  <c r="O27" i="14" s="1"/>
  <c r="G16" i="14"/>
  <c r="G27" i="14" s="1"/>
  <c r="E16" i="14"/>
  <c r="E27" i="14" s="1"/>
  <c r="C16" i="14"/>
  <c r="C27" i="14" s="1"/>
  <c r="B3" i="6" s="1"/>
  <c r="R10" i="14"/>
  <c r="R16" i="14" s="1"/>
  <c r="R27" i="14" s="1"/>
  <c r="B22" i="6"/>
  <c r="C22" i="59" s="1"/>
  <c r="E46" i="14"/>
  <c r="E61" i="14" s="1"/>
  <c r="O46" i="14"/>
  <c r="O61" i="14" s="1"/>
  <c r="G46" i="14"/>
  <c r="G61" i="14" s="1"/>
  <c r="M46" i="14"/>
  <c r="M61" i="14" s="1"/>
  <c r="M63" i="14" s="1"/>
  <c r="E63" i="14" l="1"/>
  <c r="C10" i="13"/>
  <c r="C29" i="20"/>
  <c r="C18" i="15"/>
  <c r="C20" i="15" s="1"/>
  <c r="D40" i="14" s="1"/>
  <c r="C17" i="49"/>
  <c r="C10" i="17"/>
  <c r="C12" i="17" s="1"/>
  <c r="D54" i="14" s="1"/>
  <c r="C56" i="22"/>
  <c r="C58" i="22" s="1"/>
  <c r="D49" i="14" s="1"/>
  <c r="C16" i="22"/>
  <c r="C17" i="19"/>
  <c r="C19" i="19" s="1"/>
  <c r="D39" i="14" s="1"/>
  <c r="C20" i="16"/>
  <c r="C22" i="16" s="1"/>
  <c r="D43" i="14" s="1"/>
  <c r="O63" i="14"/>
  <c r="D23" i="48"/>
  <c r="D33" i="48" s="1"/>
  <c r="D15" i="48"/>
  <c r="N23" i="48"/>
  <c r="N33" i="48" s="1"/>
  <c r="N15" i="48"/>
  <c r="G63" i="14"/>
  <c r="Q5" i="48"/>
  <c r="Q15" i="48" s="1"/>
  <c r="F23" i="48"/>
  <c r="F33" i="48" s="1"/>
  <c r="F15" i="48"/>
  <c r="B12" i="6"/>
  <c r="C12" i="59" s="1"/>
  <c r="C55" i="14" l="1"/>
  <c r="B10" i="9"/>
  <c r="B12" i="9" s="1"/>
  <c r="B10" i="17"/>
  <c r="B12" i="17" s="1"/>
  <c r="C54" i="14" s="1"/>
  <c r="B17" i="49"/>
  <c r="B19" i="49" s="1"/>
  <c r="C42" i="14" s="1"/>
  <c r="B56" i="22"/>
  <c r="B58" i="22" s="1"/>
  <c r="C49" i="14" s="1"/>
  <c r="B10" i="13"/>
  <c r="B16" i="22"/>
  <c r="B18" i="22" s="1"/>
  <c r="C50" i="14" s="1"/>
  <c r="B18" i="15"/>
  <c r="B20" i="15" s="1"/>
  <c r="B17" i="19"/>
  <c r="B19" i="19" s="1"/>
  <c r="C39" i="14" s="1"/>
  <c r="B29" i="20"/>
  <c r="B31" i="20" s="1"/>
  <c r="C48" i="14" s="1"/>
  <c r="B20" i="16"/>
  <c r="B22" i="16" s="1"/>
  <c r="C43" i="14" s="1"/>
  <c r="C17" i="48"/>
  <c r="C12" i="13"/>
  <c r="D41" i="14" s="1"/>
  <c r="C40" i="14" l="1"/>
  <c r="B12" i="13"/>
  <c r="C41" i="14" s="1"/>
  <c r="B17" i="48"/>
  <c r="D56" i="14"/>
  <c r="D52" i="14"/>
  <c r="D46" i="14"/>
  <c r="C32" i="48" l="1"/>
  <c r="C30" i="48"/>
  <c r="C24" i="48"/>
  <c r="C31" i="48"/>
  <c r="C26" i="48"/>
  <c r="C22" i="48"/>
  <c r="C25" i="48"/>
  <c r="C27" i="48"/>
  <c r="C28" i="48"/>
  <c r="C29" i="48"/>
  <c r="C23" i="48"/>
  <c r="D61" i="14"/>
  <c r="D63" i="14" s="1"/>
  <c r="R55" i="14"/>
  <c r="C33" i="48" l="1"/>
  <c r="R49" i="14"/>
  <c r="R50" i="14"/>
  <c r="R43" i="14"/>
  <c r="R42" i="14"/>
  <c r="B32" i="48" l="1"/>
  <c r="Q32" i="48" s="1"/>
  <c r="B24" i="48"/>
  <c r="Q24" i="48" s="1"/>
  <c r="B31" i="48"/>
  <c r="Q31" i="48" s="1"/>
  <c r="B22" i="48"/>
  <c r="B30" i="48"/>
  <c r="Q30" i="48" s="1"/>
  <c r="B28" i="48"/>
  <c r="Q28" i="48" s="1"/>
  <c r="B26" i="48"/>
  <c r="Q26" i="48" s="1"/>
  <c r="B29" i="48"/>
  <c r="Q29" i="48" s="1"/>
  <c r="B25" i="48"/>
  <c r="Q25" i="48" s="1"/>
  <c r="B27" i="48"/>
  <c r="Q27" i="48" s="1"/>
  <c r="B23" i="48"/>
  <c r="Q23" i="48" s="1"/>
  <c r="R39" i="14"/>
  <c r="C56" i="14"/>
  <c r="R54" i="14"/>
  <c r="R56" i="14" s="1"/>
  <c r="C52" i="14"/>
  <c r="R48" i="14"/>
  <c r="R52" i="14" s="1"/>
  <c r="R40" i="14"/>
  <c r="R41" i="14"/>
  <c r="Q22" i="48" l="1"/>
  <c r="Q33" i="48" s="1"/>
  <c r="B33" i="48"/>
  <c r="R46" i="14"/>
  <c r="R61" i="14" s="1"/>
  <c r="C46" i="14"/>
  <c r="C61" i="14" s="1"/>
  <c r="C63" i="14" s="1"/>
</calcChain>
</file>

<file path=xl/comments1.xml><?xml version="1.0" encoding="utf-8"?>
<comments xmlns="http://schemas.openxmlformats.org/spreadsheetml/2006/main">
  <authors>
    <author>Aernouts Kristien</author>
  </authors>
  <commentList>
    <comment ref="Z25" authorId="0" shapeId="0">
      <text>
        <r>
          <rPr>
            <b/>
            <sz val="9"/>
            <color indexed="81"/>
            <rFont val="Tahoma"/>
            <family val="2"/>
          </rPr>
          <t>Aernouts Kristien:</t>
        </r>
        <r>
          <rPr>
            <sz val="9"/>
            <color indexed="81"/>
            <rFont val="Tahoma"/>
            <family val="2"/>
          </rPr>
          <t xml:space="preserve">
netto afname
</t>
        </r>
      </text>
    </comment>
    <comment ref="Z26" authorId="0" shapeId="0">
      <text>
        <r>
          <rPr>
            <b/>
            <sz val="9"/>
            <color indexed="81"/>
            <rFont val="Tahoma"/>
            <family val="2"/>
          </rPr>
          <t>Aernouts Kristien:</t>
        </r>
        <r>
          <rPr>
            <sz val="9"/>
            <color indexed="81"/>
            <rFont val="Tahoma"/>
            <family val="2"/>
          </rPr>
          <t xml:space="preserve">
bruto afname </t>
        </r>
      </text>
    </comment>
  </commentList>
</comments>
</file>

<file path=xl/comments2.xml><?xml version="1.0" encoding="utf-8"?>
<comments xmlns="http://schemas.openxmlformats.org/spreadsheetml/2006/main">
  <authors>
    <author>Meynaerts Erika</author>
  </authors>
  <commentList>
    <comment ref="A1" authorId="0" shapeId="0">
      <text>
        <r>
          <rPr>
            <sz val="9"/>
            <color indexed="81"/>
            <rFont val="Tahoma"/>
            <family val="2"/>
          </rPr>
          <t xml:space="preserve">
In het</t>
        </r>
        <r>
          <rPr>
            <b/>
            <sz val="9"/>
            <color indexed="81"/>
            <rFont val="Tahoma"/>
            <family val="2"/>
          </rPr>
          <t xml:space="preserve"> rekenblad “openbare verlichting”</t>
        </r>
        <r>
          <rPr>
            <sz val="9"/>
            <color indexed="81"/>
            <rFont val="Tahoma"/>
            <family val="2"/>
          </rPr>
          <t xml:space="preserve"> worden de CO2-emissies voor openbare verlichting berekend op basis van het elektriciteitsverbruik en gerelateerde emissiefactor. 
Voor elektriciteit worden de afnamecijfers van de netbeheerders uit het rekenblad “data” overgenomen voor de sector openbare verlichting (subsectoren openbare verlichting en rest).
Indien relevant, worden deze afnamecijfers in het rekenblad “openbare verlichting” (rij 6) gecorrigeerd voor het verbruik van de gemeentelijke openbare verlichting. De gemeente kan het elektriciteitsverbruik van de eigen openbare verlichting invullen in het rekenblad “Eigen gebouwen &amp; OV”. 
De emissiefactor voor elektriciteit wordt  berekend in het rekenblad “EF ele_warmte” (rij 1 ev.).
</t>
        </r>
        <r>
          <rPr>
            <b/>
            <sz val="9"/>
            <color indexed="81"/>
            <rFont val="Tahoma"/>
            <family val="2"/>
          </rPr>
          <t>Voor meer informatie: http://www.burgemeestersconvenant.be/co2-inventarissen (handleiding nulmeting, pagina 21 ev.)</t>
        </r>
      </text>
    </comment>
  </commentList>
</comments>
</file>

<file path=xl/comments3.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t>
        </r>
        <r>
          <rPr>
            <b/>
            <sz val="9"/>
            <color indexed="81"/>
            <rFont val="Tahoma"/>
            <family val="2"/>
          </rPr>
          <t xml:space="preserve"> rekenblad “huishoudens” </t>
        </r>
        <r>
          <rPr>
            <sz val="9"/>
            <color indexed="81"/>
            <rFont val="Tahoma"/>
            <family val="2"/>
          </rPr>
          <t>wordt voor de sector huishoudens een overzicht gegeven van de brandstofverbruiken, elektriciteitsverbruiken en warmteaankopen. Ook voor de aanwezige zonneboilers en warmtepompen wordt productie/verbruik bepaald. De CO2-emissies worden berekend door de verbruiken te vermenigvuldigen met de overeenkomstige emissiefactoren. De emissiefactoren zijn de default IPCC 2006 factoren of de berekende emissiefactoren voor elektriciteit en warmte uit het rekenblad “EF ele_warmte”.
De afnamecijfers voor aardgas en elektriciteit worden rechtstreeks uit het rekenblad “data” overgenomen (subsectoren huishoudelijk en rest). Het aardgasverbruik wordt omgerekend van bovenste verbrandingswaarde naar onderste verbrandingswaarde met factor 0,902. Het elektriciteitsverbruik van de huishoudens wordt vermeerderd met de productie van PV &lt;= 10 kWp. Hierbij nemen we aan dat alle PV &lt;= 10 kWp op daken van huishoudens liggen en dat ze een terugdraaiende teller hebben. 
Aankopen of leveringen vanuit warmtenetten, dienen door de gemeente zelf opgevraagd te worden en ingevuld in het rekenblad “Eigen informatie GS &amp; warmtenet”. De ingevulde gegevens worden vervolgens overgenomen in het rekenblad “huishoudens” (kolom “warmte”).
Voor stookolie, propaan/LPG/butaan, steenkool, biomassa (hout) wordt in het rekenblad “huishoudens” (rij 14 ev.) een inschatting gemaakt van het energieverbruik op basis van verdeelsleutels. Deze verdeelsleutels worden afgeleid van gegevens uit de algemene socio-economische enquête van 2001 , het aantal huishoudens en aantal afnemers voor aardgas. Deze gegevens worden overgenomen uit het rekenblad “data”. Aan de hand van aannames, worden dan aantallen huishoudens per energiedrager berekend. Hiervoor wordt voor aardgas het aantal afnemers overgenomen uit de data van de netbeheerders. We veronderstellen dat het verschil tussen het aantal huishoudens op aardgas in het referentiejaar en 2001 (uit de SEE 2001) kan verklaard worden door een omschakeling naar aardgas door 10% van het aantal woningen op steenkool en door 90% van het aantal woningen op stookolie. Voor de andere energiedragers wordt de verdeling van 2001 toegepast op het aantal resterende huishoudens. 
Voor steenkool en hout (energiedrager “overige biomassa”) wordt tevens een inschatting gemaakt van het aantal huishoudens dat deze brandstoffen inzet als bijverwarming. We veronderstellen dat het aantal huishoudens dat steenkool gebruikt voor bijverwarming 2x zo hoog is als het aantal huishoudens dat steenkool voor hoofdverwarming gebruikt. Voor hout wordt verondersteld dat het aantal huishoudens 10x zo hoog is voor bijverwarming dan voor hoofdverwarming.
Er zijn default energieverbruiken per huishouden voorzien in de tool. Deze default verbruiken per huishouden, per energiedrager zijn afkomstig van de Energiebalans Vlaanderen. Het verbruik wordt bepaald door het aantal huishoudens per energiedrager te vermenigvuldigen met de gemiddelde verbruiken per huishouden, per energiedrager. Voor steenkool en hout wordt tevens een onderscheid gemaakt tussen hoofd- en bijverwarming. 
Voor zonneboilers en warmtepompen werden data per gemeente door het VEA aangeleverd. Het VEA verzamelt deze gegevens jaarlijks, op basis van de premies uitgereikt door de netbeheerders en data uit de EPB aangifte voor nieuwbouwwoningen. Op basis van het aantal zonneboilers/warmtepompen en gemiddelde kengetallen (m², vermogen, kWh per m², kWh per kWth) afkomstig uit de Inventaris Hernieuwbare Energie wordt in het rekenblad “huishoudens” (rij 65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V</t>
        </r>
        <r>
          <rPr>
            <b/>
            <sz val="9"/>
            <color indexed="81"/>
            <rFont val="Tahoma"/>
            <family val="2"/>
          </rPr>
          <t>oor meer informatie: http://www.burgemeestersconvenant.be/co2-inventarissen (handleiding nulmeting, pagina 23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=&gt;onderste verbrandingswaarde</t>
        </r>
      </text>
    </comment>
    <comment ref="B38" authorId="2" shapeId="0">
      <text>
        <r>
          <rPr>
            <b/>
            <sz val="9"/>
            <color indexed="81"/>
            <rFont val="Tahoma"/>
            <family val="2"/>
          </rPr>
          <t>Aernouts Kristien:</t>
        </r>
        <r>
          <rPr>
            <sz val="9"/>
            <color indexed="81"/>
            <rFont val="Tahoma"/>
            <family val="2"/>
          </rPr>
          <t xml:space="preserve">
10% van de aardgasstijging eraf</t>
        </r>
      </text>
    </comment>
    <comment ref="B39" authorId="2" shapeId="0">
      <text>
        <r>
          <rPr>
            <b/>
            <sz val="9"/>
            <color indexed="81"/>
            <rFont val="Tahoma"/>
            <family val="2"/>
          </rPr>
          <t>Aernouts Kristien:</t>
        </r>
        <r>
          <rPr>
            <sz val="9"/>
            <color indexed="81"/>
            <rFont val="Tahoma"/>
            <family val="2"/>
          </rPr>
          <t xml:space="preserve">
90% van de aardgasstijging eraf</t>
        </r>
      </text>
    </comment>
    <comment ref="C48" authorId="2" shapeId="0">
      <text>
        <r>
          <rPr>
            <b/>
            <sz val="9"/>
            <color indexed="81"/>
            <rFont val="Tahoma"/>
            <family val="2"/>
          </rPr>
          <t>Aernouts Kristien:</t>
        </r>
        <r>
          <rPr>
            <sz val="9"/>
            <color indexed="81"/>
            <rFont val="Tahoma"/>
            <family val="2"/>
          </rPr>
          <t xml:space="preserve">
10x zoveel als hoofdverw</t>
        </r>
      </text>
    </comment>
    <comment ref="C50" authorId="2" shapeId="0">
      <text>
        <r>
          <rPr>
            <b/>
            <sz val="9"/>
            <color indexed="81"/>
            <rFont val="Tahoma"/>
            <family val="2"/>
          </rPr>
          <t>Aernouts Kristien:</t>
        </r>
        <r>
          <rPr>
            <sz val="9"/>
            <color indexed="81"/>
            <rFont val="Tahoma"/>
            <family val="2"/>
          </rPr>
          <t xml:space="preserve">
2x zoveel als hoofdverw</t>
        </r>
      </text>
    </comment>
  </commentList>
</comments>
</file>

<file path=xl/comments4.xml><?xml version="1.0" encoding="utf-8"?>
<comments xmlns="http://schemas.openxmlformats.org/spreadsheetml/2006/main">
  <authors>
    <author>Meynaerts Erika</author>
    <author>meynaere</author>
  </authors>
  <commentList>
    <comment ref="A1" authorId="0" shapeId="0">
      <text>
        <r>
          <rPr>
            <sz val="9"/>
            <color indexed="81"/>
            <rFont val="Tahoma"/>
            <family val="2"/>
          </rPr>
          <t xml:space="preserve">
In het</t>
        </r>
        <r>
          <rPr>
            <b/>
            <sz val="9"/>
            <color indexed="81"/>
            <rFont val="Tahoma"/>
            <family val="2"/>
          </rPr>
          <t xml:space="preserve"> rekenblad “tertiair” </t>
        </r>
        <r>
          <rPr>
            <sz val="9"/>
            <color indexed="81"/>
            <rFont val="Tahoma"/>
            <family val="2"/>
          </rPr>
          <t xml:space="preserve">wordt de tertiaire sector een overzicht gegeven van de brandstofverbruiken, elektriciteitsverbruiken en warmteaankopen. Ook voor de aanwezige zonneboilers en warmtepompen wordt productie/verbruik bepaald. De verbruiken worden met de overeenkomstige emissiefactoren vermenigvuldigd om tot CO2-emissies te komen. De emissiefactoren zijn de default IPCC 2006 factoren of de berekende emissiefactoren voor elektriciteit en warmte uit het rekenblad “EF ele_warmte”.
Voor aardgas en elektriciteit worden in het rekenblad “tertiair”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Aankopen of leveringen van (niet-WKK) warmte vanuit lokale productie-eenheden aan (deelsectoren van) de tertiaire sector, dienen door de gemeente zelf opgevraagd te worden en ingevuld in het rekenblad “Eigen informatie GS &amp; warmtenet”. De ingevulde gegevens worden vervolgens overgenomen in het rekenblad “tertiair” (kolom “warmte”). Leveringen van WKK-warmte en lokaal geproduceerde elektriciteit vanuit lokale productie-eenheden aan (deelsectoren van) de tertiaire sector, worden opgehaald uit rekenblad “lokale energieproductie”. Ook de brandstof verbruiken worden opgehaald en er gebeuren in het rekenblad “tertiair” (rij 13) volgende correcties om dubbeltellingen te vermijden:
- Lokaal geproduceerde elektriciteit wordt opgeteld bij de afnamecijfers van de netbeheerders;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“tertiair” (rij 22 ev.) een inschatting gemaakt van het energieverbruik op basis van verdeelsleutels, afgeleid uit de Energiebalans Vlaanderen (tertiaire sector) (rekenblad "E Balans VL"). Per deelsector wordt de verhouding bepaald van het elektriciteitsverbruik van deze deelsector in de gemeente (op basis van de afname cijfers) ten opzichte van het elektriciteitsverbruik van deze deelsector in Vlaanderen. Het verbruik van lichte stookolie, zware stookolie, LPG, steenkool en biomassa uit de Energiebalans Vlaanderen wordt vermenigvuldigd met deze sleutels, om te komen tot een inschatting van het verbruik van deze energiedragers in de gemeente. 
Het aantal  zonneboilers en warmtepompen wordt  per gemeente door het VEA aangeleverd. Het VEA verzamelt deze gegevens jaarlijks, op basis van de premies uitgereikt door de netbeheerders en data uit de EPB aangifte voor nieuwbouwwoningen. Op basis van deze aantallen en gemiddelde kengetallen (m², vermogen, kWh per m², kWh per kWth) afkomstig uit de Inventaris Hernieuwbare Energie wordt in het rekenblad “tertiair” (rij 34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Indien relevant, worden de energieverbruiken in het rekenblad “tertiair” (rij 14) gecorrigeerd voor het verbruik van de gemeentelijke gebouwen. De gemeente kan het energieverbruik van de eigen gebouwen invullen in het rekenblad “Eigen gebouwen &amp; OV”. 
</t>
        </r>
        <r>
          <rPr>
            <b/>
            <sz val="9"/>
            <color indexed="81"/>
            <rFont val="Tahoma"/>
            <family val="2"/>
          </rPr>
          <t>Voor meer informatie: http://www.burgemeestersconvenant.be/co2-inventarissen (handleiding nulmeting, pagina 27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5.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 xml:space="preserve">rekenblad “industrie” </t>
        </r>
        <r>
          <rPr>
            <sz val="9"/>
            <color indexed="81"/>
            <rFont val="Tahoma"/>
            <family val="2"/>
          </rPr>
          <t xml:space="preserve">wordt een overzicht gegeven van de brandstofverbruiken, elektriciteitsverbruiken en warmteaankopen voor de sector “industrie” (deel niet-ETS). Ook voor de aanwezige zonneboilers en warmtepompen wordt productie/verbruik bepaald. De verbruiken worden vermenigvuldigd met de overeenkomstige emissiefactoren om tot CO2-emissies te komen. e emissiefactoren zijn de default IPCC 2006 factoren of de berekende emissiefactoren voor elektriciteit en warmte uit het rekenblad “EF ele_warmte”.
Industrie dient enkel opgenomen te worden in de nulmeting, indien de gemeente of stad ook maatregelen wil opnemen in het SEAP. Indien een gemeente deze sector niet wenst mee te nemen, kunnen de verbruiken overschreven worden met waarde “0”.
Voor aardgas en elektriciteit worden in het rekenblad “industrie” de afnamecijfers van de netbeheerders uit het rekenblad “data” overgenomen. Het aardgasverbruik wordt omgerekend van bovenste verbrandingswaarde naar onderste verbrandingswaarde met factor 0,902. 
De netbeheerders leveren afnamecijfers aan voor aardgas en elektriciteit, per postcode en per (deel)sector (NACE, level 4). Aardgas- en elektriciteitsverbruiken “onbekend” kunnen niet toegekend worden aan een sector (er is een NACE-code maar deze is onbekend) en zijn niet meegenomen in de tool. Het aandeel dat deze categorie “onbekend” vertegenwoordigt in het totaal verbruik kan verschillen tussen gemeente. In het totaal verbruik in Vlaanderen voor 2011 vertegenwoordigt deze categorie 2%. Aardgas- en elektriciteitsverbruiken “Rest” kunnen niet toegekend worden aan een subsector (omwille van privacy samengenomen vanaf 3 of minder verbruikers per subcategorie) en zijn als restcategorie meegenomen in de tool. </t>
        </r>
        <r>
          <rPr>
            <b/>
            <sz val="9"/>
            <color indexed="81"/>
            <rFont val="Tahoma"/>
            <family val="2"/>
          </rPr>
          <t>LET OP: de toekenning van het verbruik van een afnamepunt aan een bepaalde NACE-code kan jaarlijks wijzigen waardoor de evolutie in energieverbruik op niveau van subsector niet noodzakelijk gerelateerd is aan toename of afname van de activiteit.</t>
        </r>
        <r>
          <rPr>
            <sz val="9"/>
            <color indexed="81"/>
            <rFont val="Tahoma"/>
            <family val="2"/>
          </rPr>
          <t xml:space="preserve">
Er is geen informatie (publiek) beschikbaar over welke bedrijven of installaties tot deze sector behoren en of deze al dan niet</t>
        </r>
        <r>
          <rPr>
            <b/>
            <sz val="9"/>
            <color indexed="81"/>
            <rFont val="Tahoma"/>
            <family val="2"/>
          </rPr>
          <t xml:space="preserve"> ETS</t>
        </r>
        <r>
          <rPr>
            <sz val="9"/>
            <color indexed="81"/>
            <rFont val="Tahoma"/>
            <family val="2"/>
          </rPr>
          <t xml:space="preserve"> zijn. We veronderstellen in de rekentool dat de verbruiken die worden aangeleverd door de distributienetbeheerders, representatief zijn voor het energieverbruik van de niet-ETS bedrijven of de bedrijven die niet vallen onder het Europees systeem voor verhandelbare emissierechten. Via de website van departement Omgeving kan een gemeente of stad de lijst van ETS-installaties en hun totale CO2-uitstoot terugvinden (https://www.lne.be/eu-ets-vaste-installaties-cijferoverzicht-vlaanderen-toewijzingen-en-emissies). Echter, er is geen informatie publiek beschikbaar over het energieverbruik of CO2-uitstoot per energiedrager (nodig voor de rapportering binnen het Burgemeestersconvenant).
Aankopen of leveringen van (niet-WKK) warmte vanuit lokale productie-eenheden aan (deelsectoren van) de industrie, dienen door de gemeente zelf opgevraagd te worden en ingevuld in het rekenblad “Eigen informatie GS &amp; warmtenet” . De ingevulde gegevens worden vervolgens overgenomen in het rekenblad “industrie” (kolom “warmte”). 
Leveringen van WKK-warmte en lokaal geproduceerde elektriciteit vanuit lokale productie-eenheden aan (deelsectoren van) de industrie, worden opgehaald uit rekenblad “lokale energieproductie”. Ook de brandstof verbruiken worden opgehaald en er gebeuren in het rekenblad “industrie” (rij 16) volgende correcties om dubbeltellingen te vermijden:
- Lokaal geproduceerde elektriciteit wordt opgeteld bij de afnamecijfers van de netbeheerders ;
- Lokaal geproduceerde warmte wordt opgeteld bij warmteleveringen uit warmtenetten (niet-WKK);
- Brandstofverbruiken voor lokale productie van elektriciteit en/of warmte worden afgetrokken van de berekende brandstofverbruiken. Indien de correctie voor een bepaalde energiedrager resulteert in een totaal verbruik &lt; 0, wordt het verbruik voor die energiedrager = 0 verondersteld. 
Voor (lichte en zware) stookolie, propaan/LPG/butaan, steenkool, biomassa wordt in het rekenblad “industrie” (rij 25 ev.) een inschatting gemaakt van het verbruik op basis van verdeelsleutels, afgeleid uit de Energiebalans Vlaanderen (industrie niet ETS) (rekenblad "E Balans VL"). Per deelsector wordt de verhouding bepaald van het elektriciteitsverbruik van deze deelsector in de gemeente (op basis van de afnamecijfers) ten opzichte van het elektriciteitsverbruik van deze deelsector in Vlaanderen. Het verbruik per energiedrager uit de Energiebalans Vlaanderen wordt vermenigvuldigd met deze sleutels, om te komen tot een inschatting van het verbruik in de gemeente. 
Het aantal zonneboilers en warmtepompen wordt per gemeente door het VEA aangeleverd. Het VEA verzamelt deze gegevens jaarlijks, op basis van de premies uitgereikt door de netbeheerders (3.1.9) en data uit de EPB aangifte voor nieuwbouwwoningen. We gaan ervan uit dat de niet-huishoudelijke toepassingen uit de VEA bestanden voor bestaande gebouwen (premies netbeheerders) vooral in de tertiaire sector voorkomen. We nemen ze dan ook niet mee voor industrie. Op basis van deze aantallen en gemiddelde kengetallen (m², vermogen, kWh per m², kWh per kWth) afkomstig uit de Inventaris Hernieuwbare Energie wordt in het rekenblad “industrie” (rij 40 ev.) een gemiddelde productie berekend, waaraan het verbruik wordt gelijkgesteld. Voor het berekende verbruik van zonneboilers en warmtepompen worden de emissies gelijk gesteld aan 0. Het elektriciteitsverbruik voor zonneboilers en warmtepompen zit immers al in de afnamecijfers van de netbeheerders. 
</t>
        </r>
        <r>
          <rPr>
            <b/>
            <sz val="9"/>
            <color indexed="81"/>
            <rFont val="Tahoma"/>
            <family val="2"/>
          </rPr>
          <t>Voor meer informatie: http://www.burgemeestersconvenant.be/co2-inventarissen (handleiding nulmeting, pagina 31 ev.)</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2" shapeId="0">
      <text>
        <r>
          <rPr>
            <b/>
            <sz val="9"/>
            <color indexed="81"/>
            <rFont val="Tahoma"/>
            <family val="2"/>
          </rPr>
          <t>Aernouts Kristien:</t>
        </r>
        <r>
          <rPr>
            <sz val="9"/>
            <color indexed="81"/>
            <rFont val="Tahoma"/>
            <family val="2"/>
          </rPr>
          <t xml:space="preserve">
lichte en zware stookolie</t>
        </r>
      </text>
    </comment>
    <comment ref="J3" authorId="1" shapeId="0">
      <text>
        <r>
          <rPr>
            <b/>
            <sz val="9"/>
            <color indexed="81"/>
            <rFont val="Tahoma"/>
            <family val="2"/>
          </rPr>
          <t>meynaere:</t>
        </r>
        <r>
          <rPr>
            <sz val="9"/>
            <color indexed="81"/>
            <rFont val="Tahoma"/>
            <family val="2"/>
          </rPr>
          <t xml:space="preserve">
kolen en cokes</t>
        </r>
      </text>
    </comment>
  </commentList>
</comments>
</file>

<file path=xl/comments6.xml><?xml version="1.0" encoding="utf-8"?>
<comments xmlns="http://schemas.openxmlformats.org/spreadsheetml/2006/main">
  <authors>
    <author>Meynaerts Erika</author>
    <author>meynaere</author>
    <author>Aernouts Kristien</author>
  </authors>
  <commentList>
    <comment ref="A1" authorId="0" shapeId="0">
      <text>
        <r>
          <rPr>
            <sz val="9"/>
            <color indexed="81"/>
            <rFont val="Tahoma"/>
            <family val="2"/>
          </rPr>
          <t xml:space="preserve">
In het </t>
        </r>
        <r>
          <rPr>
            <b/>
            <sz val="9"/>
            <color indexed="81"/>
            <rFont val="Tahoma"/>
            <family val="2"/>
          </rPr>
          <t>rekenblad “landbouw”</t>
        </r>
        <r>
          <rPr>
            <sz val="9"/>
            <color indexed="81"/>
            <rFont val="Tahoma"/>
            <family val="2"/>
          </rPr>
          <t xml:space="preserve"> wordt een overzicht gegeven van de brandstofverbruiken, elektriciteitsverbruiken en warmteaankopen vanuit warmtenetten of WKK-eenheden. We nemen aan dat zonneboilers en warmtepompen voor niet-huishoudelijke toepassingen voornamelijk in de tertiaire sector voorkomen en nemen ze hier dus niet mee. De verbruiken worden vermenigvuldigd met de overeenkomstige emissiefactoren om tot CO2-emissies te komen. e emissiefactoren zijn de default IPCC 2006 factoren of de berekende emissiefactoren voor elektriciteit en warmte uit het rekenblad “EF ele_warmte”.
Voor aardgas en elektriciteit worden de afnamecijfers van de netbeheerders uit het rekenblad “data” overgenomen. Het aardgasverbruik wordt omgerekend van bovenste verbrandingswaarde naar onderste verbrandingswaarde met factor 0,902.
Aankopen of leveringen van (niet-WKK) warmte vanuit lokale productie-eenheden aan de landbouw, dienen door de gemeente zelf opgevraagd te worden en ingevuld in het rekenblad “Eigen informatie GS &amp; warmtenet” . De ingevulde gegevens worden vervolgens overgenomen in het rekenblad “landbouw” (kolom “warmte”). Leveringen van WKK-warmte en lokaal geproduceerde elektriciteit vanuit lokale productie-eenheden aan (deelsectoren van) de landbouw, worden opgehaald uit rekenblad “lokale energieproductie”. Ook de brandstof verbruiken worden opgehaald en er gebeuren in het rekenblad “landbouw” (rij 6) volgende correcties om dubbeltellingen te vermijden:
- Lokale geproduceerde elektriciteit wordt voor de landbouwsector NIET opgeteld bij de afnamecijfers van de netbeheerders. De reden is dat het elektriciteitsverbruik berekend werd op de bruto afname, en in het geval van de landbouwsector veronderstellen we dat hierin de lokale elektriciteitsproductie grotendeels is inbegrepen (in tegenstelling tot de industrie en de tertiaire sector, waar dit meestal niet het geval is). 
- Lokaal geproduceerde warmte wordt opgeteld bij warmteleveringen uit warmtenetten (niet-WKK).
- Brandstofverbruiken voor lokale productie van elektriciteit en/of warmte wordt afgetrokken van de berekende brandstofverbruiken. Indien de correctie voor een bepaalde energiedrager resulteert in een totaal verbruik &lt; 0, wordt het verbruik voor die energiedrager = 0 verondersteld. 
Voor (lichte en zware) stookolie, propaan/LPG/butaan, steenkool wordt in het rekenblad “landbouw” (rij 14 ev.) een inschatting gemaakt van het energieverbruik op basis van verdeelsleutels, afgeleid uit de Energiebalans Vlaanderen (sector landbouw) (rekenblad "E Balans VL"). Voor de gehele sector wordt de verhouding bepaald van het elektriciteitsverbruik van deze deelsector in de gemeente (op basis van de afname cijfers in rekenblad “data”) ten opzichte van het elektriciteitsverbruik in Vlaanderen. Het verbruik van lichte stookolie, zware stookolie, LPG en steenkool uit de Energiebalans Vlaanderen wordt vermenigvuldigd met deze sleutels, om te komen tot een inschatting van het verbruik van deze energiedragers in de gemeente. Het verbruik van biomassa wordt op dezelfde manier berekend, indien de gemeente er voor kiest om geen lokale energieproductie eenheden op te nemen in het SEAP. Als dat wel gebeurt, dan is de biomassa inschatting gelijk aan 0 om geen dubbeltellingen te hebben: biomassa wordt in de landbouw vnl. gebruikt als brandstof in lokale energieproductie eenheden. 
</t>
        </r>
        <r>
          <rPr>
            <b/>
            <sz val="9"/>
            <color indexed="81"/>
            <rFont val="Tahoma"/>
            <family val="2"/>
          </rPr>
          <t xml:space="preserve">
Voor meer informatie: http://www.burgemeestersconvenant.be/co2-inventarissen (handleiding nulmeting, pagina 35 ev.)</t>
        </r>
        <r>
          <rPr>
            <sz val="9"/>
            <color indexed="81"/>
            <rFont val="Tahoma"/>
            <family val="2"/>
          </rPr>
          <t xml:space="preserve">
</t>
        </r>
      </text>
    </comment>
    <comment ref="D3" authorId="1" shapeId="0">
      <text>
        <r>
          <rPr>
            <b/>
            <sz val="9"/>
            <color indexed="81"/>
            <rFont val="Tahoma"/>
            <family val="2"/>
          </rPr>
          <t>meynaere:</t>
        </r>
        <r>
          <rPr>
            <sz val="9"/>
            <color indexed="81"/>
            <rFont val="Tahoma"/>
            <family val="2"/>
          </rPr>
          <t xml:space="preserve">
x0,902: bovenste verbrandingswaarde =&gt; onderste verbrandingswaarde</t>
        </r>
      </text>
    </comment>
    <comment ref="F3" authorId="1" shapeId="0">
      <text>
        <r>
          <rPr>
            <b/>
            <sz val="9"/>
            <color indexed="81"/>
            <rFont val="Tahoma"/>
            <family val="2"/>
          </rPr>
          <t>meynaere:</t>
        </r>
        <r>
          <rPr>
            <sz val="9"/>
            <color indexed="81"/>
            <rFont val="Tahoma"/>
            <family val="2"/>
          </rPr>
          <t xml:space="preserve">
lichte en zware stookolie</t>
        </r>
      </text>
    </comment>
    <comment ref="G3" authorId="1" shapeId="0">
      <text>
        <r>
          <rPr>
            <b/>
            <sz val="9"/>
            <color indexed="81"/>
            <rFont val="Tahoma"/>
            <family val="2"/>
          </rPr>
          <t>meynaere:</t>
        </r>
        <r>
          <rPr>
            <sz val="9"/>
            <color indexed="81"/>
            <rFont val="Tahoma"/>
            <family val="2"/>
          </rPr>
          <t xml:space="preserve">
cf. stookolie</t>
        </r>
      </text>
    </comment>
    <comment ref="J3" authorId="1" shapeId="0">
      <text>
        <r>
          <rPr>
            <b/>
            <sz val="9"/>
            <color indexed="81"/>
            <rFont val="Tahoma"/>
            <family val="2"/>
          </rPr>
          <t>meynaere:</t>
        </r>
        <r>
          <rPr>
            <sz val="9"/>
            <color indexed="81"/>
            <rFont val="Tahoma"/>
            <family val="2"/>
          </rPr>
          <t xml:space="preserve">
kolen en cokes</t>
        </r>
      </text>
    </comment>
    <comment ref="L5" authorId="2" shapeId="0">
      <text>
        <r>
          <rPr>
            <b/>
            <sz val="9"/>
            <color indexed="81"/>
            <rFont val="Tahoma"/>
            <family val="2"/>
          </rPr>
          <t>Aernouts Kristien:</t>
        </r>
        <r>
          <rPr>
            <sz val="9"/>
            <color indexed="81"/>
            <rFont val="Tahoma"/>
            <family val="2"/>
          </rPr>
          <t xml:space="preserve">
idem biomassa</t>
        </r>
      </text>
    </comment>
    <comment ref="N5" authorId="2" shapeId="0">
      <text>
        <r>
          <rPr>
            <b/>
            <sz val="9"/>
            <color indexed="81"/>
            <rFont val="Tahoma"/>
            <family val="2"/>
          </rPr>
          <t>Aernouts Kristien:</t>
        </r>
        <r>
          <rPr>
            <sz val="9"/>
            <color indexed="81"/>
            <rFont val="Tahoma"/>
            <family val="2"/>
          </rPr>
          <t xml:space="preserve">
niet op basis van E balans , in landbouw toch vnl bij productie installaties</t>
        </r>
      </text>
    </comment>
    <comment ref="A22" authorId="0" shapeId="0">
      <text>
        <r>
          <rPr>
            <sz val="9"/>
            <color indexed="81"/>
            <rFont val="Tahoma"/>
            <family val="2"/>
          </rPr>
          <t xml:space="preserve">
In het rekenblad "landbouw" wordt tevens een inschatting gemaakt van de </t>
        </r>
        <r>
          <rPr>
            <b/>
            <sz val="9"/>
            <color indexed="81"/>
            <rFont val="Tahoma"/>
            <family val="2"/>
          </rPr>
          <t>niet-energiegerelateerde emissies</t>
        </r>
        <r>
          <rPr>
            <sz val="9"/>
            <color indexed="81"/>
            <rFont val="Tahoma"/>
            <family val="2"/>
          </rPr>
          <t xml:space="preserve"> (CH4 vertering, mestopslag, N2O mestopslag, bodem). Deze broeikasgasemissies worden </t>
        </r>
        <r>
          <rPr>
            <b/>
            <sz val="9"/>
            <color indexed="81"/>
            <rFont val="Tahoma"/>
            <family val="2"/>
          </rPr>
          <t xml:space="preserve">niet </t>
        </r>
        <r>
          <rPr>
            <sz val="9"/>
            <color indexed="81"/>
            <rFont val="Tahoma"/>
            <family val="2"/>
          </rPr>
          <t xml:space="preserve">meegenomen in de SEAP template.
De CH4-emissies (uit verteringsprocessen en mestopslag) per gemeente en de N2O-emissies (uit mestopslag) worden in het rekenblad “landbouw” (rij 26 ev.) ingeschat op basis van het aantal dieren per gemeente en een emissiefactor per dier. Het aantal dieren per gemeente wordt overgenomen uit het rekenblad “data" en is afkomstig uit de Mestbank van de Vlaamse Landmaatschappij (VLM). De  emissiefactoren per dier uit het rekenblad “EF N2O_CH4 landbouw" worden aangeleverd door de Vlaamse Milieumaatschappij (VMM) en zijn afkomstig uit de rekenmodellen van de VMM, met name het CH4 VEE en N2O model.
De N2O-emissies uit de bodem (direct en indirect) worden in het rekenblad “landbouw” (rij 29) ingeschat op basis van de totale emissies in Vlaanderen. Voor de herschaling van de Vlaamse cijfers naar gemeentelijk niveau wordt gebruik gemaakt van een verdeelsleutel: verhouding ha cultuurgrond per gemeente ten opzichte van ha cultuurgrond in Vlaanderen. De totale emissies en hectare cultuurgrond in Vlaanderen wordt overgenomen uit het rekenblad “ha_N2O bodem landbouw”. De hectare cultuurgrond per gemeente wordt overgenomen uit het rekenblad “data”.
De totale hectare cultuurgrond in Vlaanderen en per gemeente  is afkomstig uit de Mestbank van de Vlaamse Landmaatschappij. De totale N2O-emissies die (direct &amp; indirect) vrij komen uit de bodem in Vlaanderen worden aangeleverd door de Vlaamse Milieumaatschappij. Deze emissies worden berekend met het N2O-model van de VMM.
Het rekenblad “GWP N2O_CH4” geeft de global warming potential (GWP) van CH4 en N2O op basis van de IPCC 2006 guidelines en de SEAP guidebook (part II). De GWP-waarden worden gebruikt voor conversie van CH4- en N2O-emissies naar CO2-equivalenten.
</t>
        </r>
        <r>
          <rPr>
            <b/>
            <sz val="9"/>
            <color indexed="81"/>
            <rFont val="Tahoma"/>
            <family val="2"/>
          </rPr>
          <t xml:space="preserve">
Voor meer informatie: http://www.burgemeestersconvenant.be/co2-inventarissen (handleiding nulmeting, pagina 35 ev.)</t>
        </r>
      </text>
    </comment>
  </commentList>
</comments>
</file>

<file path=xl/comments7.xml><?xml version="1.0" encoding="utf-8"?>
<comments xmlns="http://schemas.openxmlformats.org/spreadsheetml/2006/main">
  <authors>
    <author>Meynaerts Erika</author>
  </authors>
  <commentList>
    <comment ref="A1" authorId="0" shapeId="0">
      <text>
        <r>
          <rPr>
            <sz val="9"/>
            <color indexed="81"/>
            <rFont val="Tahoma"/>
            <family val="2"/>
          </rPr>
          <t xml:space="preserve">
In het rekenblad </t>
        </r>
        <r>
          <rPr>
            <b/>
            <sz val="9"/>
            <color indexed="81"/>
            <rFont val="Tahoma"/>
            <family val="2"/>
          </rPr>
          <t xml:space="preserve">“transport” </t>
        </r>
        <r>
          <rPr>
            <sz val="9"/>
            <color indexed="81"/>
            <rFont val="Tahoma"/>
            <family val="2"/>
          </rPr>
          <t xml:space="preserve">worden de CO2-emissies ingeschat voor het </t>
        </r>
        <r>
          <rPr>
            <b/>
            <sz val="9"/>
            <color indexed="81"/>
            <rFont val="Tahoma"/>
            <family val="2"/>
          </rPr>
          <t>commercieel en particulier vervoer</t>
        </r>
        <r>
          <rPr>
            <sz val="9"/>
            <color indexed="81"/>
            <rFont val="Tahoma"/>
            <family val="2"/>
          </rPr>
          <t>. Deze inschatting gaat uit van energieverbruiken en gerelateerde emissiefactoren. Er wordt een onderscheid gemaakt naar wegtype (snelwegen, genummerde (gewest)wegen en niet-genummerde (gemeente)wegen) en voertuigtype (lichte voertuigen en zware voertuigen).</t>
        </r>
        <r>
          <rPr>
            <b/>
            <sz val="9"/>
            <color indexed="81"/>
            <rFont val="Tahoma"/>
            <family val="2"/>
          </rPr>
          <t xml:space="preserve">
</t>
        </r>
        <r>
          <rPr>
            <sz val="9"/>
            <color indexed="81"/>
            <rFont val="Tahoma"/>
            <family val="2"/>
          </rPr>
          <t xml:space="preserve">
Het energieverbruik wordt berekend op basis van het aantal voertuigkilometers per voertuigtechnologie en de energieconsumptiefactor per voertuigtechnologie. De voertuigkilometers worden gehaald uit rekenblad “data” en de energieconsumptiefactoren uit het rekenblad “ECF transport”. Het departement Mobiliteit en Openbare Werken (MOW) levert het aantal voertuigkilometers per wegtype (snelwegen, genummerde wegen, niet-genummerde wegen) en voertuigtype (lichte voertuigen en zware voertuigen) aan, op basis van berekeningen met het verkeersmodel PROMOVIA. De verdeling van de voertuigkilometers per voertuigtechnologie en de energieconsumptiefactoren zijn afkomstig uit COPERT (doorrekeningen aangeleverd door de VMM). 
Het verbruik van diesel, benzine en E85 wordt gecorrigeerd voor het aandeel biobrandstof. We baseren ons hiervoor op de gerapporteerde brandstofverkopen afkomstig van de VMM. 
Indien relevant, worden energieverbruiken in het rekenblad “transport” (rij 15) gecorrigeerd voor het verbruik van de gemeentelijke vloot. De gemeente kan het energieverbruik van de eigen vloot invullen in het rekenblad “Eigen vloot”. 
</t>
        </r>
        <r>
          <rPr>
            <b/>
            <sz val="9"/>
            <color indexed="81"/>
            <rFont val="Tahoma"/>
            <family val="2"/>
          </rPr>
          <t>Voor meer informatie: http://www.burgemeestersconvenant.be/co2-inventarissen (handleiding nulmeting, pagina 40 ev.)</t>
        </r>
      </text>
    </comment>
    <comment ref="A46" authorId="0" shapeId="0">
      <text>
        <r>
          <rPr>
            <sz val="9"/>
            <color indexed="81"/>
            <rFont val="Tahoma"/>
            <family val="2"/>
          </rPr>
          <t xml:space="preserve">
In het rekenblad “transport” worden de CO2-emissies ingeschat voor het </t>
        </r>
        <r>
          <rPr>
            <b/>
            <sz val="9"/>
            <color indexed="81"/>
            <rFont val="Tahoma"/>
            <family val="2"/>
          </rPr>
          <t>openbaar vervoer</t>
        </r>
        <r>
          <rPr>
            <sz val="9"/>
            <color indexed="81"/>
            <rFont val="Tahoma"/>
            <family val="2"/>
          </rPr>
          <t xml:space="preserve">. Deze inschatting gaat uit van energieverbruiken en gerelateerde emissiefactoren. Er wordt een onderscheid gemaakt tussen bussen en trams.
Het energieverbruik wordt berekend op basis van het aantal voertuigkilometers per voertuigtechnologie en de energieconsumptiefactor per voertuigtechnologie. De voertuigkilometers worden gehaald uit rekenblad “data” en de energieconsumptiefactoren uit het rekenblad “ECF transport”. 
De voertuigkilometers voor bussen zijn ingeschat op basis van een verdeelsleutel en het aantal buskilometers per provincie, per jaar uit het Jaarverslag van De Lijn. De verdeling van de voertuigkilometers van bussen over diesel en diesel hybride (CS)  is afkomstig van De Lijn. De energieconsumptiefactoren voor bussen komen uit COPERT (doorrekeningen aangeleverd door de VMM) en zijn verschillend per type bus en per type weg. Het verbruik van diesel door bussen wordt gecorrigeerd voor het aandeel biobrandstof. We baseren ons hiervoor op de gerapporteerde brandstofverkopen afkomstig van de VMM. 
In het “Jaarverslag” van De Lijn zijn voor de trams voertuigkilometers per provincie beschikbaar. Voor de kust tram herschaalt VITO de voertuigkilometers van de provincie West-Vlaanderen op basis van de kilometers tram lijn, aangeleverd door De Lijn West-Vlaanderen. Voor de trams in de provincie Oost-Vlaanderen en Antwerpen herschaalt VITO de voertuigkilometers per provincie op basis van het aantal huishoudens in de betreffende “tramgemeente” t.o.v. aantal huishoudens in de “tramgemeentes” van de betreffende provincie. Het aantal huishoudens vwordt aangeleverd door de Studiedienst van de Vlaamse Regering. De energieconsumptiefactoren voor trams komen uit de Energiebalans Vlaanderen en werden aangeleverd door De Lijn.
</t>
        </r>
        <r>
          <rPr>
            <b/>
            <sz val="9"/>
            <color indexed="81"/>
            <rFont val="Tahoma"/>
            <family val="2"/>
          </rPr>
          <t xml:space="preserve">Voor meer informatie: http://www.burgemeestersconvenant.be/co2-inventarissen (handleiding nulmeting, pagina 40 ev.)
</t>
        </r>
      </text>
    </comment>
  </commentList>
</comments>
</file>

<file path=xl/comments8.xml><?xml version="1.0" encoding="utf-8"?>
<comments xmlns="http://schemas.openxmlformats.org/spreadsheetml/2006/main">
  <authors>
    <author>meynaere</author>
  </authors>
  <commentList>
    <comment ref="A9" authorId="0" shapeId="0">
      <text>
        <r>
          <rPr>
            <b/>
            <sz val="9"/>
            <color indexed="81"/>
            <rFont val="Tahoma"/>
            <family val="2"/>
          </rPr>
          <t>meynaere:</t>
        </r>
        <r>
          <rPr>
            <sz val="9"/>
            <color indexed="81"/>
            <rFont val="Tahoma"/>
            <family val="2"/>
          </rPr>
          <t xml:space="preserve">
incl. afvalverbranding met energierecuperatie</t>
        </r>
      </text>
    </comment>
    <comment ref="A19" authorId="0" shapeId="0">
      <text>
        <r>
          <rPr>
            <b/>
            <sz val="9"/>
            <color indexed="81"/>
            <rFont val="Tahoma"/>
            <family val="2"/>
          </rPr>
          <t>meynaere:</t>
        </r>
        <r>
          <rPr>
            <sz val="9"/>
            <color indexed="81"/>
            <rFont val="Tahoma"/>
            <family val="2"/>
          </rPr>
          <t xml:space="preserve">
incl. afvalverbranding met energierecuperatie</t>
        </r>
      </text>
    </comment>
  </commentList>
</comments>
</file>

<file path=xl/sharedStrings.xml><?xml version="1.0" encoding="utf-8"?>
<sst xmlns="http://schemas.openxmlformats.org/spreadsheetml/2006/main" count="2434" uniqueCount="913">
  <si>
    <t>GEMEENTE</t>
  </si>
  <si>
    <t>Huishoudens</t>
  </si>
  <si>
    <t>Aantal huishoudens</t>
  </si>
  <si>
    <t>Landbouw</t>
  </si>
  <si>
    <t>Parameter</t>
  </si>
  <si>
    <t>Aantal</t>
  </si>
  <si>
    <t>melkkoeien</t>
  </si>
  <si>
    <t>zoogkoeien</t>
  </si>
  <si>
    <t>runderen tot 1 jaar</t>
  </si>
  <si>
    <t>runderen van 1 tot 2 jaar</t>
  </si>
  <si>
    <t>runderen meer dan 2 jaar</t>
  </si>
  <si>
    <t>Biggen tot 20 kg</t>
  </si>
  <si>
    <t>Varkens van 20 tot 110 kg</t>
  </si>
  <si>
    <t>Mestvarkens meer dan 110 kg</t>
  </si>
  <si>
    <t>Fokvarkens (beren)</t>
  </si>
  <si>
    <t>Fokvarkens (zeugen) + reforme beren en zeugen</t>
  </si>
  <si>
    <t>Schapen</t>
  </si>
  <si>
    <t>Geiten</t>
  </si>
  <si>
    <t>Pluimvee</t>
  </si>
  <si>
    <t>Netbeheer Gas en Elektriciteit</t>
  </si>
  <si>
    <t>Elektriciteit</t>
  </si>
  <si>
    <t>Sector</t>
  </si>
  <si>
    <t>SubSector</t>
  </si>
  <si>
    <t>Volume kWh</t>
  </si>
  <si>
    <t>ENERGIESECTOR</t>
  </si>
  <si>
    <t>Andere energie</t>
  </si>
  <si>
    <t>Elektriciteit- en warmte sector</t>
  </si>
  <si>
    <t>Raffinaderijen</t>
  </si>
  <si>
    <t>Rest</t>
  </si>
  <si>
    <t>HUISHOUDENS</t>
  </si>
  <si>
    <t>Huishoudelijk</t>
  </si>
  <si>
    <t>INDUSTRIE</t>
  </si>
  <si>
    <t>Andere industrie</t>
  </si>
  <si>
    <t>Chemie</t>
  </si>
  <si>
    <t>Ijzer- en staalnijverheid</t>
  </si>
  <si>
    <t>Metaalverwerkende nijverheid</t>
  </si>
  <si>
    <t>Minerale niet-metaalproducten</t>
  </si>
  <si>
    <t>Non-ferro</t>
  </si>
  <si>
    <t>Papier en uitgeverijen</t>
  </si>
  <si>
    <t>Textiel, leder en kleding</t>
  </si>
  <si>
    <t>Voeding, dranken en tabak</t>
  </si>
  <si>
    <t>LANDBOUW, BOSBOUW EN VISSERIJ</t>
  </si>
  <si>
    <t>Landbouw, bosbouw en visserij</t>
  </si>
  <si>
    <t>ONBEKEND</t>
  </si>
  <si>
    <t>Empty/onbekend</t>
  </si>
  <si>
    <t>OPENBARE VERLICHTING</t>
  </si>
  <si>
    <t>Openbare verlichting</t>
  </si>
  <si>
    <t>REST</t>
  </si>
  <si>
    <t>TERTIAIRE SECTOR</t>
  </si>
  <si>
    <t>Andere gemeenschaps-, sociale en persoonlijke dienstverlening</t>
  </si>
  <si>
    <t>Gezondheidszorg en maatschappelijke dienstverlening</t>
  </si>
  <si>
    <t>Handel</t>
  </si>
  <si>
    <t>Horeca</t>
  </si>
  <si>
    <t>Kantoren en administraties</t>
  </si>
  <si>
    <t>Onderwijs</t>
  </si>
  <si>
    <t>TRANSPORT</t>
  </si>
  <si>
    <t>Luchtvaart</t>
  </si>
  <si>
    <t>Vervoer over water</t>
  </si>
  <si>
    <t>Vervoer via pijpleidingen</t>
  </si>
  <si>
    <t>Wegvervoer</t>
  </si>
  <si>
    <t>Wegtransport</t>
  </si>
  <si>
    <t>WegType</t>
  </si>
  <si>
    <t>VoertuigType</t>
  </si>
  <si>
    <t>Genummerde wegen</t>
  </si>
  <si>
    <t>Niet-genummerde wegen</t>
  </si>
  <si>
    <t>Snelwegen</t>
  </si>
  <si>
    <t>Wind Water PV</t>
  </si>
  <si>
    <t>zonne-energie &lt;= 10kW</t>
  </si>
  <si>
    <t>zonne-energie &gt; 10kW</t>
  </si>
  <si>
    <t>Woning</t>
  </si>
  <si>
    <t>aardgas</t>
  </si>
  <si>
    <t>andere energiebron</t>
  </si>
  <si>
    <t>butaan-propaan</t>
  </si>
  <si>
    <t>elektriciteit</t>
  </si>
  <si>
    <t>hout</t>
  </si>
  <si>
    <t>niet gespecifieerd</t>
  </si>
  <si>
    <t>steenkool</t>
  </si>
  <si>
    <t>stookolie</t>
  </si>
  <si>
    <t>warmtepomp</t>
  </si>
  <si>
    <t>Warmte Pomp en Zonneboilers Nieuwbouw</t>
  </si>
  <si>
    <t>Warmte Pomp</t>
  </si>
  <si>
    <t>Zonneboiler</t>
  </si>
  <si>
    <t>ANDERE</t>
  </si>
  <si>
    <t>ANDERE MET KANTOOR</t>
  </si>
  <si>
    <t>INDUSTRIE MET KANTOOR</t>
  </si>
  <si>
    <t>KANTOOR</t>
  </si>
  <si>
    <t>SCHOOL</t>
  </si>
  <si>
    <t>WONEN</t>
  </si>
  <si>
    <t>WONEN MET KANTOOR</t>
  </si>
  <si>
    <t>NIS</t>
  </si>
  <si>
    <t>Postcode</t>
  </si>
  <si>
    <t>Producent</t>
  </si>
  <si>
    <t>Adres producent</t>
  </si>
  <si>
    <t>Warmtekracht-installatie</t>
  </si>
  <si>
    <t>Technologie</t>
  </si>
  <si>
    <t>technologie2</t>
  </si>
  <si>
    <t>Adres installatie</t>
  </si>
  <si>
    <t>Datum indienstname of laatste ingrijpende wijziging</t>
  </si>
  <si>
    <t>Datum eerste toekenning WKC of GS</t>
  </si>
  <si>
    <t>Netbeheerder</t>
  </si>
  <si>
    <t>ele productie (MWh)</t>
  </si>
  <si>
    <t>warmteproductie (MWh)</t>
  </si>
  <si>
    <t>biogas (MWh)</t>
  </si>
  <si>
    <t>stortgas (MWh)</t>
  </si>
  <si>
    <t>lichte stookolie (MWh)</t>
  </si>
  <si>
    <t>palmolie (MWh)</t>
  </si>
  <si>
    <t>koolzaadolie (MWh)</t>
  </si>
  <si>
    <t>andere biomassa (MWh)</t>
  </si>
  <si>
    <t>restafval (MWh)</t>
  </si>
  <si>
    <t>sector</t>
  </si>
  <si>
    <t>-</t>
  </si>
  <si>
    <t>landbouw</t>
  </si>
  <si>
    <t>Koolteer</t>
  </si>
  <si>
    <t>Kolen</t>
  </si>
  <si>
    <t>Cokes</t>
  </si>
  <si>
    <t>Totaal</t>
  </si>
  <si>
    <t>Aardolie en</t>
  </si>
  <si>
    <t>Raff.</t>
  </si>
  <si>
    <t>LPG</t>
  </si>
  <si>
    <t>Benzine</t>
  </si>
  <si>
    <t>Kerosine</t>
  </si>
  <si>
    <t>Gas-en</t>
  </si>
  <si>
    <t>Lamppetro-</t>
  </si>
  <si>
    <t>Zware</t>
  </si>
  <si>
    <t>Nafta</t>
  </si>
  <si>
    <t>Petroleum-</t>
  </si>
  <si>
    <t>Andere</t>
  </si>
  <si>
    <t>Totaal petro.</t>
  </si>
  <si>
    <t>Aard- en</t>
  </si>
  <si>
    <t>Cokes-</t>
  </si>
  <si>
    <t>Hoog-</t>
  </si>
  <si>
    <t>Totaal gas</t>
  </si>
  <si>
    <t xml:space="preserve">Totaal fossiele </t>
  </si>
  <si>
    <t xml:space="preserve">Andere </t>
  </si>
  <si>
    <t>Biomassa</t>
  </si>
  <si>
    <t>Elek-</t>
  </si>
  <si>
    <t>Warmte</t>
  </si>
  <si>
    <t>Nucleaire</t>
  </si>
  <si>
    <t>kolen</t>
  </si>
  <si>
    <t>interm. prod.</t>
  </si>
  <si>
    <t>gas</t>
  </si>
  <si>
    <t>dieselolie</t>
  </si>
  <si>
    <t>leum</t>
  </si>
  <si>
    <t xml:space="preserve"> stookolie</t>
  </si>
  <si>
    <t>cokes</t>
  </si>
  <si>
    <t xml:space="preserve"> petro. prod.</t>
  </si>
  <si>
    <t>producten</t>
  </si>
  <si>
    <t>mijngas</t>
  </si>
  <si>
    <t>ovengas</t>
  </si>
  <si>
    <t>brandstoffen</t>
  </si>
  <si>
    <t>brandst.</t>
  </si>
  <si>
    <t>triciteit</t>
  </si>
  <si>
    <t xml:space="preserve"> warmte</t>
  </si>
  <si>
    <t>[PJ]</t>
  </si>
  <si>
    <t>huishoudens</t>
  </si>
  <si>
    <t>tertiair</t>
  </si>
  <si>
    <t>hotels en restaurants</t>
  </si>
  <si>
    <t>gezondheidszorg</t>
  </si>
  <si>
    <t>onderwijs</t>
  </si>
  <si>
    <t>kantoren en administraties</t>
  </si>
  <si>
    <t>handel</t>
  </si>
  <si>
    <t>andere diensten</t>
  </si>
  <si>
    <t>industrie (niet ETS)</t>
  </si>
  <si>
    <t>akkerbouw + intensieve veehouderij</t>
  </si>
  <si>
    <t>graasdierhouderij</t>
  </si>
  <si>
    <t>glastuinbouw</t>
  </si>
  <si>
    <t>vollegrondstuinbouw + blijvende teelten</t>
  </si>
  <si>
    <t>bosbouw</t>
  </si>
  <si>
    <t>groenvoorziening</t>
  </si>
  <si>
    <t>MWh</t>
  </si>
  <si>
    <t>lokale elektriciteitsproductie (tabel C)</t>
  </si>
  <si>
    <t>nationale emissiefactor</t>
  </si>
  <si>
    <t>ton/MWh</t>
  </si>
  <si>
    <t>ton</t>
  </si>
  <si>
    <t>CO2 emissies tgv lokale elektriciteitsproductie (tabel C)</t>
  </si>
  <si>
    <t>emissiefactor elektriciteit</t>
  </si>
  <si>
    <t>CO2 emissies tgv lokale warmteproductie (tabel D)</t>
  </si>
  <si>
    <t xml:space="preserve">CO2 emissies tgv geïmporteerde warmteproductie </t>
  </si>
  <si>
    <t>emissiefactor warmte</t>
  </si>
  <si>
    <r>
      <t>1. CH</t>
    </r>
    <r>
      <rPr>
        <b/>
        <vertAlign val="subscript"/>
        <sz val="11"/>
        <color theme="1"/>
        <rFont val="Calibri"/>
        <family val="2"/>
        <scheme val="minor"/>
      </rPr>
      <t>4</t>
    </r>
    <r>
      <rPr>
        <b/>
        <sz val="11"/>
        <color theme="1"/>
        <rFont val="Calibri"/>
        <family val="2"/>
        <scheme val="minor"/>
      </rPr>
      <t xml:space="preserve">-emissiefactoren vertering per diercategorie </t>
    </r>
  </si>
  <si>
    <t>Diercategorieën</t>
  </si>
  <si>
    <t>Bron</t>
  </si>
  <si>
    <t>Runderen</t>
  </si>
  <si>
    <t>slachtkalveren</t>
  </si>
  <si>
    <t>Varkens</t>
  </si>
  <si>
    <t>Paarden &amp; pony's (&gt; 200kg)</t>
  </si>
  <si>
    <t>Ezels (= paarden &lt; 200kg)</t>
  </si>
  <si>
    <r>
      <t>2. CH</t>
    </r>
    <r>
      <rPr>
        <b/>
        <vertAlign val="subscript"/>
        <sz val="11"/>
        <color theme="1"/>
        <rFont val="Calibri"/>
        <family val="2"/>
        <scheme val="minor"/>
      </rPr>
      <t>4</t>
    </r>
    <r>
      <rPr>
        <b/>
        <sz val="11"/>
        <color theme="1"/>
        <rFont val="Calibri"/>
        <family val="2"/>
        <scheme val="minor"/>
      </rPr>
      <t>-emissiefactoren mestopslag per diercategorie</t>
    </r>
  </si>
  <si>
    <t>3. N2O-emissiefactoren mestopslag per diercategorie</t>
  </si>
  <si>
    <t>Diercategorie</t>
  </si>
  <si>
    <t>niet-melkvee</t>
  </si>
  <si>
    <t>Melkvee</t>
  </si>
  <si>
    <t>VMM</t>
  </si>
  <si>
    <t>openbare verlichting</t>
  </si>
  <si>
    <r>
      <t xml:space="preserve">FINAAL ENERGIEVERBRUIK </t>
    </r>
    <r>
      <rPr>
        <b/>
        <sz val="12"/>
        <rFont val="Calibri"/>
        <family val="2"/>
      </rPr>
      <t>[MWh]</t>
    </r>
  </si>
  <si>
    <t>Warmte/ Koude</t>
  </si>
  <si>
    <t>Fossiele brandstoffen</t>
  </si>
  <si>
    <t>Hernieuwbare energie</t>
  </si>
  <si>
    <t>Aardgas</t>
  </si>
  <si>
    <t>Vloeibaar gas</t>
  </si>
  <si>
    <t>Stookolie</t>
  </si>
  <si>
    <t>Diesel</t>
  </si>
  <si>
    <t>Bruinkool</t>
  </si>
  <si>
    <t>Steenkool</t>
  </si>
  <si>
    <t>Andere fossiele brandstoffen</t>
  </si>
  <si>
    <t>Plantaardige oliën</t>
  </si>
  <si>
    <t xml:space="preserve">Bio-brandstof </t>
  </si>
  <si>
    <t>Overige biomassa</t>
  </si>
  <si>
    <t>Zonne-/ thermische energie</t>
  </si>
  <si>
    <t>Geo-thermische energie</t>
  </si>
  <si>
    <t>nvt</t>
  </si>
  <si>
    <t>TOTAAL (MWh)</t>
  </si>
  <si>
    <t>emissies (ton CO2)</t>
  </si>
  <si>
    <t>emissiefactoren  (t/MWh)</t>
  </si>
  <si>
    <t>type energiedrager 2001</t>
  </si>
  <si>
    <t>aantallen</t>
  </si>
  <si>
    <t>% verdeling</t>
  </si>
  <si>
    <t>MWh/m2/jaar</t>
  </si>
  <si>
    <t>zie verder</t>
  </si>
  <si>
    <t>% verdeling (ex stookolie, ex aardgas, ex WP, ex niet gespec)</t>
  </si>
  <si>
    <t>A. Finaal energieverbruik</t>
  </si>
  <si>
    <t>Categorie</t>
  </si>
  <si>
    <t>Gemeentelijke gebouwen en installaties/voorzieningen</t>
  </si>
  <si>
    <t>Tertiaire (niet-gemeentelijke) gebouwen en installaties/voorzieningen</t>
  </si>
  <si>
    <t>Woningen</t>
  </si>
  <si>
    <t>Subtotaal gebouwen, installaties/voorzieningen en bedrijven</t>
  </si>
  <si>
    <t>VERVOER</t>
  </si>
  <si>
    <t>Wagenpark van de stad of gemeente</t>
  </si>
  <si>
    <t xml:space="preserve">Openbaar vervoer </t>
  </si>
  <si>
    <t>Subtotaal vervoer</t>
  </si>
  <si>
    <t>B. Emissies van broeikasgassen</t>
  </si>
  <si>
    <t>Warmte/ koude</t>
  </si>
  <si>
    <t>Steen-kool</t>
  </si>
  <si>
    <t>Andere biomassa</t>
  </si>
  <si>
    <t>Zonne-/thermische energie</t>
  </si>
  <si>
    <t xml:space="preserve"> </t>
  </si>
  <si>
    <t>OVERIGE</t>
  </si>
  <si>
    <t>Afvalbeheer</t>
  </si>
  <si>
    <t>Afvalwaterbeheer</t>
  </si>
  <si>
    <t xml:space="preserve">Vermeld hier de andere emissies in uw stad of gemeente </t>
  </si>
  <si>
    <t>In uw stad of gemeente geproduceerde elektriciteit                                                                  (m.u.v. ETS-installaties, en alle installaties/fabrieken met van &gt; 20 MW)</t>
  </si>
  <si>
    <r>
      <t xml:space="preserve">Plaatselijk opgewekte elektriciteit </t>
    </r>
    <r>
      <rPr>
        <b/>
        <sz val="11"/>
        <rFont val="Calibri"/>
        <family val="2"/>
      </rPr>
      <t>[MWh]</t>
    </r>
  </si>
  <si>
    <r>
      <t xml:space="preserve"> Input energiedrager </t>
    </r>
    <r>
      <rPr>
        <b/>
        <sz val="12"/>
        <rFont val="Calibri"/>
        <family val="2"/>
      </rPr>
      <t>[MWh]</t>
    </r>
  </si>
  <si>
    <r>
      <t>Emissies CO</t>
    </r>
    <r>
      <rPr>
        <b/>
        <vertAlign val="subscript"/>
        <sz val="11"/>
        <rFont val="Calibri"/>
        <family val="2"/>
      </rPr>
      <t>2</t>
    </r>
    <r>
      <rPr>
        <b/>
        <sz val="11"/>
        <rFont val="Calibri"/>
        <family val="2"/>
      </rPr>
      <t xml:space="preserve"> / CO</t>
    </r>
    <r>
      <rPr>
        <b/>
        <vertAlign val="subscript"/>
        <sz val="11"/>
        <rFont val="Calibri"/>
        <family val="2"/>
      </rPr>
      <t>2</t>
    </r>
    <r>
      <rPr>
        <b/>
        <sz val="11"/>
        <rFont val="Calibri"/>
        <family val="2"/>
      </rPr>
      <t xml:space="preserve">-eq </t>
    </r>
    <r>
      <rPr>
        <b/>
        <sz val="11"/>
        <rFont val="Calibri"/>
        <family val="2"/>
      </rPr>
      <t>[t]</t>
    </r>
  </si>
  <si>
    <t>Afval</t>
  </si>
  <si>
    <t>Plantaar-dige olie</t>
  </si>
  <si>
    <t>Andere hernieuw-bare energie</t>
  </si>
  <si>
    <t>overige</t>
  </si>
  <si>
    <t>Windkracht</t>
  </si>
  <si>
    <t>Waterkracht</t>
  </si>
  <si>
    <t>Fotovoltaïsche energie</t>
  </si>
  <si>
    <t>Warmtekrachtkoppeling</t>
  </si>
  <si>
    <t>In uw stad of gemeente geproduceerde warmte/koude</t>
  </si>
  <si>
    <r>
      <t xml:space="preserve">Plaatselijk gegenereerde warmte/koude  </t>
    </r>
    <r>
      <rPr>
        <b/>
        <sz val="11"/>
        <rFont val="Calibri"/>
        <family val="2"/>
      </rPr>
      <t>[MWh]</t>
    </r>
  </si>
  <si>
    <r>
      <t xml:space="preserve">  Input energiedrager </t>
    </r>
    <r>
      <rPr>
        <b/>
        <sz val="12"/>
        <rFont val="Calibri"/>
        <family val="2"/>
      </rPr>
      <t>[MWh]</t>
    </r>
  </si>
  <si>
    <r>
      <t>CO</t>
    </r>
    <r>
      <rPr>
        <b/>
        <vertAlign val="subscript"/>
        <sz val="11"/>
        <rFont val="Calibri"/>
        <family val="2"/>
      </rPr>
      <t>2</t>
    </r>
    <r>
      <rPr>
        <b/>
        <sz val="11"/>
        <rFont val="Calibri"/>
        <family val="2"/>
      </rPr>
      <t xml:space="preserve">-emissiefactoren voor de productie van warmte/koude in </t>
    </r>
    <r>
      <rPr>
        <b/>
        <sz val="11"/>
        <rFont val="Calibri"/>
        <family val="2"/>
      </rPr>
      <t>[t/MWh]</t>
    </r>
  </si>
  <si>
    <t xml:space="preserve">Andere hernieuw-bare energie </t>
  </si>
  <si>
    <t>Stadsverwarmingsinstallatie(s)</t>
  </si>
  <si>
    <t>tertiaire sector totaal</t>
  </si>
  <si>
    <t>REST tertiair</t>
  </si>
  <si>
    <t>TOTAAL tertiaire sector  (MWh)</t>
  </si>
  <si>
    <t>vermogen (default, gem.)</t>
  </si>
  <si>
    <t>kWth</t>
  </si>
  <si>
    <t>gemiddelde productie /kWth (default)</t>
  </si>
  <si>
    <t>kWh/kWth</t>
  </si>
  <si>
    <t>aantal geïnstalleerd</t>
  </si>
  <si>
    <t xml:space="preserve"> afname ele gemeente (MWh)</t>
  </si>
  <si>
    <t>verdeelsleutel gemeente/VL (%)</t>
  </si>
  <si>
    <t>industrie (niet ETS) totaal</t>
  </si>
  <si>
    <t>REST industrie</t>
  </si>
  <si>
    <t>landbouw (energie)</t>
  </si>
  <si>
    <t>landbouw sector totaal</t>
  </si>
  <si>
    <t>TOTAAL landbouwsector  (MWh)</t>
  </si>
  <si>
    <t>CH4 vertering</t>
  </si>
  <si>
    <t>CH4 mestopslag</t>
  </si>
  <si>
    <t>N2O mestopslag</t>
  </si>
  <si>
    <t>N2O bodem</t>
  </si>
  <si>
    <t>TOTAAL industrie  (MWh)</t>
  </si>
  <si>
    <t xml:space="preserve">WKK  </t>
  </si>
  <si>
    <t>TOTAAL</t>
  </si>
  <si>
    <t>groene stroom (niet WKK)</t>
  </si>
  <si>
    <t>voor ingave in SEAP</t>
  </si>
  <si>
    <t>fractie warmte</t>
  </si>
  <si>
    <t>fractie ele</t>
  </si>
  <si>
    <t>WKK  (deel ele)</t>
  </si>
  <si>
    <t>WKK  (deel warmte)</t>
  </si>
  <si>
    <t>waarvan totaal industrie</t>
  </si>
  <si>
    <t>waarvan totaal tertiair</t>
  </si>
  <si>
    <t>waarvan totaal landbouw</t>
  </si>
  <si>
    <t>emissiefactoren (t/MWh)</t>
  </si>
  <si>
    <t>huishoudelijk afval (niet-hernieuwbaar deel)</t>
  </si>
  <si>
    <t>verhouding afname ele gemeente/Vlaanderen (%)</t>
  </si>
  <si>
    <t>Warmte Pomp en Zonneboilers Bestaande Bouw</t>
  </si>
  <si>
    <t>ZB HH</t>
  </si>
  <si>
    <t>ZB NHH</t>
  </si>
  <si>
    <t>WP NHH</t>
  </si>
  <si>
    <t>WP HH</t>
  </si>
  <si>
    <t>Elektrisch Vermogen [kW]2</t>
  </si>
  <si>
    <t>sectorcode</t>
  </si>
  <si>
    <t>hoofdsector</t>
  </si>
  <si>
    <t xml:space="preserve">N2O emissies (ton) </t>
  </si>
  <si>
    <t>CO2 emissies tgv geëxporteerde warmteproductie</t>
  </si>
  <si>
    <t>landbouw (niet energie)</t>
  </si>
  <si>
    <t>EMISSIES [ton per jaar]</t>
  </si>
  <si>
    <t>TOTAAL gebouwen (MWh)</t>
  </si>
  <si>
    <t>TOTAAL openbare verlichting (MWh)</t>
  </si>
  <si>
    <t xml:space="preserve">Particulier en commercieel vervoer  </t>
  </si>
  <si>
    <t>Voertuigtype</t>
  </si>
  <si>
    <t>CNG</t>
  </si>
  <si>
    <t>Electric</t>
  </si>
  <si>
    <t>Petrol</t>
  </si>
  <si>
    <t>Wegtype</t>
  </si>
  <si>
    <t>Brandstoftechnologie</t>
  </si>
  <si>
    <t>Brandstof</t>
  </si>
  <si>
    <t>EnergieConsumptieFactor (PJ per km)</t>
  </si>
  <si>
    <t>Check (100%)</t>
  </si>
  <si>
    <t>Diesel Hybrid CS</t>
  </si>
  <si>
    <t>kg/l</t>
  </si>
  <si>
    <t>GJ/kg</t>
  </si>
  <si>
    <t>diesel</t>
  </si>
  <si>
    <t>biodiesel</t>
  </si>
  <si>
    <t>vol% liter</t>
  </si>
  <si>
    <t>gew% kg</t>
  </si>
  <si>
    <t>J%</t>
  </si>
  <si>
    <t>benzine</t>
  </si>
  <si>
    <t>bioethanol</t>
  </si>
  <si>
    <t xml:space="preserve">gew% kg </t>
  </si>
  <si>
    <t>Eigen vloot</t>
  </si>
  <si>
    <t>Particulier en commercieel vervoer  totaal (PJ)</t>
  </si>
  <si>
    <t>Tram</t>
  </si>
  <si>
    <t>Bus</t>
  </si>
  <si>
    <t>Openbaar vervoer totaal (PJ)</t>
  </si>
  <si>
    <t>Diesel hybride CS</t>
  </si>
  <si>
    <t>Openbaar Vervoer</t>
  </si>
  <si>
    <t>VervoerType</t>
  </si>
  <si>
    <t>Buskilometer_gemeente (km)</t>
  </si>
  <si>
    <t>Tramkilometer_gemeente (km)</t>
  </si>
  <si>
    <t>TOTAAL  (particulier en commercieel) (MWh)</t>
  </si>
  <si>
    <t>TOTAAL  (openbaar vervoer) (MWh)</t>
  </si>
  <si>
    <t>emissies (particulier en commercieel) (ton CO2)</t>
  </si>
  <si>
    <t>emissies (openbaar vervoer) (ton CO2)</t>
  </si>
  <si>
    <t>gemiddeld</t>
  </si>
  <si>
    <t>FINAAL ENERGIEVERBRUIK [MWh]</t>
  </si>
  <si>
    <t>GEBOUWEN, INSTALLATIES/VOORZIENINGEN EN BEDRIJVEN</t>
  </si>
  <si>
    <r>
      <t xml:space="preserve">Aankoop van gecertificeerde groene stroom </t>
    </r>
    <r>
      <rPr>
        <sz val="10"/>
        <rFont val="Arial"/>
        <family val="2"/>
      </rPr>
      <t xml:space="preserve">(indien van toepassing) </t>
    </r>
    <r>
      <rPr>
        <b/>
        <sz val="11"/>
        <rFont val="Arial"/>
        <family val="2"/>
      </rPr>
      <t>[MWh]</t>
    </r>
  </si>
  <si>
    <r>
      <t xml:space="preserve">CO2-emissiefactor voor de aankoop van gecertificeerde groene stroom </t>
    </r>
    <r>
      <rPr>
        <sz val="11"/>
        <rFont val="Arial"/>
        <family val="2"/>
      </rPr>
      <t>(voor LCA-methode)</t>
    </r>
  </si>
  <si>
    <r>
      <t>Emissies van CO</t>
    </r>
    <r>
      <rPr>
        <b/>
        <vertAlign val="subscript"/>
        <sz val="12"/>
        <rFont val="Arial"/>
        <family val="2"/>
      </rPr>
      <t>2</t>
    </r>
    <r>
      <rPr>
        <b/>
        <sz val="12"/>
        <rFont val="Arial"/>
        <family val="2"/>
      </rPr>
      <t xml:space="preserve"> / CO</t>
    </r>
    <r>
      <rPr>
        <b/>
        <vertAlign val="subscript"/>
        <sz val="12"/>
        <rFont val="Arial"/>
        <family val="2"/>
      </rPr>
      <t>2</t>
    </r>
    <r>
      <rPr>
        <b/>
        <sz val="12"/>
        <rFont val="Arial"/>
        <family val="2"/>
      </rPr>
      <t xml:space="preserve"> equivalenten [t]</t>
    </r>
  </si>
  <si>
    <r>
      <t>CO</t>
    </r>
    <r>
      <rPr>
        <b/>
        <vertAlign val="subscript"/>
        <sz val="12"/>
        <rFont val="Arial"/>
        <family val="2"/>
      </rPr>
      <t>2</t>
    </r>
    <r>
      <rPr>
        <b/>
        <sz val="12"/>
        <rFont val="Arial"/>
        <family val="2"/>
      </rPr>
      <t>-emissiefactoren in [t/MWh]</t>
    </r>
  </si>
  <si>
    <r>
      <t>CO</t>
    </r>
    <r>
      <rPr>
        <b/>
        <vertAlign val="subscript"/>
        <sz val="11"/>
        <rFont val="Arial"/>
        <family val="2"/>
      </rPr>
      <t>2</t>
    </r>
    <r>
      <rPr>
        <b/>
        <sz val="11"/>
        <rFont val="Arial"/>
        <family val="2"/>
      </rPr>
      <t>-emissiefactor voor niet plaatselijk geproduceerde elektriciteit [t/MWh]</t>
    </r>
  </si>
  <si>
    <r>
      <t>C. CO</t>
    </r>
    <r>
      <rPr>
        <b/>
        <vertAlign val="subscript"/>
        <sz val="12"/>
        <rFont val="Arial"/>
        <family val="2"/>
      </rPr>
      <t>2</t>
    </r>
    <r>
      <rPr>
        <b/>
        <sz val="12"/>
        <rFont val="Arial"/>
        <family val="2"/>
      </rPr>
      <t>-emissies door plaatselijke elektriciteitsproductie</t>
    </r>
  </si>
  <si>
    <t>Plaatselijk opgewekte elektriciteit [MWh]</t>
  </si>
  <si>
    <t xml:space="preserve"> Input energiedrager [MWh]</t>
  </si>
  <si>
    <r>
      <t xml:space="preserve">Overige
</t>
    </r>
    <r>
      <rPr>
        <b/>
        <i/>
        <sz val="11"/>
        <color indexed="23"/>
        <rFont val="Arial"/>
        <family val="2"/>
      </rPr>
      <t>Gelieve te Specificeren: _________________</t>
    </r>
    <r>
      <rPr>
        <b/>
        <i/>
        <sz val="11"/>
        <rFont val="Arial"/>
        <family val="2"/>
      </rPr>
      <t xml:space="preserve">  </t>
    </r>
    <r>
      <rPr>
        <b/>
        <sz val="11"/>
        <rFont val="Arial"/>
        <family val="2"/>
      </rPr>
      <t xml:space="preserve">                      </t>
    </r>
  </si>
  <si>
    <r>
      <t>D. CO</t>
    </r>
    <r>
      <rPr>
        <b/>
        <vertAlign val="subscript"/>
        <sz val="12"/>
        <rFont val="Arial"/>
        <family val="2"/>
      </rPr>
      <t>2</t>
    </r>
    <r>
      <rPr>
        <b/>
        <sz val="12"/>
        <rFont val="Arial"/>
        <family val="2"/>
      </rPr>
      <t>-emissies door plaatselijke productie van warmte/koude</t>
    </r>
  </si>
  <si>
    <t>Plaatselijk gegenereerde warmte/koude  [MWh]</t>
  </si>
  <si>
    <t xml:space="preserve">  Input energiedrager [MWh]</t>
  </si>
  <si>
    <t>Doel</t>
  </si>
  <si>
    <t>niets wijzigen</t>
  </si>
  <si>
    <t>Contact</t>
  </si>
  <si>
    <t>Algemene opbouw tool</t>
  </si>
  <si>
    <t>OUTPUT--&gt;</t>
  </si>
  <si>
    <t>INPUT--&gt;</t>
  </si>
  <si>
    <t>sheet</t>
  </si>
  <si>
    <t xml:space="preserve">Oranje </t>
  </si>
  <si>
    <t xml:space="preserve">Grijs </t>
  </si>
  <si>
    <t xml:space="preserve">velden die gekoppeld zijn aan sheets met emissiefactoren </t>
  </si>
  <si>
    <t xml:space="preserve">Blauw/paars </t>
  </si>
  <si>
    <t xml:space="preserve">link naar sheets gemeente specifieke cijfers </t>
  </si>
  <si>
    <t xml:space="preserve">Groen </t>
  </si>
  <si>
    <t xml:space="preserve">(sub)totalen  </t>
  </si>
  <si>
    <t xml:space="preserve">Roos/oranje </t>
  </si>
  <si>
    <t>Betekenis kleuren cellen</t>
  </si>
  <si>
    <t>kleur</t>
  </si>
  <si>
    <t>gebruik</t>
  </si>
  <si>
    <t>beschrijving</t>
  </si>
  <si>
    <t>velden die gemeente zelf moet invullen of kan overschrijven</t>
  </si>
  <si>
    <t>Eenheid</t>
  </si>
  <si>
    <t>K. Jespers, K. Aernouts, Y. Dams</t>
  </si>
  <si>
    <t xml:space="preserve">Inventaris duurzame energie in Vlaanderen 2011, DEEL I: hernieuwbare energie
</t>
  </si>
  <si>
    <t>november 2012</t>
  </si>
  <si>
    <t>http://www.emis.vito.be/sites/default/files/pages/1125/2012/Inventaris_duurzame_energie_in_Vlaanderen_2011.pdf</t>
  </si>
  <si>
    <t>Seasonal Perfomance Factor (SPF)</t>
  </si>
  <si>
    <t>Beschrijving sheets INPUT--&gt;</t>
  </si>
  <si>
    <t>Beschrijving sheets OUTPUT--&gt;</t>
  </si>
  <si>
    <t>energieverbruik van eigen organisatie, i.e. vloot</t>
  </si>
  <si>
    <t>Eigen gebouw/installatie</t>
  </si>
  <si>
    <t>informatie over eigen organisatie zelf invullen</t>
  </si>
  <si>
    <r>
      <t>kg CH</t>
    </r>
    <r>
      <rPr>
        <b/>
        <vertAlign val="subscript"/>
        <sz val="11"/>
        <rFont val="Calibri"/>
        <family val="2"/>
        <scheme val="minor"/>
      </rPr>
      <t>4</t>
    </r>
    <r>
      <rPr>
        <b/>
        <sz val="11"/>
        <rFont val="Calibri"/>
        <family val="2"/>
        <scheme val="minor"/>
      </rPr>
      <t xml:space="preserve"> per dier per jaar</t>
    </r>
  </si>
  <si>
    <t>industrie</t>
  </si>
  <si>
    <t>4. CO2-emissies geïmporteerde en geëxporteerde warmte</t>
  </si>
  <si>
    <t>sheet waarin informatie gebruikt wordt:</t>
  </si>
  <si>
    <t>lokale energieproductie</t>
  </si>
  <si>
    <t>EF ele_warmte</t>
  </si>
  <si>
    <t>Bron:</t>
  </si>
  <si>
    <t>Studiedienst van de Vlaamse Regering</t>
  </si>
  <si>
    <t>http://www4.vlaanderen.be/dar/svr/Pages/2011-01-24-studiedag-projecties.aspx</t>
  </si>
  <si>
    <t>Dirk Smets</t>
  </si>
  <si>
    <t>02 / 553 57 35</t>
  </si>
  <si>
    <t>dirk.smets@dar.vlaanderen.be</t>
  </si>
  <si>
    <t>Eandis</t>
  </si>
  <si>
    <t>Sander Van Herzeele</t>
  </si>
  <si>
    <t>09 / 263 64 57</t>
  </si>
  <si>
    <t>Sander.VanHerzeele@eandis.be</t>
  </si>
  <si>
    <t>Infrax</t>
  </si>
  <si>
    <t>toon.lenaerts@infrax.be</t>
  </si>
  <si>
    <t>Toon Lenaerts</t>
  </si>
  <si>
    <t>011 / 72 22 05</t>
  </si>
  <si>
    <t xml:space="preserve">Bron: </t>
  </si>
  <si>
    <t>VREG</t>
  </si>
  <si>
    <t>De Lijn</t>
  </si>
  <si>
    <t>VEA</t>
  </si>
  <si>
    <t>SEE 2001</t>
  </si>
  <si>
    <t>Eigen informatie GS &amp; warmtenet</t>
  </si>
  <si>
    <t xml:space="preserve">CO2 emissies tgv productie van groene stroom </t>
  </si>
  <si>
    <t>seasonal performance factor (SPF)</t>
  </si>
  <si>
    <t>BRONNEN--&gt;</t>
  </si>
  <si>
    <t>Referentie</t>
  </si>
  <si>
    <t>Weblink</t>
  </si>
  <si>
    <t>Contactpersoon</t>
  </si>
  <si>
    <t>Telefoon</t>
  </si>
  <si>
    <t>E-mail</t>
  </si>
  <si>
    <t>Titel publicatie/beschrijving dataset</t>
  </si>
  <si>
    <t>Auteur(s)/dataleverancier(s)</t>
  </si>
  <si>
    <t>Jaar publicatie/aanlevering dataset</t>
  </si>
  <si>
    <t>Aantal premies voor zonnecollectoren en warmtepompen per gemeente, indienjaar en functie</t>
  </si>
  <si>
    <t>http://www.vreg.be/statistieken-groene-stroom</t>
  </si>
  <si>
    <t xml:space="preserve">Socio-economische enquête 2001 </t>
  </si>
  <si>
    <t>2001</t>
  </si>
  <si>
    <t>VITO</t>
  </si>
  <si>
    <t>Vlaams Milieumaatschappij</t>
  </si>
  <si>
    <t>Inge Van Vynckt</t>
  </si>
  <si>
    <t>053 / 72 65 13</t>
  </si>
  <si>
    <t>i.vanvynckt@vmm.be</t>
  </si>
  <si>
    <t>2006 IPCC Guidelines for National Greenhouse Gas Inventories</t>
  </si>
  <si>
    <t>IPCC</t>
  </si>
  <si>
    <t>2006</t>
  </si>
  <si>
    <t>http://www.ipcc-nggip.iges.or.jp/public/2006gl/</t>
  </si>
  <si>
    <t>Intergovernmental Panel on Climate Change</t>
  </si>
  <si>
    <t>Bron: IPCC (2006)</t>
  </si>
  <si>
    <t xml:space="preserve">CO2 (t/MWh) </t>
  </si>
  <si>
    <t>lijst met referenties naar publicaties of gegevensbronnen</t>
  </si>
  <si>
    <t>DATA--&gt;</t>
  </si>
  <si>
    <t>sheets met achterliggende berekeningen per sector</t>
  </si>
  <si>
    <t>BEREKENINGEN PER SECTOR --&gt;</t>
  </si>
  <si>
    <t>Beschrijving sheets DATA--&gt;</t>
  </si>
  <si>
    <t>sheets met gemeentespecifieke data, emissiefactoren (EF), energieconsumptiefactoren (ECF) en Energiebalans Vlaanderen</t>
  </si>
  <si>
    <t>aangekochte groene stroom (MWh)</t>
  </si>
  <si>
    <t>Voertuigkilometers</t>
  </si>
  <si>
    <t>Global Warming Potential (GWP)</t>
  </si>
  <si>
    <r>
      <t>N</t>
    </r>
    <r>
      <rPr>
        <vertAlign val="subscript"/>
        <sz val="11"/>
        <color theme="1"/>
        <rFont val="Calibri"/>
        <family val="2"/>
        <scheme val="minor"/>
      </rPr>
      <t>2</t>
    </r>
    <r>
      <rPr>
        <sz val="11"/>
        <color theme="1"/>
        <rFont val="Calibri"/>
        <family val="2"/>
        <scheme val="minor"/>
      </rPr>
      <t>O</t>
    </r>
  </si>
  <si>
    <r>
      <t>CH</t>
    </r>
    <r>
      <rPr>
        <vertAlign val="subscript"/>
        <sz val="11"/>
        <color theme="1"/>
        <rFont val="Calibri"/>
        <family val="2"/>
        <scheme val="minor"/>
      </rPr>
      <t>4</t>
    </r>
  </si>
  <si>
    <r>
      <t>ton CO</t>
    </r>
    <r>
      <rPr>
        <b/>
        <vertAlign val="subscript"/>
        <sz val="11"/>
        <rFont val="Calibri"/>
        <family val="2"/>
        <scheme val="minor"/>
      </rPr>
      <t>2</t>
    </r>
    <r>
      <rPr>
        <b/>
        <sz val="11"/>
        <rFont val="Calibri"/>
        <family val="2"/>
        <scheme val="minor"/>
      </rPr>
      <t>-equivalenten</t>
    </r>
  </si>
  <si>
    <t>vermogen (gemiddeld)</t>
  </si>
  <si>
    <t>productie /kWth (gemiddeld)</t>
  </si>
  <si>
    <t xml:space="preserve">aantal geïnstalleerd </t>
  </si>
  <si>
    <t>m2 (gemiddeld)</t>
  </si>
  <si>
    <t>productie/m² (gemiddeld)</t>
  </si>
  <si>
    <t>data</t>
  </si>
  <si>
    <t>gemeente specifieke gegevens</t>
  </si>
  <si>
    <t>EF N2O_CH4 landbouw</t>
  </si>
  <si>
    <t>gegevens in deze sheet worden gebruikt in de berekeningen per sector</t>
  </si>
  <si>
    <t>ha_N2O bodem landbouw</t>
  </si>
  <si>
    <t>CH4 en N2O emissies per dier</t>
  </si>
  <si>
    <t>hectare cultuurgrond en bodemgerelateerde N2O-emissies in Vlaanderen</t>
  </si>
  <si>
    <t>GWP N2O_CH4</t>
  </si>
  <si>
    <t>global warming potential (GWP) N2O en CH4</t>
  </si>
  <si>
    <t>EF brandstof</t>
  </si>
  <si>
    <t>in de berekening van de lokale emissiefactoren wordt o.a. gebruik gemaakt van gegevens uit de sheet "eigen informatie GS &amp; warmtenet"</t>
  </si>
  <si>
    <t>ECF transport</t>
  </si>
  <si>
    <t>E Balans VL</t>
  </si>
  <si>
    <r>
      <t>CO</t>
    </r>
    <r>
      <rPr>
        <vertAlign val="subscript"/>
        <sz val="11"/>
        <color theme="1"/>
        <rFont val="Calibri"/>
        <family val="2"/>
        <scheme val="minor"/>
      </rPr>
      <t>2</t>
    </r>
    <r>
      <rPr>
        <sz val="11"/>
        <color theme="1"/>
        <rFont val="Calibri"/>
        <family val="2"/>
        <scheme val="minor"/>
      </rPr>
      <t>-emissiefactoren (EF) per brandstoftype op basis van IPCC 2006 guidelines</t>
    </r>
  </si>
  <si>
    <t>nationale emissiefactor (EF) elektriciteit en berekening lokale emissiefactor elektriciteit (ele) en warmte</t>
  </si>
  <si>
    <t>energieconsumptiefactoren (ECF) personenwagens, lichte en zware vrachtwagens, bus en tram</t>
  </si>
  <si>
    <t xml:space="preserve">velden die berekeningen (verwijzingen) bevatten tussen velden in de betreffende sheet en/of andere sheets </t>
  </si>
  <si>
    <t>deze sheets worden default voorzien van gegevens en vereisen geen input van de gebruiker</t>
  </si>
  <si>
    <t>indien deze sheets niet ingevuld worden, zal in de berekeningen uitgegaan worden van waarde= 0</t>
  </si>
  <si>
    <t>Beschrijving sheets BEREKENINGEN PER SECTOR --&gt;</t>
  </si>
  <si>
    <t>transport</t>
  </si>
  <si>
    <t>berekening energiegerelateerde CO2-uitstoot op basis van energieverbruik en emissiefactor</t>
  </si>
  <si>
    <r>
      <t xml:space="preserve">enkel aankopen door lokale overheid, </t>
    </r>
    <r>
      <rPr>
        <b/>
        <u/>
        <sz val="16"/>
        <color rgb="FF009999"/>
        <rFont val="Calibri"/>
        <family val="2"/>
        <scheme val="minor"/>
      </rPr>
      <t>geen</t>
    </r>
    <r>
      <rPr>
        <b/>
        <sz val="16"/>
        <color rgb="FF009999"/>
        <rFont val="Calibri"/>
        <family val="2"/>
        <scheme val="minor"/>
      </rPr>
      <t xml:space="preserve"> andere eindgebruikers!</t>
    </r>
  </si>
  <si>
    <t>deze sheets worden default voorzien van gegevens uit de INPUT en DATA sheets en vereisen geen input van de gebruiker</t>
  </si>
  <si>
    <t>TOTAAL (MWh) (excl. eigen OV)</t>
  </si>
  <si>
    <t>m² (gemiddeld)</t>
  </si>
  <si>
    <t>productie / m² (gemiddeld)</t>
  </si>
  <si>
    <t>inschatting hoofdverwarming en bijverwarming</t>
  </si>
  <si>
    <t>2. Zonneboiler</t>
  </si>
  <si>
    <t>3. Warmtepomp</t>
  </si>
  <si>
    <t xml:space="preserve">gemiddelde verbruiken </t>
  </si>
  <si>
    <t>1. Zonneboilers</t>
  </si>
  <si>
    <t>2. Warmtepomp</t>
  </si>
  <si>
    <t>1. Berekening emissiefactor elektriciteit</t>
  </si>
  <si>
    <t>2. Berekening emissiefactor warmte</t>
  </si>
  <si>
    <t>1. Verdeelsleutel andere energiedragers</t>
  </si>
  <si>
    <t>correctie voor lokale energieproductie  (WKK en groene stroom (niet-WKK))</t>
  </si>
  <si>
    <t>afnamecijfers uit de sheet "data" worden, indien relevant, gecorrigeerd voor de verbruiken van de eigen openbare verlichting uit sheet "eigen gebouwen &amp; OV"</t>
  </si>
  <si>
    <t>inschatting verbruik andere energiedragers dan elektriciteit en aardgas op basis van verdeelsleutels en Energiebalans Vlaanderen (sheet "E Balans VL"); inschatting zonnethermische en geothermische energie op basis van aantal installaties uit sheet "data" en gemiddelde kengetallen; verbruiken worden, indien relevant gecorrigeerd voor lokale productie van ele en warmte (sheet "lokale energieproductie")</t>
  </si>
  <si>
    <t>(a) berekening energiegerelateerde CO2-uitstoot op basis van energieverbruik en emissiefactor</t>
  </si>
  <si>
    <t>(b) berekening niet energiegerelateerde uitstoot van CH4 (vertering, mestopslag) en N2O (mestopslag, bodem)</t>
  </si>
  <si>
    <t>EMISSIES [ton CO2equivalenten per jaar]</t>
  </si>
  <si>
    <t>Verdeelsleutel andere energiedragers</t>
  </si>
  <si>
    <t>Verdeelsleutel N2O emissies bodem</t>
  </si>
  <si>
    <r>
      <t>inschatting CH</t>
    </r>
    <r>
      <rPr>
        <vertAlign val="subscript"/>
        <sz val="11"/>
        <color theme="1"/>
        <rFont val="Calibri"/>
        <family val="2"/>
        <scheme val="minor"/>
      </rPr>
      <t>4</t>
    </r>
    <r>
      <rPr>
        <sz val="11"/>
        <color theme="1"/>
        <rFont val="Calibri"/>
        <family val="2"/>
        <scheme val="minor"/>
      </rPr>
      <t>-emissies (uit verteringsprocessen en mestopslag) en N</t>
    </r>
    <r>
      <rPr>
        <vertAlign val="subscript"/>
        <sz val="11"/>
        <color theme="1"/>
        <rFont val="Calibri"/>
        <family val="2"/>
        <scheme val="minor"/>
      </rPr>
      <t>2</t>
    </r>
    <r>
      <rPr>
        <sz val="11"/>
        <color theme="1"/>
        <rFont val="Calibri"/>
        <family val="2"/>
        <scheme val="minor"/>
      </rPr>
      <t>O-emissies (uit mestopslag) op basis van het aantal dieren per gemeente uit sheet "data" en een emissiefactor per dier uit sheet “EF N2O_CH4 landbouw”; herschaling  N2O-emissies uit bodem (direct en indirect) op basis van verhouding ha cultuurgrond per gemeente uit sheet “data” en totale ha cultuurgrond in Vlaanderen uit sheet "ha_N2O bodem landbouw"</t>
    </r>
  </si>
  <si>
    <t>Transport - particulier en commercieel vervoer</t>
  </si>
  <si>
    <t>Transport - openbaar vervoer</t>
  </si>
  <si>
    <t xml:space="preserve">1. Verdeelsleutel voertuigkm over voertuigtechnologie </t>
  </si>
  <si>
    <t xml:space="preserve">2. % biobrandstoffen </t>
  </si>
  <si>
    <t>Gemeentelijke openbare verlichting</t>
  </si>
  <si>
    <t>correctie voor eigen gebouwen</t>
  </si>
  <si>
    <t xml:space="preserve">totaal elektriciteitsverbruik (tabel A) </t>
  </si>
  <si>
    <t xml:space="preserve">lokale warmteverbruik (tabel A) </t>
  </si>
  <si>
    <t>Berekeningen met Emotion Road die werden uitgevoerd in het kader van de studie “Ondersteuning bij de ontwikkeling van het Vlaams Klimaatbeleidsplan"</t>
  </si>
  <si>
    <t xml:space="preserve">Cools I., Meynaerts E., Aernouts K., Renders N., Lodewijks P., De Vlieger I., Schoeters K., </t>
  </si>
  <si>
    <t>augustus 2012</t>
  </si>
  <si>
    <t>VITO Emotion Road</t>
  </si>
  <si>
    <t>VITO Energiebalans Vlaanderen</t>
  </si>
  <si>
    <t>VITO Inventaris hernieuwbare energie</t>
  </si>
  <si>
    <t>VITO Inventaris hernieuwbare energie (november 2012)</t>
  </si>
  <si>
    <r>
      <t>op basis van de hectare cultuurgrond worden de bodemgerelateerde N</t>
    </r>
    <r>
      <rPr>
        <vertAlign val="subscript"/>
        <sz val="11"/>
        <color theme="1"/>
        <rFont val="Calibri"/>
        <family val="2"/>
        <scheme val="minor"/>
      </rPr>
      <t>2</t>
    </r>
    <r>
      <rPr>
        <sz val="11"/>
        <color theme="1"/>
        <rFont val="Calibri"/>
        <family val="2"/>
        <scheme val="minor"/>
      </rPr>
      <t xml:space="preserve">O-emissies in Vlaanderen herschaald naar het niveau van de gemeentes </t>
    </r>
  </si>
  <si>
    <r>
      <t>GWP wordt gebruikt voor conversie van N2O en CH4-emissies naar CO</t>
    </r>
    <r>
      <rPr>
        <vertAlign val="subscript"/>
        <sz val="11"/>
        <color theme="1"/>
        <rFont val="Calibri"/>
        <family val="2"/>
        <scheme val="minor"/>
      </rPr>
      <t>2</t>
    </r>
    <r>
      <rPr>
        <sz val="11"/>
        <color theme="1"/>
        <rFont val="Calibri"/>
        <family val="2"/>
        <scheme val="minor"/>
      </rPr>
      <t>-equivalenten</t>
    </r>
  </si>
  <si>
    <t xml:space="preserve">emissiefactoren worden gebruikt om niet-energiegerelateerde emissies van landbouw te berekenen </t>
  </si>
  <si>
    <r>
      <t>emissiefactoren worden gebruikt om brandstofgerelateerde CO</t>
    </r>
    <r>
      <rPr>
        <vertAlign val="subscript"/>
        <sz val="11"/>
        <rFont val="Calibri"/>
        <family val="2"/>
        <scheme val="minor"/>
      </rPr>
      <t>2</t>
    </r>
    <r>
      <rPr>
        <sz val="11"/>
        <rFont val="Calibri"/>
        <family val="2"/>
        <scheme val="minor"/>
      </rPr>
      <t xml:space="preserve"> emissies te berekenen</t>
    </r>
  </si>
  <si>
    <r>
      <t>emissiefactoren worden gebruikt om CO</t>
    </r>
    <r>
      <rPr>
        <vertAlign val="subscript"/>
        <sz val="11"/>
        <rFont val="Calibri"/>
        <family val="2"/>
        <scheme val="minor"/>
      </rPr>
      <t>2</t>
    </r>
    <r>
      <rPr>
        <sz val="11"/>
        <rFont val="Calibri"/>
        <family val="2"/>
        <scheme val="minor"/>
      </rPr>
      <t xml:space="preserve"> emissies gerelateerd aan verbruik elektriciteit en warmte te berekenen</t>
    </r>
  </si>
  <si>
    <t>energieconsumptiefactoren worden gebruikt om het verbruik per voertuig, wegtype en energiedrager te berekenen</t>
  </si>
  <si>
    <t>VITO Energiebalans Vlaanderen (juni 2013)</t>
  </si>
  <si>
    <t>sheets met informatie eigen organisatie, warmtenetten en groene stroom</t>
  </si>
  <si>
    <t>sheets met gemeentespecifieke en generieke gegevens die gebruikt worden in de berekeningen per sector</t>
  </si>
  <si>
    <t>sheets met berekeningen per sector die automatisch worden uitgevoerd op basis van gegevens uit input en data sheets</t>
  </si>
  <si>
    <t>sheets worden automatisch gegenereerd op basis van input sheets en sheets met berekeningen per sector en data</t>
  </si>
  <si>
    <t>indien deze sheets niet worden ingevuld door de gebruiker, wordt in de berekeningen uitgegaan van waarde= 0</t>
  </si>
  <si>
    <r>
      <rPr>
        <b/>
        <u/>
        <sz val="12"/>
        <color theme="0"/>
        <rFont val="Arial"/>
        <family val="2"/>
      </rPr>
      <t>ENKEL</t>
    </r>
    <r>
      <rPr>
        <b/>
        <sz val="12"/>
        <color theme="0"/>
        <rFont val="Arial"/>
        <family val="2"/>
      </rPr>
      <t xml:space="preserve"> DE INPUT SHEETS VEREISEN INPUT VAN DE GEBRUIKER; INFORMATIE IN DE ANDERE SHEETS KAN OVERSCHREVEN WORDEN MAAR MOET </t>
    </r>
    <r>
      <rPr>
        <b/>
        <u/>
        <sz val="12"/>
        <color theme="0"/>
        <rFont val="Arial"/>
        <family val="2"/>
      </rPr>
      <t>NIET</t>
    </r>
  </si>
  <si>
    <t>eigen informatie groene stroom en warmtenetten</t>
  </si>
  <si>
    <t xml:space="preserve">1. Aankopen groene stroom door lokale overheid </t>
  </si>
  <si>
    <t>3. Stadsverwarmingsinstallatie(s)</t>
  </si>
  <si>
    <t xml:space="preserve">5. Warmteleveringen uit warmtenetten per sector </t>
  </si>
  <si>
    <t>TOTAAL eigen vloot (MWh)</t>
  </si>
  <si>
    <t>zowel warmteleveringen uit productie eigen grondgebied als buiten het grondgebied (geïmporteerde warmteproductie)!</t>
  </si>
  <si>
    <t>vloeibaar gas</t>
  </si>
  <si>
    <t>bruinkool</t>
  </si>
  <si>
    <t xml:space="preserve">afval </t>
  </si>
  <si>
    <t>plantaardige olie</t>
  </si>
  <si>
    <t xml:space="preserve">andere biomassa </t>
  </si>
  <si>
    <t xml:space="preserve">andere hernieuwbare energie </t>
  </si>
  <si>
    <t>andere</t>
  </si>
  <si>
    <t>aardgas (MWh)</t>
  </si>
  <si>
    <t xml:space="preserve">2. Afvalverbranding </t>
  </si>
  <si>
    <t>aankoop groene elektriciteit</t>
  </si>
  <si>
    <t xml:space="preserve">openbare verlichting </t>
  </si>
  <si>
    <t xml:space="preserve">correctie voor eigen openbare verlichting </t>
  </si>
  <si>
    <t xml:space="preserve">huishoudens </t>
  </si>
  <si>
    <t xml:space="preserve">overzichtlokale productie eenheden met onderscheid tussen WKK’s en andere (enkel groene stroom) installaties. Ook wind, water, PV en gegevens rond stadsverwarming en afvalverbranding met energierecuperatie. </t>
  </si>
  <si>
    <t>inschatting productie en brandstofverbruik voor lokale eenheden; informatie over stadsverwarming en afvalverbranding met energierecuperatie komt uit sheet "eigen informatie GS &amp; warmtenet"</t>
  </si>
  <si>
    <t>berekening energiegerelateerde CO2-uitstoot voor het commercieel en particulier vervoer enerzijds en het openbaar vervoer anderzijds, op basis van energieverbruik en emissiefactor</t>
  </si>
  <si>
    <t>inschatting energieverbruik op basis van aantal voertuigkilometers per voertuigtechnologie (sheet “data”) en energieconsumptiefactor per voertuigtechnologie (sheet “ECF transport”)</t>
  </si>
  <si>
    <t>correctie voor eigen vloot (MWh)</t>
  </si>
  <si>
    <t>FINAAL ENERGIEVERBRUIK</t>
  </si>
  <si>
    <t xml:space="preserve">FINAAL ENERGIEVERBRUIK </t>
  </si>
  <si>
    <r>
      <t>CO</t>
    </r>
    <r>
      <rPr>
        <b/>
        <vertAlign val="subscript"/>
        <sz val="11"/>
        <rFont val="Calibri"/>
        <family val="2"/>
      </rPr>
      <t>2</t>
    </r>
    <r>
      <rPr>
        <b/>
        <sz val="11"/>
        <rFont val="Calibri"/>
        <family val="2"/>
      </rPr>
      <t>-emissiefactoren voor de elektriciteitsproductie in [t/MWh]</t>
    </r>
  </si>
  <si>
    <t>waterkracht</t>
  </si>
  <si>
    <t>windenergie op land</t>
  </si>
  <si>
    <t>(in MWh)</t>
  </si>
  <si>
    <t>openbaar vervoer</t>
  </si>
  <si>
    <t>eigen gebouwen</t>
  </si>
  <si>
    <t>eigen openbare verlichting</t>
  </si>
  <si>
    <t>eigen vloot</t>
  </si>
  <si>
    <t>totaal</t>
  </si>
  <si>
    <t>emissiefactoren (in ton CO2 per MWh)</t>
  </si>
  <si>
    <t>CO2-emissies</t>
  </si>
  <si>
    <t>(in ton)</t>
  </si>
  <si>
    <t>1. Verdeelsleutel buskilometers over brandstoftechnologie</t>
  </si>
  <si>
    <t>(zelfde % als particulier en commercieel vervoer aangenomen)</t>
  </si>
  <si>
    <t>particulier en commercieel vervoer</t>
  </si>
  <si>
    <t>informatie over eigen organisatie zelf invullen; default waardes zonneboilers en warmtepompen (bron: VITO Inventaris hernieuwbare energie) kunnen vervangen worden door eigen waardes</t>
  </si>
  <si>
    <t>b. Verbruik (MWh)</t>
  </si>
  <si>
    <t>a. Productie (MWh)</t>
  </si>
  <si>
    <t xml:space="preserve">warmte </t>
  </si>
  <si>
    <t xml:space="preserve">elektriciteit </t>
  </si>
  <si>
    <t>CO2 emissies geïmporteerde warmteproductie (ton)</t>
  </si>
  <si>
    <t>CO2 emissies geëxporteerde warmteproductie (ton)</t>
  </si>
  <si>
    <t>huishoudens (MWh)</t>
  </si>
  <si>
    <t>tertiair (MWh)</t>
  </si>
  <si>
    <t>industrie (MWh)</t>
  </si>
  <si>
    <t>landbouw (MWh)</t>
  </si>
  <si>
    <t>overzicht conversiefactoren (GJ =&gt; MWh, liter =&gt; MWh)</t>
  </si>
  <si>
    <t>u kan voor afval uitgaan van een hernieuwbaar deel van 47,78% (andere biomassa) en niet-hernieuwbaar deel van 52,22% (afval)</t>
  </si>
  <si>
    <r>
      <t>kg N</t>
    </r>
    <r>
      <rPr>
        <b/>
        <vertAlign val="subscript"/>
        <sz val="11"/>
        <rFont val="Calibri"/>
        <family val="2"/>
        <scheme val="minor"/>
      </rPr>
      <t>2</t>
    </r>
    <r>
      <rPr>
        <b/>
        <sz val="11"/>
        <rFont val="Calibri"/>
        <family val="2"/>
        <scheme val="minor"/>
      </rPr>
      <t>O per dier per jaar</t>
    </r>
  </si>
  <si>
    <t>hier rijen toevoegen indien relevant….</t>
  </si>
  <si>
    <t>wordt gebruikt in de berekeningen per sector om verdeelsleutels te bepalen, wanneer lokale informatie niet beschikbaar is</t>
  </si>
  <si>
    <t>Eigen gebouwen</t>
  </si>
  <si>
    <t>energieverbruik van eigen organisatie, i.e. gebouwen</t>
  </si>
  <si>
    <t>energieverbruik van eigen organisatie, i.e. openbare verlichting (OV)</t>
  </si>
  <si>
    <t>Eigen openbare verlichting</t>
  </si>
  <si>
    <t>eenheid</t>
  </si>
  <si>
    <t>Lichte stookolie</t>
  </si>
  <si>
    <t>l</t>
  </si>
  <si>
    <t>kg</t>
  </si>
  <si>
    <t>t</t>
  </si>
  <si>
    <t>Zware stookolie</t>
  </si>
  <si>
    <t>m3</t>
  </si>
  <si>
    <t>1. Conversiefactoren brandstoffen verwarming</t>
  </si>
  <si>
    <t>2. Conversiefactoren brandstoffen transport</t>
  </si>
  <si>
    <t>Aardgas (laagcalorisch)</t>
  </si>
  <si>
    <t>Aardgas (hoogcalorisch)</t>
  </si>
  <si>
    <t>brandstof</t>
  </si>
  <si>
    <t>correctie voor aandeel biobrandstof</t>
  </si>
  <si>
    <t>LPG (vloeibaar gas)</t>
  </si>
  <si>
    <t>CNG (aardgas)</t>
  </si>
  <si>
    <t>van eenheid naar MWh</t>
  </si>
  <si>
    <t>Conversiefactoren</t>
  </si>
  <si>
    <t>conversiefactoren voor omrekening naar MWh</t>
  </si>
  <si>
    <t>conversiefactoren kunnen gebruikt worden voor omrekening verbruiken naar MWh</t>
  </si>
  <si>
    <t xml:space="preserve">sheet wordt als waarden gekopieerd in de maatregelen tool </t>
  </si>
  <si>
    <t>input voor tool maatregelen</t>
  </si>
  <si>
    <t>emissiefactoren</t>
  </si>
  <si>
    <t>van eenheid naar GJ 
(onderste verbrandingswaarde)</t>
  </si>
  <si>
    <t>van GJ naar MWh 
(onderste verbrandingswaarde)</t>
  </si>
  <si>
    <t>van eenheid naar MWh 
(onderste verbrandingswaarde)</t>
  </si>
  <si>
    <t>Propaan (vloeibaar gas)</t>
  </si>
  <si>
    <t>Butaan (vloeibaar gas)</t>
  </si>
  <si>
    <t>sheet wordt gekopieerd als waarden in tool maatregelen</t>
  </si>
  <si>
    <t>gebouw x</t>
  </si>
  <si>
    <t>gebouw y</t>
  </si>
  <si>
    <t>gebouw z</t>
  </si>
  <si>
    <t>OF</t>
  </si>
  <si>
    <t>totaal gebouwen</t>
  </si>
  <si>
    <t>informatie over aankoop groene stroom door de lokale overheid, afvalverbranding met energierecuperatie; stadsverwarming,  warmteleveringen uit warmtenetten per sector, CO2-emissies geïmporteerde en geëxporteerde warmte</t>
  </si>
  <si>
    <t>http://aps.vlaanderen.be/lokaal/burgemeestersconvenant/burgemeestersconvenant.htm</t>
  </si>
  <si>
    <t xml:space="preserve">versie </t>
  </si>
  <si>
    <t>datum</t>
  </si>
  <si>
    <t>locatie</t>
  </si>
  <si>
    <t>wijziging</t>
  </si>
  <si>
    <t>correctie lokale energieproductie (PV)</t>
  </si>
  <si>
    <t>productie (MWh)</t>
  </si>
  <si>
    <t>MWh/jaar</t>
  </si>
  <si>
    <t>verhouding ha cultuurgrond gemeente/Vlaanderen (%)</t>
  </si>
  <si>
    <t>cultuurgrond (ha)</t>
  </si>
  <si>
    <t>Totale N2O emissies bodem (direct + indirect) en ha cultuurgrond in Vlaanderen</t>
  </si>
  <si>
    <t>Mestbank</t>
  </si>
  <si>
    <t xml:space="preserve">Bruno Fernagut </t>
  </si>
  <si>
    <t>02/543 72 30</t>
  </si>
  <si>
    <t>bruno.fernagut@vlm.be</t>
  </si>
  <si>
    <t>VLM</t>
  </si>
  <si>
    <t>gemeentestatistieken gegevens mestbank</t>
  </si>
  <si>
    <t>kopie van cel B35 of eigen gegevens</t>
  </si>
  <si>
    <t>kopie van cel B27 of eigen gegevens</t>
  </si>
  <si>
    <t>EF N2O_CH4 landbouw'!A1</t>
  </si>
  <si>
    <t>ha_N2O bodem landbouw'!A1</t>
  </si>
  <si>
    <t>Aantal productie-installaties en geïnstalleerd vermogen per technologie en per gemeente dat in aanmerking komt voor groenestroomcertificaten</t>
  </si>
  <si>
    <t>Landbouw, bosbouw, visserij</t>
  </si>
  <si>
    <t>OVERIGE NIET-ENERGIEGERELATEERD</t>
  </si>
  <si>
    <t>industrie (niet-ETS)</t>
  </si>
  <si>
    <t>niet-ETS</t>
  </si>
  <si>
    <t>ETS</t>
  </si>
  <si>
    <t>Bedrijven</t>
  </si>
  <si>
    <t xml:space="preserve">Bedrijven </t>
  </si>
  <si>
    <t>waarvan hernieuwbaar</t>
  </si>
  <si>
    <t>Emissies CO2 / CO2-eq [t]</t>
  </si>
  <si>
    <t>CO2-emissiefactor in  [t/MWh]</t>
  </si>
  <si>
    <t>fossiele brandstoffen</t>
  </si>
  <si>
    <t>hernieuwbare brandstoffen</t>
  </si>
  <si>
    <t>E Balans VL '!A1</t>
  </si>
  <si>
    <t>Eigen Warmte Pomp en Zonneboilers Bestaande Bouw</t>
  </si>
  <si>
    <t>ZB</t>
  </si>
  <si>
    <t>WP</t>
  </si>
  <si>
    <t>E85</t>
  </si>
  <si>
    <t>Opgelet: kan meer dan 100% zijn omdat elektrische wagens hier boven op komen</t>
  </si>
  <si>
    <t xml:space="preserve">Tool Ondersteuning Burgemeestersconvenant - Deel 1: Emission Inventory </t>
  </si>
  <si>
    <t>COPERT</t>
  </si>
  <si>
    <t>VEA (juni 2015)</t>
  </si>
  <si>
    <t>Mestbank (mei 2015)</t>
  </si>
  <si>
    <t>Aantal productie-installaties en geïnstalleerd vermogen per technologie en per gemeente dat in aanmerking komt voor warmtekrachtcertificaten</t>
  </si>
  <si>
    <t>http://www.vreg.be/nl/warmte-krachtkoppeling</t>
  </si>
  <si>
    <t>landbouw (excl. zeevisserij)</t>
  </si>
  <si>
    <t>transport!B69</t>
  </si>
  <si>
    <t>transport!C38</t>
  </si>
  <si>
    <t>transport!B27</t>
  </si>
  <si>
    <t>ECF transport '!A1</t>
  </si>
  <si>
    <t>transport!D27</t>
  </si>
  <si>
    <t>actualisatie % hybride bussen De Lijn voor 2014 obv communicatie met De Lijn op 31/07/2015</t>
  </si>
  <si>
    <t>2014_01</t>
  </si>
  <si>
    <t>actualisatie %kg biobrandstoffen obv communicatie met VMM op 29/02/2016 - we gebruiken de % uit de EnergieBalans Vlaanderen</t>
  </si>
  <si>
    <t>actualisatie aandeel van brandstoftechnologieën in vkm obv COPERT 4.11.3-doorrekening voor 2014 (communicatie VMM op 26/02/2016)</t>
  </si>
  <si>
    <t>actualisatie surplus elektrische voertuigen (personenwagens en lichte vrachtwagens) (communicatie VMM op 03/03/2016)</t>
  </si>
  <si>
    <t>actualisatie ECF op basis van COPERT 4.11.3-doorrekening voor 2014 (communicatie VMM op 26/02/2016)</t>
  </si>
  <si>
    <t xml:space="preserve">Deze tool werd ontwikkeld door VITO in opdracht van de Vlaamse Overheid, Departement  Leefmilieu, Natuur en Energie  (Afdeling Milieu-, Natuur- en Energiebeleid). Deze tool moet steden en gemeenten in Vlaanderen ondersteunen bij de opmaak van een “baseline inventory” (BEI) en "monitoring emission inventory" (MEI) zoals gedefinieerd onder het Covenant of Mayors (CoM). Het referentiejaar in deze tool is het jaar 2014.
</t>
  </si>
  <si>
    <r>
      <t>sheet met resultaten inventaris voor</t>
    </r>
    <r>
      <rPr>
        <b/>
        <sz val="11"/>
        <color rgb="FF009999"/>
        <rFont val="Calibri"/>
        <family val="2"/>
        <scheme val="minor"/>
      </rPr>
      <t xml:space="preserve"> 2014</t>
    </r>
    <r>
      <rPr>
        <sz val="11"/>
        <color theme="1"/>
        <rFont val="Calibri"/>
        <family val="2"/>
        <scheme val="minor"/>
      </rPr>
      <t>, weergegeven in SEAP template</t>
    </r>
  </si>
  <si>
    <t>Energiebalans Vlaanderen voor 2014 voor sector huishoudens, tertiair, industrie (niet-ETS) en landbouw</t>
  </si>
  <si>
    <t>Bron: CH4 vee-model (VMM, 2016)</t>
  </si>
  <si>
    <t>Bron: N2O-model (VMM, 2016)</t>
  </si>
  <si>
    <t>VMM (2016)</t>
  </si>
  <si>
    <t>actualisatie emissiefactoren per diercategorie (VMM, 2016)</t>
  </si>
  <si>
    <t>actualisatie N2O emissies bodem VL voor het jaar 2014 (VMM, 2016)</t>
  </si>
  <si>
    <t>VITO Energiebalans Vlaanderen (februari 2016)</t>
  </si>
  <si>
    <t>MWh hoofdverw/hh (2014)</t>
  </si>
  <si>
    <t>MWh bijverwarming/hh (2014)</t>
  </si>
  <si>
    <t>aantallen 2014 voor hoofdverwarming</t>
  </si>
  <si>
    <t>aantallen 2014 voor bijverwarming</t>
  </si>
  <si>
    <t>huishoudens!A55</t>
  </si>
  <si>
    <t>actualisatie Energiebalans Vlaanderen niet-ETS (Energiebalans Vlaanderen, februari 2016)</t>
  </si>
  <si>
    <t>Inventaris 2014'!A1</t>
  </si>
  <si>
    <t>SEAP template met inventaris voor 2014</t>
  </si>
  <si>
    <t>SEAP template'!A1</t>
  </si>
  <si>
    <t>Verbruik aardgas en elektriciteit per gemeente en NACE-code voor 2014</t>
  </si>
  <si>
    <t>februari 2016</t>
  </si>
  <si>
    <t>Verbruik aardgas en elektriciteit per gemeente en NACE-code  voor 2014</t>
  </si>
  <si>
    <t>SVR-projecties van de bevolking en de huishoudens voor Vlaamse steden en gemeenten, 2010-2015</t>
  </si>
  <si>
    <t>maart 2016</t>
  </si>
  <si>
    <t xml:space="preserve">Energiebalans Vlaanderen </t>
  </si>
  <si>
    <t xml:space="preserve">emissiefactoren niet-energiegerelateerde emissies CH4 en N2O voor 2014 uit rekenmodellen VMM </t>
  </si>
  <si>
    <t>actualisatie gemiddeld verbruik per huishouden, per energiedrager (hoofdverwarming/bijverwarming) (Energiebalans Vlaanderen, 02/02/2016)</t>
  </si>
  <si>
    <t>Lichte voertuigen</t>
  </si>
  <si>
    <t>Zware voertuigen</t>
  </si>
  <si>
    <t>Lichte voertuigen_Genummerde wegen</t>
  </si>
  <si>
    <t>Zware voertuigen_Genummerde wegen</t>
  </si>
  <si>
    <t>Lichte voertuigen_Niet-genummerde wegen</t>
  </si>
  <si>
    <t>Zware voertuigen_Niet-genummerde wegen</t>
  </si>
  <si>
    <t>Lichte voertuigen_Snelwegen</t>
  </si>
  <si>
    <t>Zware voertuigen_Snelwegen</t>
  </si>
  <si>
    <t>DIESEL</t>
  </si>
  <si>
    <t>DIESEL HYBRID CS</t>
  </si>
  <si>
    <t>DIESEL HYBRID PHEV</t>
  </si>
  <si>
    <t>ELECTRIC</t>
  </si>
  <si>
    <t>FUEL CELL H2</t>
  </si>
  <si>
    <t>PETROL</t>
  </si>
  <si>
    <t>PETROL HYBRID CS</t>
  </si>
  <si>
    <t>PETROL HYBRID PHEV</t>
  </si>
  <si>
    <t>BUS</t>
  </si>
  <si>
    <t>snelwegen</t>
  </si>
  <si>
    <t>Index</t>
  </si>
  <si>
    <t>wijziging methodologie wegtransport: opsplitsing voertuigtypes naar zwaar vervoer en licht vervoer. Impact op volgende tabbladen</t>
  </si>
  <si>
    <t>* tabblad "transport": aanpassing berekeningen naar indeling twee voertuigtypes</t>
  </si>
  <si>
    <t>* tabblad "data": input opgesplitst naar twee voertuigtypes</t>
  </si>
  <si>
    <t>* tabblad "ECF Transport": input opgestplitst naar twee voertuigtypes</t>
  </si>
  <si>
    <t>data!A73</t>
  </si>
  <si>
    <t>ECF transport '!A2</t>
  </si>
  <si>
    <t>transport!A1</t>
  </si>
  <si>
    <t>Mestbank (juni 2016)</t>
  </si>
  <si>
    <t>aantal huishoudens 2014</t>
  </si>
  <si>
    <t>aantal afnemers aardgas 2014</t>
  </si>
  <si>
    <t>inschatting type energiedrager 2014</t>
  </si>
  <si>
    <t>2014_02</t>
  </si>
  <si>
    <t>E Balans VL - aanpassing waarden industrie</t>
  </si>
  <si>
    <t xml:space="preserve">VITO Energiebalans Vlaanderen (februari 2016) </t>
  </si>
  <si>
    <t>Cultuurgrond (ha)</t>
  </si>
  <si>
    <t>Petrol Hybrid</t>
  </si>
  <si>
    <t>transport!A21</t>
  </si>
  <si>
    <t>transport!A28</t>
  </si>
  <si>
    <t>2014_03</t>
  </si>
  <si>
    <t>Caroline De Bosscher</t>
  </si>
  <si>
    <t xml:space="preserve">053 / 72 66 55 </t>
  </si>
  <si>
    <t xml:space="preserve">c.debosscher@vmm.be </t>
  </si>
  <si>
    <t>Wilfrid Degroot</t>
  </si>
  <si>
    <t>015 / 408 791</t>
  </si>
  <si>
    <t>Wilfrid.degroot@delijn.be</t>
  </si>
  <si>
    <t>Marlies Vanhulsel</t>
  </si>
  <si>
    <t>014 / 33 59 52</t>
  </si>
  <si>
    <t>marlies.vanhulsel@vito.be</t>
  </si>
  <si>
    <t>verdeling hybride/diesel aangeleverd door De Lijn</t>
  </si>
  <si>
    <t>november 2016</t>
  </si>
  <si>
    <t>standaardwaardes in COPERT-tool</t>
  </si>
  <si>
    <t>Jaarverslag De Lijn</t>
  </si>
  <si>
    <t>Jaarverslag van De Lijn</t>
  </si>
  <si>
    <t>https://www.vlaanderen.be/nl/publicaties/detail/jaarverslag-de-lijn</t>
  </si>
  <si>
    <t>referentietaak LNE</t>
  </si>
  <si>
    <t>doorrekeningen openbaar vervoer door VITO in kader van referentietaak LNE</t>
  </si>
  <si>
    <t>MOW</t>
  </si>
  <si>
    <t>Departement Mobiliteit en Openbare werken</t>
  </si>
  <si>
    <t xml:space="preserve">Aantal voertuigkm per gemeente en per weg </t>
  </si>
  <si>
    <t>Ynte Vanderhoydonc</t>
  </si>
  <si>
    <t>03 / 224 96 16</t>
  </si>
  <si>
    <t>ynte.vanderhoydonc@mow.vlaanderen.be</t>
  </si>
  <si>
    <t>De Lijn (2015)</t>
  </si>
  <si>
    <t>Kaat Jespers</t>
  </si>
  <si>
    <t>014 / 33 58 48</t>
  </si>
  <si>
    <t>kaat.jespers@vito.be</t>
  </si>
  <si>
    <t>2014_04</t>
  </si>
  <si>
    <t>tabblad industrie: fout in formule C35</t>
  </si>
  <si>
    <t>industrie!C35</t>
  </si>
  <si>
    <t>tabblad SEAP template: switch M33 en N33</t>
  </si>
  <si>
    <t>SEAP template'!M33</t>
  </si>
  <si>
    <t>tabblad openbare verlichting: aanpassing formule cel B8 --&gt; = 0 indien na correctie &lt;0</t>
  </si>
  <si>
    <t>openbare verlichting'!B8</t>
  </si>
  <si>
    <t>tabblad EF ele_warmte: nationale emissiefactor elektriciteit cel B6: 0,208 ---&gt; 0,221 ton CO2 per MWh</t>
  </si>
  <si>
    <t>EF ele_warmte'!A1</t>
  </si>
  <si>
    <t>ton CO2 per MWh</t>
  </si>
  <si>
    <t>https://ec.europa.eu/jrc/en/publication/covenant-mayors-climate-and-energy-default-emission-factors-local-emission-inventories-version-2017</t>
  </si>
  <si>
    <t>JRC</t>
  </si>
  <si>
    <t>Covenant of Mayors for Climate and Energy: default emission factors for local emission inventories - version 2017</t>
  </si>
  <si>
    <t>Brigitte Koffi, Alessandro K. Cerutti, Marlene Duerr, Andreea Iancu, Albana Kona, Greet Janssens-Maenhout</t>
  </si>
  <si>
    <t>tabblad ECF transport: update cijfers obv doorrekening COPERT 4.11.3 door VMM (feb 2017)</t>
  </si>
  <si>
    <t>tabblad transport: update 'Verdeelsleutel voertuigkm over voertuigtechnologie' obv doorrekening COPERT 4.11.3 door VMM (feb 2017)</t>
  </si>
  <si>
    <t>tabblad transport: update '% Biobrandstoffen' obv doorrekening COPERT 4.11.3 door VMM (feb 2017)</t>
  </si>
  <si>
    <t>juni 2018</t>
  </si>
  <si>
    <t>maart 2018</t>
  </si>
  <si>
    <t>K. Jespers</t>
  </si>
  <si>
    <t>totale netto elektriciteitsproductie van PV en windturbines in Vlaanderen</t>
  </si>
  <si>
    <t>Vermogen PV, windturbines en waterkracht per jaar en per gemeente</t>
  </si>
  <si>
    <t>Aantal zonnecollectoren en warmtepompen per gemeente, per indienjaar en per functie uit EPB</t>
  </si>
  <si>
    <t>Ellen Moons</t>
  </si>
  <si>
    <t>02/553 27 52</t>
  </si>
  <si>
    <t>ellen.moons@vea.be</t>
  </si>
  <si>
    <t>Tine Jonckheere</t>
  </si>
  <si>
    <t>09/276 20 84</t>
  </si>
  <si>
    <t>tine.jonckheere@vea.be</t>
  </si>
  <si>
    <t>Lieven Van Lieshout</t>
  </si>
  <si>
    <t>02/553 46 22</t>
  </si>
  <si>
    <t>lieven.vanlieshout@vea.be</t>
  </si>
  <si>
    <t>Heleen Van Hoof</t>
  </si>
  <si>
    <t>02/553 70 95</t>
  </si>
  <si>
    <t>heleen.vanhoof@vea.be</t>
  </si>
  <si>
    <t>aanpassing formule landbouw cel N6 en L6 *(-1)</t>
  </si>
  <si>
    <t>2014_05</t>
  </si>
  <si>
    <t>toevoeging rekenblad betrouwbaarheid</t>
  </si>
  <si>
    <t>BETROUWBAARHEID</t>
  </si>
  <si>
    <t>Verbruik aangeleverd door netbeheerders, vermeerderd met de productie van PV &lt; =10 kWp; herschaling productie PV in Vlaanderen a rato van het geïnstalleerd vermogen</t>
  </si>
  <si>
    <t>warmte geleverd door warmtenet, indien door gemeente zelf ingegeven in de tool</t>
  </si>
  <si>
    <t>Verbruik aangeleverd door distributienetbeheerders; omgerekend van bovenste verbrandingswaarde naar onderste verbrandingswaarde met factor 0,902</t>
  </si>
  <si>
    <t>Verbruik ingeschat op  basis van inschatting aantal huishoudens op vloeibaar gas en gemiddeld verbruik van vloeibaar gas per huishouden; aantal huishoudens op vloeibaar gas wordt ingeschat op basis van economische enquête van 2001, het totaal aantal huishoudens en aantal afnemers voor aardgas</t>
  </si>
  <si>
    <t>Verbruik ingeschat op  basis van inschatting aantal huishoudens op stookolie en gemiddeld verbruik van stookolie per huishouden; aantal huishoudens op stookolie wordt ingeschat op basis van economische enquête van 2001, het totaal aantal huishoudens en aantal afnemers voor aardgas</t>
  </si>
  <si>
    <t>niet van toepassing</t>
  </si>
  <si>
    <t>Verbruik ingeschat op  basis van inschatting aantal huishoudens op steenkool en gemiddeld verbruik van steenkool per huishouden; aantal huishoudens op steenkool wordt ingeschat op basis van economische enquête van 2001, het totaal aantal huishoudens en aantal afnemers voor aardgas</t>
  </si>
  <si>
    <t>geen informatie beschikbaar</t>
  </si>
  <si>
    <t>Verbruik ingeschat op  basis van inschatting aantal huishoudens op hout en gemiddeld verbruik van hout per huishouden; aantal huishoudens op hout wordt ingeschat op basis van economische enquête van 2001, het totaal aantal huishoudens en aantal afnemers voor aardgas</t>
  </si>
  <si>
    <t>Ingeschat op basis van aantal zonneboilers (premies netbeheerders, EPB aangifte) en gemiddelde kengetallen per zonneboiler (m², kWh per m²)</t>
  </si>
  <si>
    <t>Ingeschat op basis van aantal warmtepompen (premies netbeheerders, EPB aangifte) en gemiddelde kengetallen per warmtepomp (kW, kWth per kW)</t>
  </si>
  <si>
    <t>Verbruik aangeleverd door netbeheerders, vermeerderd met lokaal geproduceerde elektriciteit WKK/motoren; lokale productie is ingeschat op basis van geïnstalleerd vermogen, gemiddeld rendement en gemiddeld aantal draaiuren</t>
  </si>
  <si>
    <t>Enkel warmte geleverd door WKK, ingeschat op basis van vermogen WKK en gemiddeld rendement en draaiuren; excl. warmte geleverd door warmtenet, tenzij door gemeente zelf in tool ingegeven</t>
  </si>
  <si>
    <t>Verbruik aangeleverd door distributienetbeheerders; omgerekend van bovenste verbrandingswaarde naar onderste verbrandingswaarde met factor 0,902; verminderd met verbruik aardgas voor lokale productie van elektriciteit en/of warmte</t>
  </si>
  <si>
    <t>Herschaling verbruik vloeibaar gas in Vlaanderen a rato van het elektriciteitsverbruik</t>
  </si>
  <si>
    <t>Herschaling verbruik stookolie in Vlaanderen a rato van het elektriciteitsverbruik; verminderd met verbruik stookolie voor lokale productie van elektriciteit en/of warmte</t>
  </si>
  <si>
    <t>Herschaling verbruik steenkool in Vlaanderen a rato van het elektriciteitsverbruik</t>
  </si>
  <si>
    <t>Inschatting verbruik op basis van vermogen en gemiddeld rendement en draaiuren</t>
  </si>
  <si>
    <t>Herschaling verbruik biomassa in Vlaanderen a rato van het elektriciteitsverbruik; verminderd met verbruik biomassa voor lokale productie van elektriciteit en/of warmte</t>
  </si>
  <si>
    <t>Verbruik aangeleverd door netbeheerders</t>
  </si>
  <si>
    <t>Verbruik aangeleverd door netbeheerders, vermeerderd met lokaal geproduceerde elektriciteit WKK/motoren; lokale productie is ingeschat op basis van geïnstalleerd vermogen, gemiddeld rendement en gemiddeld aantal draaiuren; we nemen aan dat verbruiken aangeleverd door de netbeheerders representatief zijn voor de bedrijven die niet vallen onder het Europees Emission Trading System (ETS)</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</si>
  <si>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</si>
  <si>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</si>
  <si>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</si>
  <si>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</si>
  <si>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voertuigkilometers per voertuigtechnologie en energieconsumptiefactor per voertuigtechnologie; verbruik wordt gecorrigeerd voor aandeel biobrandstof; voertuigkilometers worden ingeschat met het mobiliteitsmodel PROMOVIA dat verkeerstellingen (voornamelijk op snelwegen) herschaald op basis van lokale parameters (bv. werkgelegenheidsgraad); energieconsumptiefactoren komen uit COPERT;  verdeling van de voertuigkilometers per voertuigtechnologie gaat uit van de samenstelling van de Vlaamse vloot</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</si>
  <si>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 verbruik bussen wordt gecorrigeerd voor aandeel biobrandstof</t>
  </si>
  <si>
    <t>Inschatting energieverbruik op basis van het aantal buskilometers per voertuigtechnologie en energieconsumptiefactor per voertuigtechnologie; buskilometers per gemeente, worden gemeten door de Lijn; energieconsumptiefactoren voor bussen komen uit COPERT; verdeling van de voertuigkilometers per voertuigtechnologie gaat uit van de samenstelling van de Vlaamse vloot</t>
  </si>
  <si>
    <t>door gemeente zelf in te geven in de tool</t>
  </si>
  <si>
    <t>Legende</t>
  </si>
  <si>
    <t>het cijfer is afgeleid uit lokale metingen/tellingen;
het cijfer is een nauwkeurige weerspiegeling van de lokale werkelijkheid;
de evolutie van het cijfer over de jaren heen laat toe om de impact van lokale inspanningen op te volgen.</t>
  </si>
  <si>
    <t xml:space="preserve">het cijfer is afgeleid uit een combinatie van lokale metingen/tellingen en niet-lokale (Vlaamse) gegevens/parameters; 
het cijfer is een minder nauwkeurige weerspiegeling van de lokale werkelijkheid;
de evolutie van het cijfer over de jaren heen staat desalniettemin toe een trend af te leiden en deze te koppelen aan lokale inspanningen.
</t>
  </si>
  <si>
    <t xml:space="preserve">het cijfer is afgeleid van niet-lokale (Vlaamse) gegevens/parameters;
het cijfer is geen nauwkeurige weerspiegeling van de lokale werkelijkheid – of hooguit toevallig;
de evolutie van het cijfer over de jaren heen volgt de Vlaamse trend en is niet toe te wijzen aan lokale inspanningen.
</t>
  </si>
  <si>
    <t>Inschatting energieverbruik op basis van het aantal voertuigkilometers per voertuigtechnologie en energieconsumptiefactor per voertuigtechnologie; tramkilometers per provincie worden gemeten door de Lijn en herschaald naar gemeente op basis van lengte tramlijn; buskilometers per gemeente, worden gemeten door de Lijn; energieconsumptiefactoren voor bussen komen uit COPERT; energieconsumptiefactoren voor trams komen van de Lijn; verdeling van de voertuigkilometers per voertuigtechnologie gaat uit van de samenstelling van de Vlaamse vloot</t>
  </si>
  <si>
    <t>Gebouwen, installaties/voorzieningen niet toegekend</t>
  </si>
  <si>
    <t>Vervoer niet toegekend</t>
  </si>
  <si>
    <t>Overige niet toegekend</t>
  </si>
  <si>
    <t>Subtotaal overige</t>
  </si>
  <si>
    <t>waarvan niet-hernieuwbaar</t>
  </si>
  <si>
    <t>Geothermische energie</t>
  </si>
  <si>
    <t>niet toegekend</t>
  </si>
  <si>
    <t>JRC (2017)</t>
  </si>
  <si>
    <t>zonnethermische energie</t>
  </si>
  <si>
    <t>geothermische energie</t>
  </si>
  <si>
    <t>2014_06</t>
  </si>
  <si>
    <t>aanpassing SEAP template voor nieuwe layout --&gt; aanpassing gekoppelde rekenbladen</t>
  </si>
  <si>
    <t>Emissies CO2  [t]</t>
  </si>
  <si>
    <t>Plantaardige olie</t>
  </si>
  <si>
    <t>Zonnethermische energie</t>
  </si>
  <si>
    <t>Andere hernieuwbare energie</t>
  </si>
  <si>
    <t>Hernieuwbare elektriciteitsproductie</t>
  </si>
  <si>
    <t>Fossiele elektriciteitsproductie</t>
  </si>
  <si>
    <r>
      <t>Overige</t>
    </r>
    <r>
      <rPr>
        <b/>
        <i/>
        <sz val="11"/>
        <rFont val="Calibri"/>
        <family val="2"/>
        <scheme val="minor"/>
      </rPr>
      <t xml:space="preserve">  </t>
    </r>
    <r>
      <rPr>
        <b/>
        <sz val="11"/>
        <rFont val="Calibri"/>
        <family val="2"/>
        <scheme val="minor"/>
      </rPr>
      <t xml:space="preserve">                      </t>
    </r>
  </si>
  <si>
    <t xml:space="preserve">emissiefactor elektriciteit (lokaal) </t>
  </si>
  <si>
    <t>[t CO2/MWh]</t>
  </si>
  <si>
    <t>Emissies CO2 [t]</t>
  </si>
  <si>
    <t xml:space="preserve">Andere hernieuwbare energie </t>
  </si>
  <si>
    <t>Hernieuwbare warmteproductie</t>
  </si>
  <si>
    <t>Fossiele warmteproductie</t>
  </si>
  <si>
    <r>
      <t>Overige</t>
    </r>
    <r>
      <rPr>
        <b/>
        <sz val="11"/>
        <rFont val="Calibri"/>
        <family val="2"/>
        <scheme val="minor"/>
      </rPr>
      <t xml:space="preserve">                    </t>
    </r>
  </si>
  <si>
    <t xml:space="preserve">emissiefactor warmte (lokaal) </t>
  </si>
  <si>
    <t>herschaling Vlaamse productie op basis van het aandeel van het totaal gemeentespecifiek vermogen in totaal vermogen Vlaanderen; cijfers aangeleverd door het VEA</t>
  </si>
  <si>
    <t>emissies hernieuwbare energieprodcutie zijn altijd 0 ton aangezien aanname emissiefactor = 0 ton CO2 per MWh productie</t>
  </si>
  <si>
    <t>inschatting op basis van gemeentespecifiek vermogen installaties die WKC ontvangen en generieke productieparameters (draaiuren en rendement)</t>
  </si>
  <si>
    <t>inschatting op basis van gemeentespecifiek vermogen installaties die GSC ontvangen en generieke productieparameters (draaiuren en rendement) (afvalverbranding wordt door de gemeenten zelf in tool ingegeven)</t>
  </si>
  <si>
    <t>berekend op basis van nationale emissiefactor elektriciteit vastgelegd door JRC; gecorrigeerd voor elektriciteitsproductie op het grondgebied van de gemeenten en de aankoop van groene stroom door de gemeente</t>
  </si>
  <si>
    <t>berekend op basis van emissies warmteproductie op het grondgebied van de gemeente; gecorrigeerd voor import/export van warmte</t>
  </si>
  <si>
    <t>2014_07</t>
  </si>
  <si>
    <r>
      <t xml:space="preserve">aanpassing formule EF elektriciteit zodat som hernieuwbare </t>
    </r>
    <r>
      <rPr>
        <b/>
        <sz val="11"/>
        <color theme="1"/>
        <rFont val="Calibri"/>
        <family val="2"/>
        <scheme val="minor"/>
      </rPr>
      <t>en</t>
    </r>
    <r>
      <rPr>
        <sz val="11"/>
        <color theme="1"/>
        <rFont val="Calibri"/>
        <family val="2"/>
        <scheme val="minor"/>
      </rPr>
      <t xml:space="preserve"> niet-hernieuwbare elektriciteitsproductie wordt meegenomen</t>
    </r>
  </si>
  <si>
    <t>EF ele_warmte'!B4</t>
  </si>
  <si>
    <t>aanpassing namen cellen in rekenblad data zodat er geen verwijzing is naar het jaar 2011</t>
  </si>
  <si>
    <t>data!A1</t>
  </si>
  <si>
    <t>verwijderen cijfers voor 2020 in tabblad data</t>
  </si>
  <si>
    <t>2014_08</t>
  </si>
  <si>
    <t>voorjaar 2020</t>
  </si>
  <si>
    <t>Data VMM</t>
  </si>
  <si>
    <t>"fuel sold" - gerapporteerde brandstofverkopen voor wegtransport voor 2018</t>
  </si>
  <si>
    <t>COPERT 5 standaardwaardes</t>
  </si>
  <si>
    <t>COPERT 5.3.0</t>
  </si>
  <si>
    <t>VMM 2020, COPERT 5</t>
  </si>
  <si>
    <t>COPERT doorrekening voor wegtransport voor 2011-2018</t>
  </si>
  <si>
    <t>Data VMM maart 2020</t>
  </si>
  <si>
    <t>tabblad ECF transport: update cijfers obv doorrekening COPERT 5 door VMM (voorjaar 2020)</t>
  </si>
  <si>
    <t>tabblad transport: update 'Verdeelsleutel voertuigkm over voertuigtechnologie' obv doorrekening COPERT 5 door VMM (voorjaar 2020)</t>
  </si>
  <si>
    <t>tabblad transport: update '% Biobrandstoffen' obv doorrekening COPERT 5 door VMM (voorjaar 2020)</t>
  </si>
  <si>
    <t>tabblad conversiefactoren: update o.b.v. COPERT 5-tool</t>
  </si>
  <si>
    <t>Conversiefactoren!A24</t>
  </si>
  <si>
    <t>Bron: VMM 2020, COPERT 5</t>
  </si>
  <si>
    <t>VITO Energiebalans Vlaanderen (februari 2020)</t>
  </si>
  <si>
    <t>gemiddeld verbruik per energiedragerh huishoudens (hoofdverwarming, bijverwarming)</t>
  </si>
  <si>
    <t>huishoudens!B54</t>
  </si>
  <si>
    <t>versie: 2014_08</t>
  </si>
  <si>
    <t>verbruik biomassa andere industrie en papier en uitgeverijen</t>
  </si>
  <si>
    <t>NIET RESIDENTIEEL EPN</t>
  </si>
  <si>
    <t>11030</t>
  </si>
  <si>
    <t>NIEL</t>
  </si>
  <si>
    <t>Paarden&amp;pony's 200 - 600 kg</t>
  </si>
  <si>
    <t>Paarden&amp;pony's &lt; 200 kg</t>
  </si>
  <si>
    <t>Fluvius</t>
  </si>
  <si>
    <t>referentietaak LNE (2017); Jaarverslag De Lijn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</si>
</sst>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1" formatCode="_(* #,##0_);_(* \(#,##0\);_(* &quot;-&quot;_);_(@_)"/>
    <numFmt numFmtId="43" formatCode="_(* #,##0.00_);_(* \(#,##0.00\);_(* &quot;-&quot;??_);_(@_)"/>
    <numFmt numFmtId="164" formatCode="_-* #,##0.00\ _€_-;\-* #,##0.00\ _€_-;_-* &quot;-&quot;??\ _€_-;_-@_-"/>
    <numFmt numFmtId="165" formatCode="_-&quot;£&quot;* #,##0_-;\-&quot;£&quot;* #,##0_-;_-&quot;£&quot;* &quot;-&quot;_-;_-@_-"/>
    <numFmt numFmtId="166" formatCode="_-&quot;£&quot;* #,##0.00_-;\-&quot;£&quot;* #,##0.00_-;_-&quot;£&quot;* &quot;-&quot;??_-;_-@_-"/>
    <numFmt numFmtId="167" formatCode="_ * #,##0.00_ ;_ * \-#,##0.00_ ;_ * &quot;-&quot;??_ ;_ @_ "/>
    <numFmt numFmtId="168" formatCode="#,##0.0"/>
    <numFmt numFmtId="169" formatCode="0.000"/>
    <numFmt numFmtId="170" formatCode="_-* #,##0.00\ [$€]_-;\-* #,##0.00\ [$€]_-;_-* &quot;-&quot;??\ [$€]_-;_-@_-"/>
    <numFmt numFmtId="171" formatCode="0.0"/>
    <numFmt numFmtId="172" formatCode="#,##0.000"/>
    <numFmt numFmtId="173" formatCode="#,##0.000_ ;\-#,##0.000\ "/>
    <numFmt numFmtId="174" formatCode="0.0000"/>
    <numFmt numFmtId="175" formatCode="#,##0.0000"/>
    <numFmt numFmtId="176" formatCode="0.000000"/>
    <numFmt numFmtId="177" formatCode="_-* #,##0.0000\ [$€]_-;\-* #,##0.0000\ [$€]_-;_-* &quot;-&quot;??\ [$€]_-;_-@_-"/>
    <numFmt numFmtId="178" formatCode="#,##0.00_ ;\-#,##0.00\ "/>
    <numFmt numFmtId="179" formatCode="0.0%"/>
    <numFmt numFmtId="180" formatCode="_-* #,##0_-;\-* #,##0_-;_-* &quot;-&quot;??_-;_-@_-"/>
  </numFmts>
  <fonts count="132">
    <font>
      <sz val="11"/>
      <color theme="1"/>
      <name val="Calibri"/>
      <family val="2"/>
      <scheme val="minor"/>
    </font>
    <font>
      <sz val="11"/>
      <name val="Calibri"/>
      <family val="2"/>
    </font>
    <font>
      <sz val="11"/>
      <name val="Calibri"/>
      <family val="2"/>
    </font>
    <font>
      <sz val="11"/>
      <name val="Calibri"/>
      <family val="2"/>
    </font>
    <font>
      <b/>
      <sz val="18"/>
      <color theme="3"/>
      <name val="Cambria"/>
      <family val="2"/>
      <scheme val="major"/>
    </font>
    <font>
      <b/>
      <sz val="15"/>
      <color theme="3"/>
      <name val="Calibri"/>
      <family val="2"/>
      <scheme val="minor"/>
    </font>
    <font>
      <b/>
      <sz val="11"/>
      <color theme="3"/>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2"/>
      <name val="Verdana"/>
      <family val="2"/>
    </font>
    <font>
      <sz val="12"/>
      <name val="Verdana"/>
      <family val="2"/>
    </font>
    <font>
      <sz val="10"/>
      <name val="Arial"/>
      <family val="2"/>
    </font>
    <font>
      <b/>
      <sz val="8"/>
      <name val="Times New Roman"/>
      <family val="1"/>
    </font>
    <font>
      <b/>
      <sz val="8"/>
      <color theme="0" tint="-0.249977111117893"/>
      <name val="Times New Roman"/>
      <family val="1"/>
    </font>
    <font>
      <sz val="8"/>
      <name val="Times New Roman"/>
      <family val="1"/>
    </font>
    <font>
      <b/>
      <sz val="11"/>
      <color theme="0" tint="-0.249977111117893"/>
      <name val="Calibri"/>
      <family val="2"/>
      <scheme val="minor"/>
    </font>
    <font>
      <sz val="11"/>
      <color theme="0" tint="-0.249977111117893"/>
      <name val="Calibri"/>
      <family val="2"/>
      <scheme val="minor"/>
    </font>
    <font>
      <sz val="10"/>
      <color indexed="8"/>
      <name val="Arial"/>
      <family val="2"/>
    </font>
    <font>
      <sz val="11"/>
      <color indexed="8"/>
      <name val="Calibri"/>
      <family val="2"/>
    </font>
    <font>
      <b/>
      <i/>
      <sz val="11"/>
      <color theme="1"/>
      <name val="Calibri"/>
      <family val="2"/>
      <scheme val="minor"/>
    </font>
    <font>
      <b/>
      <sz val="9"/>
      <color indexed="81"/>
      <name val="Tahoma"/>
      <family val="2"/>
    </font>
    <font>
      <sz val="9"/>
      <color indexed="81"/>
      <name val="Tahoma"/>
      <family val="2"/>
    </font>
    <font>
      <b/>
      <vertAlign val="subscript"/>
      <sz val="11"/>
      <color theme="1"/>
      <name val="Calibri"/>
      <family val="2"/>
      <scheme val="minor"/>
    </font>
    <font>
      <b/>
      <sz val="16"/>
      <color rgb="FFFF0000"/>
      <name val="Calibri"/>
      <family val="2"/>
      <scheme val="minor"/>
    </font>
    <font>
      <sz val="16"/>
      <color theme="1"/>
      <name val="Calibri"/>
      <family val="2"/>
      <scheme val="minor"/>
    </font>
    <font>
      <sz val="11"/>
      <name val="Calibri"/>
      <family val="2"/>
      <scheme val="minor"/>
    </font>
    <font>
      <i/>
      <sz val="8"/>
      <color theme="1"/>
      <name val="Calibri"/>
      <family val="2"/>
      <scheme val="minor"/>
    </font>
    <font>
      <b/>
      <sz val="11"/>
      <color theme="0" tint="-0.499984740745262"/>
      <name val="Calibri"/>
      <family val="2"/>
      <scheme val="minor"/>
    </font>
    <font>
      <sz val="9"/>
      <name val="Times New Roman"/>
      <family val="1"/>
    </font>
    <font>
      <sz val="11"/>
      <color indexed="20"/>
      <name val="Calibri"/>
      <family val="2"/>
    </font>
    <font>
      <sz val="8"/>
      <name val="Arial"/>
      <family val="2"/>
    </font>
    <font>
      <b/>
      <sz val="14"/>
      <name val="Times New Roman"/>
      <family val="1"/>
    </font>
    <font>
      <u/>
      <sz val="10"/>
      <color indexed="12"/>
      <name val="Arial"/>
      <family val="2"/>
    </font>
    <font>
      <sz val="11"/>
      <name val="Calibri"/>
      <family val="2"/>
    </font>
    <font>
      <sz val="10"/>
      <name val="Humanst521 Lt BT"/>
    </font>
    <font>
      <sz val="10"/>
      <name val="Times New Roman"/>
      <family val="1"/>
    </font>
    <font>
      <i/>
      <sz val="11"/>
      <name val="Arial"/>
      <family val="2"/>
    </font>
    <font>
      <b/>
      <sz val="24"/>
      <name val="Arial"/>
      <family val="2"/>
    </font>
    <font>
      <b/>
      <sz val="12"/>
      <color indexed="10"/>
      <name val="Arial"/>
      <family val="2"/>
    </font>
    <font>
      <b/>
      <sz val="12"/>
      <name val="Calibri"/>
      <family val="2"/>
    </font>
    <font>
      <b/>
      <sz val="11"/>
      <name val="Calibri"/>
      <family val="2"/>
    </font>
    <font>
      <b/>
      <sz val="11"/>
      <color theme="0"/>
      <name val="Calibri"/>
      <family val="2"/>
      <scheme val="minor"/>
    </font>
    <font>
      <b/>
      <sz val="11"/>
      <color indexed="8"/>
      <name val="Calibri"/>
      <family val="2"/>
    </font>
    <font>
      <b/>
      <i/>
      <sz val="11"/>
      <color indexed="8"/>
      <name val="Calibri"/>
      <family val="2"/>
    </font>
    <font>
      <sz val="10"/>
      <name val="Calibri"/>
      <family val="2"/>
    </font>
    <font>
      <b/>
      <vertAlign val="subscript"/>
      <sz val="11"/>
      <name val="Calibri"/>
      <family val="2"/>
    </font>
    <font>
      <b/>
      <sz val="11"/>
      <name val="Calibri"/>
      <family val="2"/>
      <scheme val="minor"/>
    </font>
    <font>
      <sz val="10"/>
      <color theme="1"/>
      <name val="Calibri"/>
      <family val="2"/>
      <scheme val="minor"/>
    </font>
    <font>
      <sz val="11"/>
      <color theme="0"/>
      <name val="Calibri"/>
      <family val="2"/>
      <scheme val="minor"/>
    </font>
    <font>
      <i/>
      <sz val="11"/>
      <name val="Calibri"/>
      <family val="2"/>
      <scheme val="minor"/>
    </font>
    <font>
      <i/>
      <sz val="11"/>
      <color theme="1"/>
      <name val="Calibri"/>
      <family val="2"/>
      <scheme val="minor"/>
    </font>
    <font>
      <b/>
      <sz val="10"/>
      <name val="Arial"/>
      <family val="2"/>
    </font>
    <font>
      <sz val="10"/>
      <color rgb="FFFF0000"/>
      <name val="Arial"/>
      <family val="2"/>
    </font>
    <font>
      <sz val="10"/>
      <name val="MS Sans Serif"/>
      <family val="2"/>
    </font>
    <font>
      <b/>
      <sz val="12"/>
      <name val="Arial"/>
      <family val="2"/>
    </font>
    <font>
      <sz val="11"/>
      <color indexed="10"/>
      <name val="Arial"/>
      <family val="2"/>
    </font>
    <font>
      <strike/>
      <sz val="10"/>
      <name val="Arial"/>
      <family val="2"/>
    </font>
    <font>
      <sz val="11"/>
      <color theme="1"/>
      <name val="Arial"/>
      <family val="2"/>
    </font>
    <font>
      <i/>
      <sz val="11"/>
      <color indexed="23"/>
      <name val="Arial"/>
      <family val="2"/>
    </font>
    <font>
      <b/>
      <sz val="11"/>
      <name val="Arial"/>
      <family val="2"/>
    </font>
    <font>
      <b/>
      <sz val="12"/>
      <color indexed="9"/>
      <name val="Arial"/>
      <family val="2"/>
    </font>
    <font>
      <sz val="11"/>
      <color indexed="9"/>
      <name val="Arial"/>
      <family val="2"/>
    </font>
    <font>
      <sz val="11"/>
      <name val="Arial"/>
      <family val="2"/>
    </font>
    <font>
      <sz val="9"/>
      <color indexed="17"/>
      <name val="Arial"/>
      <family val="2"/>
    </font>
    <font>
      <sz val="10"/>
      <color indexed="17"/>
      <name val="Arial"/>
      <family val="2"/>
    </font>
    <font>
      <b/>
      <vertAlign val="subscript"/>
      <sz val="12"/>
      <name val="Arial"/>
      <family val="2"/>
    </font>
    <font>
      <b/>
      <i/>
      <sz val="11"/>
      <color indexed="23"/>
      <name val="Arial"/>
      <family val="2"/>
    </font>
    <font>
      <b/>
      <vertAlign val="subscript"/>
      <sz val="11"/>
      <name val="Arial"/>
      <family val="2"/>
    </font>
    <font>
      <sz val="10"/>
      <color indexed="10"/>
      <name val="Arial"/>
      <family val="2"/>
    </font>
    <font>
      <b/>
      <sz val="11"/>
      <color indexed="8"/>
      <name val="Arial"/>
      <family val="2"/>
    </font>
    <font>
      <b/>
      <i/>
      <sz val="11"/>
      <name val="Arial"/>
      <family val="2"/>
    </font>
    <font>
      <b/>
      <sz val="11"/>
      <color indexed="48"/>
      <name val="Arial"/>
      <family val="2"/>
    </font>
    <font>
      <sz val="9"/>
      <name val="Arial"/>
      <family val="2"/>
    </font>
    <font>
      <u/>
      <sz val="11"/>
      <color theme="10"/>
      <name val="Calibri"/>
      <family val="2"/>
    </font>
    <font>
      <b/>
      <u/>
      <sz val="11"/>
      <color theme="1"/>
      <name val="Calibri"/>
      <family val="2"/>
      <scheme val="minor"/>
    </font>
    <font>
      <sz val="8"/>
      <color rgb="FF666699"/>
      <name val="Arial"/>
      <family val="2"/>
    </font>
    <font>
      <b/>
      <sz val="12"/>
      <color theme="0"/>
      <name val="Arial"/>
      <family val="2"/>
    </font>
    <font>
      <sz val="12"/>
      <name val="Arial"/>
      <family val="2"/>
    </font>
    <font>
      <b/>
      <sz val="10"/>
      <color theme="0"/>
      <name val="Arial"/>
      <family val="2"/>
    </font>
    <font>
      <b/>
      <sz val="10"/>
      <color rgb="FF009999"/>
      <name val="Arial"/>
      <family val="2"/>
    </font>
    <font>
      <b/>
      <sz val="12"/>
      <color rgb="FF009999"/>
      <name val="Arial"/>
      <family val="2"/>
    </font>
    <font>
      <sz val="11"/>
      <color rgb="FF009999"/>
      <name val="Calibri"/>
      <family val="2"/>
      <scheme val="minor"/>
    </font>
    <font>
      <b/>
      <sz val="11"/>
      <color rgb="FF009999"/>
      <name val="Calibri"/>
      <family val="2"/>
      <scheme val="minor"/>
    </font>
    <font>
      <b/>
      <sz val="16"/>
      <name val="Arial"/>
      <family val="2"/>
    </font>
    <font>
      <b/>
      <sz val="14"/>
      <color rgb="FF009999"/>
      <name val="Arial"/>
      <family val="2"/>
    </font>
    <font>
      <b/>
      <sz val="15"/>
      <color rgb="FF009999"/>
      <name val="Calibri"/>
      <family val="2"/>
      <scheme val="minor"/>
    </font>
    <font>
      <b/>
      <sz val="18"/>
      <color rgb="FF009999"/>
      <name val="Cambria"/>
      <family val="2"/>
      <scheme val="major"/>
    </font>
    <font>
      <b/>
      <sz val="16"/>
      <color rgb="FF009999"/>
      <name val="Calibri"/>
      <family val="2"/>
      <scheme val="minor"/>
    </font>
    <font>
      <b/>
      <sz val="14"/>
      <color theme="1"/>
      <name val="Calibri"/>
      <family val="2"/>
      <scheme val="minor"/>
    </font>
    <font>
      <i/>
      <sz val="12"/>
      <color theme="1"/>
      <name val="Calibri"/>
      <family val="2"/>
      <scheme val="minor"/>
    </font>
    <font>
      <sz val="24"/>
      <name val="Calibri"/>
      <family val="2"/>
      <scheme val="minor"/>
    </font>
    <font>
      <b/>
      <sz val="15"/>
      <name val="Calibri"/>
      <family val="2"/>
      <scheme val="minor"/>
    </font>
    <font>
      <b/>
      <vertAlign val="subscript"/>
      <sz val="11"/>
      <name val="Calibri"/>
      <family val="2"/>
      <scheme val="minor"/>
    </font>
    <font>
      <vertAlign val="subscript"/>
      <sz val="11"/>
      <color theme="1"/>
      <name val="Calibri"/>
      <family val="2"/>
      <scheme val="minor"/>
    </font>
    <font>
      <b/>
      <u/>
      <sz val="16"/>
      <color rgb="FF009999"/>
      <name val="Calibri"/>
      <family val="2"/>
      <scheme val="minor"/>
    </font>
    <font>
      <b/>
      <i/>
      <sz val="11"/>
      <color rgb="FFFF0000"/>
      <name val="Calibri"/>
      <family val="2"/>
      <scheme val="minor"/>
    </font>
    <font>
      <b/>
      <sz val="11"/>
      <color rgb="FFFF0000"/>
      <name val="Calibri"/>
      <family val="2"/>
    </font>
    <font>
      <b/>
      <sz val="11"/>
      <color rgb="FFFF0000"/>
      <name val="Calibri"/>
      <family val="2"/>
      <scheme val="minor"/>
    </font>
    <font>
      <vertAlign val="subscript"/>
      <sz val="11"/>
      <name val="Calibri"/>
      <family val="2"/>
      <scheme val="minor"/>
    </font>
    <font>
      <b/>
      <u/>
      <sz val="12"/>
      <color theme="0"/>
      <name val="Arial"/>
      <family val="2"/>
    </font>
    <font>
      <sz val="11"/>
      <color indexed="48"/>
      <name val="Arial"/>
      <family val="2"/>
    </font>
    <font>
      <sz val="11"/>
      <color rgb="FFFF0000"/>
      <name val="Arial"/>
      <family val="2"/>
    </font>
    <font>
      <sz val="11"/>
      <color theme="0" tint="-0.34998626667073579"/>
      <name val="Calibri"/>
      <family val="2"/>
    </font>
    <font>
      <sz val="11"/>
      <color theme="0" tint="-0.34998626667073579"/>
      <name val="Calibri"/>
      <family val="2"/>
      <scheme val="minor"/>
    </font>
    <font>
      <sz val="11"/>
      <color rgb="FF1F497D"/>
      <name val="Calibri"/>
      <family val="2"/>
      <scheme val="minor"/>
    </font>
    <font>
      <u/>
      <sz val="11"/>
      <name val="Calibri"/>
      <family val="2"/>
    </font>
    <font>
      <u/>
      <sz val="11"/>
      <color theme="0" tint="-0.249977111117893"/>
      <name val="Calibri"/>
      <family val="2"/>
    </font>
    <font>
      <sz val="10"/>
      <color theme="1"/>
      <name val="Arial"/>
      <family val="2"/>
    </font>
    <font>
      <b/>
      <sz val="13"/>
      <color theme="3"/>
      <name val="Arial"/>
      <family val="2"/>
    </font>
    <font>
      <sz val="10"/>
      <color rgb="FF9C6500"/>
      <name val="Arial"/>
      <family val="2"/>
    </font>
    <font>
      <b/>
      <sz val="16"/>
      <name val="Calibri"/>
      <family val="2"/>
    </font>
    <font>
      <sz val="16"/>
      <name val="Calibri"/>
      <family val="2"/>
      <scheme val="minor"/>
    </font>
    <font>
      <b/>
      <sz val="16"/>
      <color theme="1"/>
      <name val="Calibri"/>
      <family val="2"/>
      <scheme val="minor"/>
    </font>
    <font>
      <sz val="12"/>
      <color theme="1"/>
      <name val="Calibri"/>
      <family val="2"/>
      <scheme val="minor"/>
    </font>
    <font>
      <b/>
      <sz val="12"/>
      <name val="Calibri"/>
      <family val="2"/>
      <scheme val="minor"/>
    </font>
    <font>
      <b/>
      <sz val="11"/>
      <color indexed="8"/>
      <name val="Calibri"/>
      <family val="2"/>
      <scheme val="minor"/>
    </font>
    <font>
      <sz val="11"/>
      <color indexed="8"/>
      <name val="Calibri"/>
      <family val="2"/>
      <scheme val="minor"/>
    </font>
    <font>
      <b/>
      <i/>
      <sz val="11"/>
      <name val="Calibri"/>
      <family val="2"/>
      <scheme val="minor"/>
    </font>
    <font>
      <b/>
      <sz val="11"/>
      <color indexed="48"/>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rgb="FF9C6500"/>
      <name val="Calibri"/>
      <family val="2"/>
      <scheme val="minor"/>
    </font>
    <font>
      <b/>
      <sz val="9"/>
      <name val="Times New Roman"/>
      <family val="1"/>
    </font>
    <font>
      <b/>
      <sz val="12"/>
      <name val="Times New Roman"/>
      <family val="1"/>
    </font>
    <font>
      <sz val="8"/>
      <name val="Helvetica"/>
    </font>
  </fonts>
  <fills count="63">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indexed="42"/>
        <bgColor indexed="64"/>
      </patternFill>
    </fill>
    <fill>
      <patternFill patternType="solid">
        <fgColor indexed="44"/>
        <bgColor indexed="64"/>
      </patternFill>
    </fill>
    <fill>
      <patternFill patternType="solid">
        <fgColor indexed="45"/>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9"/>
      </patternFill>
    </fill>
    <fill>
      <patternFill patternType="solid">
        <fgColor indexed="49"/>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indexed="56"/>
        <bgColor indexed="64"/>
      </patternFill>
    </fill>
    <fill>
      <patternFill patternType="solid">
        <fgColor indexed="50"/>
        <bgColor indexed="64"/>
      </patternFill>
    </fill>
    <fill>
      <patternFill patternType="solid">
        <fgColor indexed="9"/>
        <bgColor indexed="64"/>
      </patternFill>
    </fill>
    <fill>
      <patternFill patternType="solid">
        <fgColor indexed="22"/>
        <bgColor indexed="64"/>
      </patternFill>
    </fill>
    <fill>
      <patternFill patternType="solid">
        <fgColor theme="5"/>
        <bgColor theme="5"/>
      </patternFill>
    </fill>
    <fill>
      <patternFill patternType="solid">
        <fgColor rgb="FF33CCCC"/>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rgb="FFFFEB9C"/>
      </patternFill>
    </fill>
    <fill>
      <patternFill patternType="solid">
        <fgColor theme="4" tint="0.79998168889431442"/>
        <bgColor indexed="65"/>
      </patternFill>
    </fill>
    <fill>
      <patternFill patternType="solid">
        <fgColor theme="9"/>
        <bgColor indexed="64"/>
      </patternFill>
    </fill>
    <fill>
      <patternFill patternType="solid">
        <fgColor theme="6"/>
        <bgColor indexed="64"/>
      </patternFill>
    </fill>
    <fill>
      <patternFill patternType="solid">
        <fgColor theme="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3"/>
        <bgColor indexed="64"/>
      </patternFill>
    </fill>
    <fill>
      <patternFill patternType="solid">
        <fgColor indexed="55"/>
        <bgColor indexed="64"/>
      </patternFill>
    </fill>
    <fill>
      <patternFill patternType="darkTrellis"/>
    </fill>
  </fills>
  <borders count="221">
    <border>
      <left/>
      <right/>
      <top/>
      <bottom/>
      <diagonal/>
    </border>
    <border>
      <left/>
      <right/>
      <top/>
      <bottom style="thick">
        <color theme="4"/>
      </bottom>
      <diagonal/>
    </border>
    <border>
      <left/>
      <right/>
      <top/>
      <bottom style="medium">
        <color theme="4" tint="0.39997558519241921"/>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hair">
        <color indexed="22"/>
      </left>
      <right style="hair">
        <color indexed="22"/>
      </right>
      <top style="hair">
        <color indexed="22"/>
      </top>
      <bottom style="hair">
        <color indexed="22"/>
      </bottom>
      <diagonal/>
    </border>
    <border>
      <left/>
      <right/>
      <top style="thin">
        <color indexed="8"/>
      </top>
      <bottom style="thin">
        <color indexed="8"/>
      </bottom>
      <diagonal/>
    </border>
    <border>
      <left style="double">
        <color indexed="64"/>
      </left>
      <right/>
      <top style="double">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style="thick">
        <color indexed="64"/>
      </bottom>
      <diagonal/>
    </border>
    <border>
      <left style="thick">
        <color indexed="64"/>
      </left>
      <right style="thick">
        <color indexed="64"/>
      </right>
      <top/>
      <bottom/>
      <diagonal/>
    </border>
    <border>
      <left style="thick">
        <color indexed="64"/>
      </left>
      <right style="thin">
        <color indexed="64"/>
      </right>
      <top/>
      <bottom/>
      <diagonal/>
    </border>
    <border>
      <left/>
      <right style="thick">
        <color indexed="64"/>
      </right>
      <top/>
      <bottom style="thin">
        <color indexed="64"/>
      </bottom>
      <diagonal/>
    </border>
    <border>
      <left/>
      <right style="thick">
        <color indexed="64"/>
      </right>
      <top/>
      <bottom/>
      <diagonal/>
    </border>
    <border>
      <left style="thick">
        <color indexed="64"/>
      </left>
      <right style="thick">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top/>
      <bottom style="medium">
        <color indexed="64"/>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diagonal/>
    </border>
    <border>
      <left style="thick">
        <color indexed="64"/>
      </left>
      <right/>
      <top style="medium">
        <color indexed="64"/>
      </top>
      <bottom/>
      <diagonal/>
    </border>
    <border>
      <left/>
      <right/>
      <top style="medium">
        <color indexed="64"/>
      </top>
      <bottom/>
      <diagonal/>
    </border>
    <border>
      <left/>
      <right style="thick">
        <color indexed="64"/>
      </right>
      <top style="medium">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ck">
        <color indexed="64"/>
      </bottom>
      <diagonal/>
    </border>
    <border>
      <left/>
      <right/>
      <top style="thick">
        <color indexed="64"/>
      </top>
      <bottom/>
      <diagonal/>
    </border>
    <border>
      <left style="thick">
        <color indexed="64"/>
      </left>
      <right style="thick">
        <color indexed="64"/>
      </right>
      <top style="thick">
        <color indexed="64"/>
      </top>
      <bottom style="thick">
        <color indexed="64"/>
      </bottom>
      <diagonal/>
    </border>
    <border>
      <left style="thin">
        <color indexed="64"/>
      </left>
      <right/>
      <top style="thin">
        <color indexed="64"/>
      </top>
      <bottom style="thick">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ck">
        <color indexed="64"/>
      </right>
      <top style="medium">
        <color indexed="64"/>
      </top>
      <bottom/>
      <diagonal/>
    </border>
    <border>
      <left style="thick">
        <color indexed="64"/>
      </left>
      <right style="thin">
        <color indexed="64"/>
      </right>
      <top style="medium">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right style="thin">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thick">
        <color indexed="64"/>
      </bottom>
      <diagonal/>
    </border>
    <border>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thick">
        <color indexed="64"/>
      </right>
      <top/>
      <bottom style="thick">
        <color indexed="64"/>
      </bottom>
      <diagonal/>
    </border>
    <border>
      <left style="thick">
        <color indexed="64"/>
      </left>
      <right style="thick">
        <color indexed="64"/>
      </right>
      <top/>
      <bottom style="thin">
        <color indexed="64"/>
      </bottom>
      <diagonal/>
    </border>
    <border>
      <left/>
      <right style="medium">
        <color indexed="64"/>
      </right>
      <top style="thick">
        <color indexed="64"/>
      </top>
      <bottom/>
      <diagonal/>
    </border>
    <border>
      <left style="medium">
        <color indexed="64"/>
      </left>
      <right/>
      <top style="thick">
        <color indexed="64"/>
      </top>
      <bottom/>
      <diagonal/>
    </border>
    <border>
      <left/>
      <right style="medium">
        <color indexed="64"/>
      </right>
      <top/>
      <bottom/>
      <diagonal/>
    </border>
    <border>
      <left style="thick">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thin">
        <color indexed="64"/>
      </left>
      <right style="thick">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n">
        <color indexed="64"/>
      </left>
      <right style="medium">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style="thick">
        <color indexed="64"/>
      </left>
      <right style="medium">
        <color indexed="64"/>
      </right>
      <top style="thin">
        <color indexed="64"/>
      </top>
      <bottom style="thin">
        <color indexed="64"/>
      </bottom>
      <diagonal/>
    </border>
    <border>
      <left style="thick">
        <color indexed="64"/>
      </left>
      <right style="medium">
        <color indexed="64"/>
      </right>
      <top style="medium">
        <color indexed="64"/>
      </top>
      <bottom/>
      <diagonal/>
    </border>
    <border>
      <left style="medium">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style="thin">
        <color rgb="FF33CCCC"/>
      </top>
      <bottom/>
      <diagonal/>
    </border>
    <border>
      <left/>
      <right/>
      <top/>
      <bottom style="thin">
        <color rgb="FF33CCCC"/>
      </bottom>
      <diagonal/>
    </border>
    <border>
      <left style="medium">
        <color indexed="64"/>
      </left>
      <right/>
      <top style="thin">
        <color rgb="FF33CCCC"/>
      </top>
      <bottom/>
      <diagonal/>
    </border>
    <border>
      <left/>
      <right style="medium">
        <color indexed="64"/>
      </right>
      <top style="thin">
        <color rgb="FF33CCCC"/>
      </top>
      <bottom/>
      <diagonal/>
    </border>
    <border>
      <left style="medium">
        <color indexed="64"/>
      </left>
      <right/>
      <top/>
      <bottom style="thin">
        <color rgb="FF33CCCC"/>
      </bottom>
      <diagonal/>
    </border>
    <border>
      <left/>
      <right style="medium">
        <color indexed="64"/>
      </right>
      <top/>
      <bottom style="thin">
        <color rgb="FF33CCCC"/>
      </bottom>
      <diagonal/>
    </border>
    <border>
      <left/>
      <right/>
      <top style="thick">
        <color rgb="FF33CCCC"/>
      </top>
      <bottom/>
      <diagonal/>
    </border>
    <border>
      <left/>
      <right/>
      <top style="thick">
        <color rgb="FF33CCCC"/>
      </top>
      <bottom style="medium">
        <color rgb="FF33CCCC"/>
      </bottom>
      <diagonal/>
    </border>
    <border>
      <left/>
      <right style="medium">
        <color indexed="64"/>
      </right>
      <top/>
      <bottom style="thin">
        <color rgb="FF009999"/>
      </bottom>
      <diagonal/>
    </border>
    <border>
      <left style="medium">
        <color indexed="64"/>
      </left>
      <right/>
      <top/>
      <bottom style="thin">
        <color rgb="FF009999"/>
      </bottom>
      <diagonal/>
    </border>
    <border>
      <left style="medium">
        <color indexed="64"/>
      </left>
      <right style="medium">
        <color indexed="64"/>
      </right>
      <top style="medium">
        <color indexed="64"/>
      </top>
      <bottom style="medium">
        <color indexed="64"/>
      </bottom>
      <diagonal/>
    </border>
    <border>
      <left/>
      <right/>
      <top/>
      <bottom style="thin">
        <color rgb="FF009999"/>
      </bottom>
      <diagonal/>
    </border>
    <border>
      <left style="medium">
        <color theme="1"/>
      </left>
      <right/>
      <top style="thick">
        <color rgb="FF33CCCC"/>
      </top>
      <bottom style="medium">
        <color theme="1"/>
      </bottom>
      <diagonal/>
    </border>
    <border>
      <left/>
      <right/>
      <top style="thick">
        <color rgb="FF33CCCC"/>
      </top>
      <bottom style="medium">
        <color theme="1"/>
      </bottom>
      <diagonal/>
    </border>
    <border>
      <left style="medium">
        <color auto="1"/>
      </left>
      <right/>
      <top style="thick">
        <color rgb="FF33CCCC"/>
      </top>
      <bottom style="medium">
        <color auto="1"/>
      </bottom>
      <diagonal/>
    </border>
    <border>
      <left/>
      <right/>
      <top style="thick">
        <color rgb="FF33CCCC"/>
      </top>
      <bottom style="medium">
        <color auto="1"/>
      </bottom>
      <diagonal/>
    </border>
    <border>
      <left/>
      <right style="medium">
        <color auto="1"/>
      </right>
      <top style="thick">
        <color rgb="FF33CCCC"/>
      </top>
      <bottom style="medium">
        <color auto="1"/>
      </bottom>
      <diagonal/>
    </border>
    <border>
      <left style="medium">
        <color auto="1"/>
      </left>
      <right/>
      <top style="thick">
        <color rgb="FF33CCCC"/>
      </top>
      <bottom style="medium">
        <color rgb="FF33CCCC"/>
      </bottom>
      <diagonal/>
    </border>
    <border>
      <left/>
      <right style="medium">
        <color auto="1"/>
      </right>
      <top style="thick">
        <color rgb="FF33CCCC"/>
      </top>
      <bottom style="medium">
        <color rgb="FF33CCCC"/>
      </bottom>
      <diagonal/>
    </border>
    <border>
      <left style="medium">
        <color auto="1"/>
      </left>
      <right/>
      <top style="thick">
        <color rgb="FF33CCCC"/>
      </top>
      <bottom/>
      <diagonal/>
    </border>
    <border>
      <left/>
      <right style="medium">
        <color auto="1"/>
      </right>
      <top style="thick">
        <color rgb="FF33CCCC"/>
      </top>
      <bottom/>
      <diagonal/>
    </border>
    <border>
      <left/>
      <right style="medium">
        <color indexed="64"/>
      </right>
      <top style="thick">
        <color rgb="FF33CCCC"/>
      </top>
      <bottom style="medium">
        <color theme="1"/>
      </bottom>
      <diagonal/>
    </border>
    <border>
      <left/>
      <right style="medium">
        <color theme="1"/>
      </right>
      <top style="thin">
        <color rgb="FF009999"/>
      </top>
      <bottom/>
      <diagonal/>
    </border>
    <border>
      <left/>
      <right style="medium">
        <color auto="1"/>
      </right>
      <top style="thin">
        <color rgb="FF009999"/>
      </top>
      <bottom/>
      <diagonal/>
    </border>
    <border>
      <left style="thin">
        <color indexed="64"/>
      </left>
      <right/>
      <top/>
      <bottom style="thin">
        <color rgb="FF33CCCC"/>
      </bottom>
      <diagonal/>
    </border>
    <border>
      <left/>
      <right style="thin">
        <color indexed="64"/>
      </right>
      <top/>
      <bottom style="thin">
        <color rgb="FF33CCCC"/>
      </bottom>
      <diagonal/>
    </border>
    <border>
      <left style="medium">
        <color indexed="64"/>
      </left>
      <right style="thin">
        <color rgb="FF009999"/>
      </right>
      <top/>
      <bottom style="medium">
        <color indexed="64"/>
      </bottom>
      <diagonal/>
    </border>
    <border>
      <left style="medium">
        <color indexed="64"/>
      </left>
      <right/>
      <top style="medium">
        <color indexed="64"/>
      </top>
      <bottom style="thin">
        <color rgb="FF33CCCC"/>
      </bottom>
      <diagonal/>
    </border>
    <border>
      <left/>
      <right/>
      <top style="medium">
        <color indexed="64"/>
      </top>
      <bottom style="thin">
        <color rgb="FF33CCCC"/>
      </bottom>
      <diagonal/>
    </border>
    <border>
      <left/>
      <right style="medium">
        <color indexed="64"/>
      </right>
      <top style="medium">
        <color indexed="64"/>
      </top>
      <bottom style="thin">
        <color rgb="FF33CCCC"/>
      </bottom>
      <diagonal/>
    </border>
    <border>
      <left style="medium">
        <color indexed="64"/>
      </left>
      <right/>
      <top style="thin">
        <color rgb="FF009999"/>
      </top>
      <bottom style="medium">
        <color indexed="64"/>
      </bottom>
      <diagonal/>
    </border>
    <border>
      <left/>
      <right/>
      <top style="thin">
        <color rgb="FF009999"/>
      </top>
      <bottom style="medium">
        <color indexed="64"/>
      </bottom>
      <diagonal/>
    </border>
    <border>
      <left/>
      <right style="medium">
        <color indexed="64"/>
      </right>
      <top style="thin">
        <color rgb="FF009999"/>
      </top>
      <bottom style="medium">
        <color indexed="64"/>
      </bottom>
      <diagonal/>
    </border>
    <border>
      <left/>
      <right/>
      <top style="thin">
        <color rgb="FF009999"/>
      </top>
      <bottom/>
      <diagonal/>
    </border>
    <border>
      <left style="thin">
        <color indexed="64"/>
      </left>
      <right/>
      <top style="thin">
        <color rgb="FF009999"/>
      </top>
      <bottom style="thin">
        <color rgb="FF009999"/>
      </bottom>
      <diagonal/>
    </border>
    <border>
      <left/>
      <right/>
      <top style="thin">
        <color rgb="FF009999"/>
      </top>
      <bottom style="thin">
        <color rgb="FF009999"/>
      </bottom>
      <diagonal/>
    </border>
    <border>
      <left style="thin">
        <color indexed="64"/>
      </left>
      <right style="thin">
        <color indexed="64"/>
      </right>
      <top style="thin">
        <color rgb="FF009999"/>
      </top>
      <bottom style="thin">
        <color rgb="FF009999"/>
      </bottom>
      <diagonal/>
    </border>
    <border>
      <left style="thin">
        <color indexed="64"/>
      </left>
      <right/>
      <top style="thin">
        <color rgb="FF009999"/>
      </top>
      <bottom/>
      <diagonal/>
    </border>
    <border>
      <left style="thin">
        <color indexed="64"/>
      </left>
      <right style="thin">
        <color indexed="64"/>
      </right>
      <top style="thin">
        <color rgb="FF009999"/>
      </top>
      <bottom/>
      <diagonal/>
    </border>
    <border>
      <left style="thin">
        <color indexed="64"/>
      </left>
      <right/>
      <top/>
      <bottom style="thin">
        <color rgb="FF009999"/>
      </bottom>
      <diagonal/>
    </border>
    <border>
      <left style="thin">
        <color indexed="64"/>
      </left>
      <right style="thin">
        <color indexed="64"/>
      </right>
      <top/>
      <bottom style="thin">
        <color rgb="FF009999"/>
      </bottom>
      <diagonal/>
    </border>
    <border>
      <left/>
      <right style="thin">
        <color indexed="64"/>
      </right>
      <top/>
      <bottom style="thin">
        <color rgb="FF009999"/>
      </bottom>
      <diagonal/>
    </border>
    <border>
      <left style="thin">
        <color auto="1"/>
      </left>
      <right/>
      <top/>
      <bottom/>
      <diagonal/>
    </border>
    <border>
      <left/>
      <right style="thin">
        <color theme="1"/>
      </right>
      <top style="thin">
        <color rgb="FF009999"/>
      </top>
      <bottom/>
      <diagonal/>
    </border>
    <border>
      <left style="thin">
        <color indexed="64"/>
      </left>
      <right style="thin">
        <color indexed="64"/>
      </right>
      <top style="medium">
        <color indexed="64"/>
      </top>
      <bottom style="thick">
        <color indexed="64"/>
      </bottom>
      <diagonal/>
    </border>
    <border>
      <left style="thick">
        <color indexed="64"/>
      </left>
      <right/>
      <top style="thick">
        <color indexed="64"/>
      </top>
      <bottom style="thin">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indexed="64"/>
      </left>
      <right/>
      <top style="thick">
        <color indexed="64"/>
      </top>
      <bottom/>
      <diagonal/>
    </border>
    <border>
      <left/>
      <right style="thin">
        <color indexed="64"/>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right style="medium">
        <color indexed="64"/>
      </right>
      <top style="medium">
        <color indexed="64"/>
      </top>
      <bottom style="thick">
        <color rgb="FF33CCCC"/>
      </bottom>
      <diagonal/>
    </border>
    <border>
      <left/>
      <right style="medium">
        <color indexed="64"/>
      </right>
      <top style="thin">
        <color rgb="FF33CCCC"/>
      </top>
      <bottom style="medium">
        <color indexed="64"/>
      </bottom>
      <diagonal/>
    </border>
    <border>
      <left/>
      <right/>
      <top style="thin">
        <color rgb="FF33CCCC"/>
      </top>
      <bottom style="medium">
        <color indexed="64"/>
      </bottom>
      <diagonal/>
    </border>
    <border>
      <left/>
      <right/>
      <top/>
      <bottom style="thick">
        <color indexed="64"/>
      </bottom>
      <diagonal/>
    </border>
    <border>
      <left/>
      <right style="thick">
        <color indexed="64"/>
      </right>
      <top style="medium">
        <color indexed="64"/>
      </top>
      <bottom style="medium">
        <color indexed="64"/>
      </bottom>
      <diagonal/>
    </border>
    <border>
      <left style="medium">
        <color indexed="64"/>
      </left>
      <right/>
      <top/>
      <bottom style="thick">
        <color indexed="64"/>
      </bottom>
      <diagonal/>
    </border>
    <border>
      <left/>
      <right style="medium">
        <color indexed="64"/>
      </right>
      <top style="thin">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thin">
        <color indexed="64"/>
      </top>
      <bottom/>
      <diagonal/>
    </border>
    <border>
      <left style="thick">
        <color indexed="64"/>
      </left>
      <right style="thick">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style="thick">
        <color indexed="64"/>
      </top>
      <bottom style="thin">
        <color indexed="64"/>
      </bottom>
      <diagonal/>
    </border>
    <border>
      <left/>
      <right/>
      <top/>
      <bottom style="thick">
        <color theme="4" tint="0.49998474074526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indexed="64"/>
      </right>
      <top/>
      <bottom style="thin">
        <color theme="0" tint="-0.24994659260841701"/>
      </bottom>
      <diagonal/>
    </border>
    <border>
      <left/>
      <right style="thin">
        <color indexed="64"/>
      </right>
      <top/>
      <bottom style="thin">
        <color theme="0"/>
      </bottom>
      <diagonal/>
    </border>
    <border>
      <left/>
      <right style="thin">
        <color indexed="64"/>
      </right>
      <top style="thin">
        <color theme="0"/>
      </top>
      <bottom style="thin">
        <color theme="0"/>
      </bottom>
      <diagonal/>
    </border>
    <border>
      <left style="thin">
        <color indexed="64"/>
      </left>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diagonal/>
    </border>
    <border>
      <left style="thin">
        <color auto="1"/>
      </left>
      <right style="thin">
        <color indexed="64"/>
      </right>
      <top style="thin">
        <color theme="0"/>
      </top>
      <bottom/>
      <diagonal/>
    </border>
    <border>
      <left style="thin">
        <color theme="0" tint="-0.24994659260841701"/>
      </left>
      <right/>
      <top style="thin">
        <color theme="0" tint="-0.24994659260841701"/>
      </top>
      <bottom style="thin">
        <color theme="0" tint="-0.24994659260841701"/>
      </bottom>
      <diagonal/>
    </border>
    <border>
      <left/>
      <right style="thick">
        <color indexed="64"/>
      </right>
      <top/>
      <bottom style="medium">
        <color indexed="64"/>
      </bottom>
      <diagonal/>
    </border>
    <border>
      <left style="thick">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ck">
        <color indexed="64"/>
      </bottom>
      <diagonal/>
    </border>
    <border>
      <left style="thin">
        <color theme="1"/>
      </left>
      <right style="thin">
        <color indexed="64"/>
      </right>
      <top style="thin">
        <color theme="0"/>
      </top>
      <bottom style="thin">
        <color indexed="64"/>
      </bottom>
      <diagonal/>
    </border>
    <border>
      <left/>
      <right style="thick">
        <color indexed="64"/>
      </right>
      <top style="thin">
        <color indexed="64"/>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bottom style="thin">
        <color rgb="FF3FC6CD"/>
      </bottom>
      <diagonal/>
    </border>
  </borders>
  <cellStyleXfs count="3664">
    <xf numFmtId="170" fontId="0" fillId="0" borderId="0"/>
    <xf numFmtId="170" fontId="6" fillId="0" borderId="0" applyNumberFormat="0" applyFill="0" applyBorder="0" applyAlignment="0" applyProtection="0"/>
    <xf numFmtId="170" fontId="7" fillId="0" borderId="0"/>
    <xf numFmtId="170" fontId="12" fillId="0" borderId="0"/>
    <xf numFmtId="170" fontId="12" fillId="0" borderId="0"/>
    <xf numFmtId="170" fontId="18" fillId="0" borderId="0"/>
    <xf numFmtId="4" fontId="29" fillId="5" borderId="20">
      <alignment horizontal="right" vertical="center"/>
    </xf>
    <xf numFmtId="170" fontId="19" fillId="6" borderId="21" applyFont="0" applyBorder="0">
      <alignment vertical="center"/>
    </xf>
    <xf numFmtId="170" fontId="30" fillId="7" borderId="0" applyNumberFormat="0" applyBorder="0" applyAlignment="0" applyProtection="0"/>
    <xf numFmtId="170" fontId="31" fillId="0" borderId="0" applyNumberFormat="0" applyAlignment="0" applyProtection="0"/>
    <xf numFmtId="168" fontId="19" fillId="0" borderId="15">
      <alignment vertical="center"/>
    </xf>
    <xf numFmtId="168" fontId="19" fillId="0" borderId="15">
      <alignment vertical="center"/>
    </xf>
    <xf numFmtId="168" fontId="19" fillId="0" borderId="15">
      <alignment vertical="center"/>
    </xf>
    <xf numFmtId="164" fontId="7" fillId="0" borderId="0" applyFont="0" applyFill="0" applyBorder="0" applyAlignment="0" applyProtection="0"/>
    <xf numFmtId="170" fontId="12" fillId="8" borderId="0" applyNumberFormat="0" applyBorder="0" applyAlignment="0">
      <protection hidden="1"/>
    </xf>
    <xf numFmtId="170" fontId="32" fillId="0" borderId="0" applyNumberFormat="0" applyFont="0" applyAlignment="0"/>
    <xf numFmtId="41" fontId="12" fillId="0" borderId="0" applyFont="0" applyFill="0" applyBorder="0" applyAlignment="0" applyProtection="0"/>
    <xf numFmtId="43" fontId="12" fillId="0" borderId="0" applyFont="0" applyFill="0" applyBorder="0" applyAlignment="0" applyProtection="0"/>
    <xf numFmtId="170" fontId="12" fillId="0" borderId="0" applyFont="0" applyFill="0" applyBorder="0" applyAlignment="0" applyProtection="0"/>
    <xf numFmtId="170" fontId="33" fillId="0" borderId="0" applyNumberFormat="0" applyFill="0" applyBorder="0" applyAlignment="0" applyProtection="0">
      <alignment vertical="top"/>
      <protection locked="0"/>
    </xf>
    <xf numFmtId="171" fontId="26" fillId="8" borderId="15">
      <alignment horizontal="right" vertical="center"/>
    </xf>
    <xf numFmtId="171" fontId="26" fillId="8" borderId="15">
      <alignment horizontal="right" vertical="center"/>
    </xf>
    <xf numFmtId="171" fontId="26" fillId="8" borderId="15">
      <alignment horizontal="right" vertical="center"/>
    </xf>
    <xf numFmtId="171" fontId="34" fillId="9" borderId="15">
      <alignment horizontal="right" vertical="center"/>
    </xf>
    <xf numFmtId="171" fontId="34" fillId="9" borderId="15">
      <alignment horizontal="right" vertical="center"/>
    </xf>
    <xf numFmtId="171" fontId="34" fillId="9" borderId="15">
      <alignment horizontal="right" vertical="center"/>
    </xf>
    <xf numFmtId="167" fontId="12" fillId="0" borderId="0" applyFont="0" applyFill="0" applyBorder="0" applyAlignment="0" applyProtection="0"/>
    <xf numFmtId="170" fontId="12" fillId="10" borderId="0" applyNumberFormat="0" applyFont="0" applyBorder="0" applyAlignment="0"/>
    <xf numFmtId="41" fontId="35" fillId="0" borderId="0" applyFont="0" applyFill="0" applyBorder="0" applyAlignment="0" applyProtection="0"/>
    <xf numFmtId="43" fontId="35" fillId="0" borderId="0" applyFont="0" applyFill="0" applyBorder="0" applyAlignment="0" applyProtection="0"/>
    <xf numFmtId="165" fontId="35" fillId="0" borderId="0" applyFont="0" applyFill="0" applyBorder="0" applyAlignment="0" applyProtection="0"/>
    <xf numFmtId="166" fontId="35" fillId="0" borderId="0" applyFont="0" applyFill="0" applyBorder="0" applyAlignment="0" applyProtection="0"/>
    <xf numFmtId="170" fontId="36" fillId="0" borderId="0"/>
    <xf numFmtId="170" fontId="12" fillId="0" borderId="0"/>
    <xf numFmtId="170" fontId="36" fillId="0" borderId="0"/>
    <xf numFmtId="170" fontId="18" fillId="0" borderId="0"/>
    <xf numFmtId="170" fontId="12" fillId="0" borderId="0"/>
    <xf numFmtId="4" fontId="29" fillId="0" borderId="15" applyFill="0" applyBorder="0" applyProtection="0">
      <alignment horizontal="right" vertical="center"/>
    </xf>
    <xf numFmtId="170" fontId="19" fillId="11" borderId="22" applyProtection="0">
      <alignment vertical="center"/>
    </xf>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170" fontId="12" fillId="0" borderId="0"/>
    <xf numFmtId="170" fontId="37" fillId="1" borderId="23" applyNumberFormat="0" applyProtection="0">
      <alignment horizontal="left" vertical="top"/>
    </xf>
    <xf numFmtId="170" fontId="38" fillId="0" borderId="0"/>
    <xf numFmtId="165" fontId="12" fillId="0" borderId="0" applyFont="0" applyFill="0" applyBorder="0" applyAlignment="0" applyProtection="0"/>
    <xf numFmtId="166"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70" fontId="39" fillId="0" borderId="24">
      <alignment horizontal="left"/>
    </xf>
    <xf numFmtId="9" fontId="7" fillId="0" borderId="0" applyFont="0" applyFill="0" applyBorder="0" applyAlignment="0" applyProtection="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54" fillId="0" borderId="0"/>
    <xf numFmtId="170" fontId="54" fillId="0" borderId="0"/>
    <xf numFmtId="170" fontId="7"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12" fillId="0" borderId="0"/>
    <xf numFmtId="170" fontId="7" fillId="0" borderId="0"/>
    <xf numFmtId="170" fontId="7" fillId="0" borderId="0"/>
    <xf numFmtId="170" fontId="12" fillId="0" borderId="0"/>
    <xf numFmtId="170" fontId="12" fillId="0" borderId="0"/>
    <xf numFmtId="170" fontId="54" fillId="0" borderId="0"/>
    <xf numFmtId="170" fontId="12" fillId="0" borderId="0"/>
    <xf numFmtId="170" fontId="12" fillId="0" borderId="0"/>
    <xf numFmtId="170" fontId="54" fillId="0" borderId="0"/>
    <xf numFmtId="170" fontId="54" fillId="0" borderId="0"/>
    <xf numFmtId="170" fontId="12" fillId="0" borderId="0"/>
    <xf numFmtId="170" fontId="12" fillId="0" borderId="0"/>
    <xf numFmtId="170" fontId="12" fillId="0" borderId="0"/>
    <xf numFmtId="170" fontId="12" fillId="0" borderId="0"/>
    <xf numFmtId="170" fontId="54" fillId="0" borderId="0"/>
    <xf numFmtId="170" fontId="74" fillId="0" borderId="0" applyNumberFormat="0" applyFill="0" applyBorder="0" applyAlignment="0" applyProtection="0">
      <alignment vertical="top"/>
      <protection locked="0"/>
    </xf>
    <xf numFmtId="0" fontId="7" fillId="0" borderId="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0" fontId="7" fillId="0" borderId="0"/>
    <xf numFmtId="167" fontId="7" fillId="0" borderId="0" applyFont="0" applyFill="0" applyBorder="0" applyAlignment="0" applyProtection="0"/>
    <xf numFmtId="0" fontId="54" fillId="0" borderId="0"/>
    <xf numFmtId="0" fontId="108" fillId="0" borderId="0"/>
    <xf numFmtId="0" fontId="4" fillId="0" borderId="0" applyNumberFormat="0" applyFill="0" applyBorder="0" applyAlignment="0" applyProtection="0"/>
    <xf numFmtId="0" fontId="109" fillId="0" borderId="176" applyNumberFormat="0" applyFill="0" applyAlignment="0" applyProtection="0"/>
    <xf numFmtId="0" fontId="110" fillId="26" borderId="0" applyNumberFormat="0" applyBorder="0" applyAlignment="0" applyProtection="0"/>
    <xf numFmtId="0" fontId="108" fillId="27" borderId="0" applyNumberFormat="0" applyBorder="0" applyAlignment="0" applyProtection="0"/>
    <xf numFmtId="9" fontId="108" fillId="0" borderId="0" applyFont="0" applyFill="0" applyBorder="0" applyAlignment="0" applyProtection="0"/>
    <xf numFmtId="0" fontId="54" fillId="0" borderId="0"/>
    <xf numFmtId="170" fontId="7" fillId="0" borderId="0"/>
    <xf numFmtId="171" fontId="3" fillId="9" borderId="15">
      <alignment horizontal="right" vertical="center"/>
    </xf>
    <xf numFmtId="171" fontId="3" fillId="9" borderId="15">
      <alignment horizontal="right" vertical="center"/>
    </xf>
    <xf numFmtId="171" fontId="3" fillId="9" borderId="15">
      <alignment horizontal="right" vertical="center"/>
    </xf>
    <xf numFmtId="9" fontId="7" fillId="0" borderId="0" applyFont="0" applyFill="0" applyBorder="0" applyAlignment="0" applyProtection="0"/>
    <xf numFmtId="170" fontId="74" fillId="0" borderId="0" applyNumberFormat="0" applyFill="0" applyBorder="0" applyAlignment="0" applyProtection="0">
      <alignment vertical="top"/>
      <protection locked="0"/>
    </xf>
    <xf numFmtId="9" fontId="54" fillId="0" borderId="0" applyFont="0" applyFill="0" applyBorder="0" applyAlignment="0" applyProtection="0"/>
    <xf numFmtId="0" fontId="7" fillId="0" borderId="0"/>
    <xf numFmtId="170" fontId="7" fillId="0" borderId="0"/>
    <xf numFmtId="170" fontId="4" fillId="0" borderId="0" applyNumberFormat="0" applyFill="0" applyBorder="0" applyAlignment="0" applyProtection="0"/>
    <xf numFmtId="170" fontId="5" fillId="0" borderId="1" applyNumberFormat="0" applyFill="0" applyAlignment="0" applyProtection="0"/>
    <xf numFmtId="170" fontId="6" fillId="0" borderId="2" applyNumberFormat="0" applyFill="0" applyAlignment="0" applyProtection="0"/>
    <xf numFmtId="170" fontId="6" fillId="0" borderId="0" applyNumberFormat="0" applyFill="0" applyBorder="0" applyAlignment="0" applyProtection="0"/>
    <xf numFmtId="171" fontId="2" fillId="9" borderId="15">
      <alignment horizontal="right" vertical="center"/>
    </xf>
    <xf numFmtId="171" fontId="2" fillId="9" borderId="15">
      <alignment horizontal="right" vertical="center"/>
    </xf>
    <xf numFmtId="171" fontId="2" fillId="9" borderId="15">
      <alignment horizontal="right" vertical="center"/>
    </xf>
    <xf numFmtId="0" fontId="7" fillId="0" borderId="0"/>
    <xf numFmtId="171" fontId="2" fillId="9" borderId="15">
      <alignment horizontal="right" vertical="center"/>
    </xf>
    <xf numFmtId="171" fontId="2" fillId="9" borderId="15">
      <alignment horizontal="right" vertical="center"/>
    </xf>
    <xf numFmtId="171" fontId="2" fillId="9" borderId="15">
      <alignment horizontal="right" vertical="center"/>
    </xf>
    <xf numFmtId="0" fontId="120" fillId="0" borderId="176" applyNumberFormat="0" applyFill="0" applyAlignment="0" applyProtection="0"/>
    <xf numFmtId="0" fontId="121" fillId="31" borderId="0" applyNumberFormat="0" applyBorder="0" applyAlignment="0" applyProtection="0"/>
    <xf numFmtId="0" fontId="122" fillId="32" borderId="0" applyNumberFormat="0" applyBorder="0" applyAlignment="0" applyProtection="0"/>
    <xf numFmtId="0" fontId="123" fillId="33" borderId="200" applyNumberFormat="0" applyAlignment="0" applyProtection="0"/>
    <xf numFmtId="0" fontId="124" fillId="34" borderId="201" applyNumberFormat="0" applyAlignment="0" applyProtection="0"/>
    <xf numFmtId="0" fontId="125" fillId="34" borderId="200" applyNumberFormat="0" applyAlignment="0" applyProtection="0"/>
    <xf numFmtId="0" fontId="126" fillId="0" borderId="202" applyNumberFormat="0" applyFill="0" applyAlignment="0" applyProtection="0"/>
    <xf numFmtId="0" fontId="42" fillId="35" borderId="203" applyNumberFormat="0" applyAlignment="0" applyProtection="0"/>
    <xf numFmtId="0" fontId="8" fillId="0" borderId="0" applyNumberFormat="0" applyFill="0" applyBorder="0" applyAlignment="0" applyProtection="0"/>
    <xf numFmtId="0" fontId="7" fillId="36" borderId="204" applyNumberFormat="0" applyFont="0" applyAlignment="0" applyProtection="0"/>
    <xf numFmtId="0" fontId="127" fillId="0" borderId="0" applyNumberFormat="0" applyFill="0" applyBorder="0" applyAlignment="0" applyProtection="0"/>
    <xf numFmtId="0" fontId="9" fillId="0" borderId="205" applyNumberFormat="0" applyFill="0" applyAlignment="0" applyProtection="0"/>
    <xf numFmtId="0" fontId="49" fillId="37" borderId="0" applyNumberFormat="0" applyBorder="0" applyAlignment="0" applyProtection="0"/>
    <xf numFmtId="0" fontId="7" fillId="27" borderId="0" applyNumberFormat="0" applyBorder="0" applyAlignment="0" applyProtection="0"/>
    <xf numFmtId="0" fontId="7" fillId="38" borderId="0" applyNumberFormat="0" applyBorder="0" applyAlignment="0" applyProtection="0"/>
    <xf numFmtId="0" fontId="49" fillId="40" borderId="0" applyNumberFormat="0" applyBorder="0" applyAlignment="0" applyProtection="0"/>
    <xf numFmtId="0" fontId="7" fillId="41" borderId="0" applyNumberFormat="0" applyBorder="0" applyAlignment="0" applyProtection="0"/>
    <xf numFmtId="0" fontId="7" fillId="42" borderId="0" applyNumberFormat="0" applyBorder="0" applyAlignment="0" applyProtection="0"/>
    <xf numFmtId="0" fontId="49" fillId="44" borderId="0" applyNumberFormat="0" applyBorder="0" applyAlignment="0" applyProtection="0"/>
    <xf numFmtId="0" fontId="7" fillId="45" borderId="0" applyNumberFormat="0" applyBorder="0" applyAlignment="0" applyProtection="0"/>
    <xf numFmtId="0" fontId="7" fillId="46" borderId="0" applyNumberFormat="0" applyBorder="0" applyAlignment="0" applyProtection="0"/>
    <xf numFmtId="0" fontId="49" fillId="48" borderId="0" applyNumberFormat="0" applyBorder="0" applyAlignment="0" applyProtection="0"/>
    <xf numFmtId="0" fontId="7" fillId="49" borderId="0" applyNumberFormat="0" applyBorder="0" applyAlignment="0" applyProtection="0"/>
    <xf numFmtId="0" fontId="7" fillId="50" borderId="0" applyNumberFormat="0" applyBorder="0" applyAlignment="0" applyProtection="0"/>
    <xf numFmtId="0" fontId="49" fillId="52" borderId="0" applyNumberFormat="0" applyBorder="0" applyAlignment="0" applyProtection="0"/>
    <xf numFmtId="0" fontId="7" fillId="53" borderId="0" applyNumberFormat="0" applyBorder="0" applyAlignment="0" applyProtection="0"/>
    <xf numFmtId="0" fontId="7" fillId="54" borderId="0" applyNumberFormat="0" applyBorder="0" applyAlignment="0" applyProtection="0"/>
    <xf numFmtId="0" fontId="49" fillId="56" borderId="0" applyNumberFormat="0" applyBorder="0" applyAlignment="0" applyProtection="0"/>
    <xf numFmtId="0" fontId="7" fillId="57" borderId="0" applyNumberFormat="0" applyBorder="0" applyAlignment="0" applyProtection="0"/>
    <xf numFmtId="0" fontId="7" fillId="58" borderId="0" applyNumberFormat="0" applyBorder="0" applyAlignment="0" applyProtection="0"/>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 fontId="29" fillId="0" borderId="199" applyFill="0" applyBorder="0" applyProtection="0">
      <alignment horizontal="right" vertical="center"/>
    </xf>
    <xf numFmtId="170" fontId="37" fillId="1" borderId="206" applyNumberFormat="0" applyProtection="0">
      <alignment horizontal="left" vertical="top"/>
    </xf>
    <xf numFmtId="170" fontId="7" fillId="0" borderId="0"/>
    <xf numFmtId="0" fontId="128" fillId="26" borderId="0" applyNumberFormat="0" applyBorder="0" applyAlignment="0" applyProtection="0"/>
    <xf numFmtId="0" fontId="49" fillId="39" borderId="0" applyNumberFormat="0" applyBorder="0" applyAlignment="0" applyProtection="0"/>
    <xf numFmtId="0" fontId="49" fillId="43" borderId="0" applyNumberFormat="0" applyBorder="0" applyAlignment="0" applyProtection="0"/>
    <xf numFmtId="0" fontId="49" fillId="47" borderId="0" applyNumberFormat="0" applyBorder="0" applyAlignment="0" applyProtection="0"/>
    <xf numFmtId="0" fontId="49" fillId="51" borderId="0" applyNumberFormat="0" applyBorder="0" applyAlignment="0" applyProtection="0"/>
    <xf numFmtId="0" fontId="49" fillId="55" borderId="0" applyNumberFormat="0" applyBorder="0" applyAlignment="0" applyProtection="0"/>
    <xf numFmtId="0" fontId="49" fillId="59" borderId="0" applyNumberFormat="0" applyBorder="0" applyAlignment="0" applyProtection="0"/>
    <xf numFmtId="0" fontId="7" fillId="0" borderId="0"/>
    <xf numFmtId="167" fontId="7" fillId="0" borderId="0" applyFont="0" applyFill="0" applyBorder="0" applyAlignment="0" applyProtection="0"/>
    <xf numFmtId="0" fontId="108" fillId="0" borderId="0"/>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7" fillId="0" borderId="0"/>
    <xf numFmtId="170" fontId="7"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6" fillId="0" borderId="0" applyNumberFormat="0" applyFill="0" applyBorder="0" applyAlignment="0" applyProtection="0"/>
    <xf numFmtId="49" fontId="29" fillId="0" borderId="207" applyNumberFormat="0" applyFont="0" applyFill="0" applyBorder="0" applyProtection="0">
      <alignment horizontal="left" vertical="center" indent="2"/>
    </xf>
    <xf numFmtId="49" fontId="29" fillId="0" borderId="208" applyNumberFormat="0" applyFont="0" applyFill="0" applyBorder="0" applyProtection="0">
      <alignment horizontal="left" vertical="center" indent="5"/>
    </xf>
    <xf numFmtId="4" fontId="129" fillId="0" borderId="13" applyFill="0" applyBorder="0" applyProtection="0">
      <alignment horizontal="right" vertical="center"/>
    </xf>
    <xf numFmtId="0" fontId="130" fillId="0" borderId="0" applyNumberFormat="0" applyFill="0" applyBorder="0" applyAlignment="0" applyProtection="0"/>
    <xf numFmtId="0" fontId="33" fillId="0" borderId="0" applyNumberFormat="0" applyFill="0" applyBorder="0" applyAlignment="0" applyProtection="0">
      <alignment vertical="top"/>
      <protection locked="0"/>
    </xf>
    <xf numFmtId="0" fontId="12" fillId="60" borderId="207"/>
    <xf numFmtId="0" fontId="12" fillId="0" borderId="0"/>
    <xf numFmtId="0" fontId="12" fillId="0" borderId="0"/>
    <xf numFmtId="0" fontId="7" fillId="0" borderId="0"/>
    <xf numFmtId="4" fontId="29" fillId="0" borderId="207" applyFill="0" applyBorder="0" applyProtection="0">
      <alignment horizontal="right" vertical="center"/>
    </xf>
    <xf numFmtId="49" fontId="129" fillId="0" borderId="207" applyNumberFormat="0" applyFill="0" applyBorder="0" applyProtection="0">
      <alignment horizontal="left" vertical="center"/>
    </xf>
    <xf numFmtId="0" fontId="29" fillId="0" borderId="207" applyNumberFormat="0" applyFill="0" applyAlignment="0" applyProtection="0"/>
    <xf numFmtId="0" fontId="131" fillId="61" borderId="0" applyNumberFormat="0" applyFont="0" applyBorder="0" applyAlignment="0" applyProtection="0"/>
    <xf numFmtId="4" fontId="12" fillId="0" borderId="0"/>
    <xf numFmtId="175" fontId="29" fillId="62" borderId="207" applyNumberFormat="0" applyFont="0" applyBorder="0" applyAlignment="0" applyProtection="0">
      <alignment horizontal="right" vertical="center"/>
    </xf>
    <xf numFmtId="0" fontId="54" fillId="0" borderId="0"/>
    <xf numFmtId="0" fontId="12" fillId="0" borderId="0"/>
    <xf numFmtId="4" fontId="12" fillId="0" borderId="0"/>
    <xf numFmtId="0" fontId="54" fillId="0" borderId="0"/>
    <xf numFmtId="0" fontId="12" fillId="0" borderId="0"/>
    <xf numFmtId="0" fontId="12" fillId="0" borderId="0"/>
    <xf numFmtId="0" fontId="12" fillId="0" borderId="0"/>
    <xf numFmtId="0" fontId="12" fillId="0" borderId="0"/>
    <xf numFmtId="0" fontId="12" fillId="0" borderId="0"/>
    <xf numFmtId="0" fontId="12" fillId="0" borderId="0"/>
    <xf numFmtId="0" fontId="29" fillId="0" borderId="0"/>
    <xf numFmtId="168" fontId="19" fillId="0" borderId="207">
      <alignment vertical="center"/>
    </xf>
    <xf numFmtId="168" fontId="19" fillId="0" borderId="207">
      <alignment vertical="center"/>
    </xf>
    <xf numFmtId="168" fontId="19" fillId="0" borderId="207">
      <alignment vertical="center"/>
    </xf>
    <xf numFmtId="171" fontId="26" fillId="8" borderId="207">
      <alignment horizontal="right" vertical="center"/>
    </xf>
    <xf numFmtId="171" fontId="26" fillId="8" borderId="207">
      <alignment horizontal="right" vertical="center"/>
    </xf>
    <xf numFmtId="171" fontId="26" fillId="8"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171" fontId="1" fillId="9" borderId="207">
      <alignment horizontal="right" vertical="center"/>
    </xf>
    <xf numFmtId="0" fontId="7" fillId="0" borderId="0"/>
    <xf numFmtId="170" fontId="37" fillId="1" borderId="206" applyNumberFormat="0" applyProtection="0">
      <alignment horizontal="left" vertical="top"/>
    </xf>
    <xf numFmtId="0" fontId="7" fillId="0" borderId="0"/>
    <xf numFmtId="0" fontId="7" fillId="0" borderId="0"/>
    <xf numFmtId="0" fontId="7" fillId="0" borderId="0"/>
    <xf numFmtId="0" fontId="7" fillId="0" borderId="0"/>
    <xf numFmtId="49" fontId="29" fillId="0" borderId="212" applyNumberFormat="0" applyFont="0" applyFill="0" applyBorder="0" applyProtection="0">
      <alignment horizontal="left" vertical="center" indent="2"/>
    </xf>
    <xf numFmtId="168" fontId="19" fillId="0" borderId="212">
      <alignment vertical="center"/>
    </xf>
    <xf numFmtId="171" fontId="26" fillId="8" borderId="212">
      <alignment horizontal="right" vertical="center"/>
    </xf>
    <xf numFmtId="171" fontId="26" fillId="8" borderId="211">
      <alignment horizontal="right" vertical="center"/>
    </xf>
    <xf numFmtId="4" fontId="29" fillId="0" borderId="219" applyFill="0" applyBorder="0" applyProtection="0">
      <alignment horizontal="right" vertical="center"/>
    </xf>
    <xf numFmtId="171" fontId="1" fillId="9" borderId="219">
      <alignment horizontal="right" vertical="center"/>
    </xf>
    <xf numFmtId="171" fontId="1" fillId="9" borderId="212">
      <alignment horizontal="right" vertical="center"/>
    </xf>
    <xf numFmtId="171" fontId="1" fillId="9" borderId="211">
      <alignment horizontal="right" vertical="center"/>
    </xf>
    <xf numFmtId="4" fontId="29" fillId="0" borderId="211" applyFill="0" applyBorder="0" applyProtection="0">
      <alignment horizontal="right" vertical="center"/>
    </xf>
    <xf numFmtId="0" fontId="29" fillId="0" borderId="212" applyNumberFormat="0" applyFill="0" applyAlignment="0" applyProtection="0"/>
    <xf numFmtId="171" fontId="1" fillId="9" borderId="215">
      <alignment horizontal="right" vertical="center"/>
    </xf>
    <xf numFmtId="171" fontId="1" fillId="9" borderId="216">
      <alignment horizontal="right" vertical="center"/>
    </xf>
    <xf numFmtId="170" fontId="37" fillId="1" borderId="214" applyNumberFormat="0" applyProtection="0">
      <alignment horizontal="left" vertical="top"/>
    </xf>
    <xf numFmtId="170" fontId="37" fillId="1" borderId="209" applyNumberFormat="0" applyProtection="0">
      <alignment horizontal="left" vertical="top"/>
    </xf>
    <xf numFmtId="171" fontId="26" fillId="8" borderId="219">
      <alignment horizontal="right" vertical="center"/>
    </xf>
    <xf numFmtId="171" fontId="1" fillId="9" borderId="212">
      <alignment horizontal="right" vertical="center"/>
    </xf>
    <xf numFmtId="171" fontId="26" fillId="8" borderId="216">
      <alignment horizontal="right" vertical="center"/>
    </xf>
    <xf numFmtId="170" fontId="37" fillId="1" borderId="214" applyNumberFormat="0" applyProtection="0">
      <alignment horizontal="left" vertical="top"/>
    </xf>
    <xf numFmtId="171" fontId="26" fillId="8" borderId="219">
      <alignment horizontal="right" vertical="center"/>
    </xf>
    <xf numFmtId="171" fontId="1" fillId="9" borderId="219">
      <alignment horizontal="right" vertical="center"/>
    </xf>
    <xf numFmtId="171" fontId="1" fillId="9" borderId="212">
      <alignment horizontal="right" vertical="center"/>
    </xf>
    <xf numFmtId="171" fontId="1" fillId="9" borderId="216">
      <alignment horizontal="right" vertical="center"/>
    </xf>
    <xf numFmtId="170" fontId="37" fillId="1" borderId="210" applyNumberFormat="0" applyProtection="0">
      <alignment horizontal="left" vertical="top"/>
    </xf>
    <xf numFmtId="171" fontId="1" fillId="9" borderId="219">
      <alignment horizontal="right" vertical="center"/>
    </xf>
    <xf numFmtId="168" fontId="19" fillId="0" borderId="212">
      <alignmen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26" fillId="8" borderId="212">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0" fontId="37" fillId="1" borderId="210" applyNumberFormat="0" applyProtection="0">
      <alignment horizontal="left" vertical="top"/>
    </xf>
    <xf numFmtId="168" fontId="19" fillId="0" borderId="219">
      <alignment vertical="center"/>
    </xf>
    <xf numFmtId="171" fontId="1" fillId="9" borderId="212">
      <alignment horizontal="right" vertical="center"/>
    </xf>
    <xf numFmtId="168" fontId="19" fillId="0" borderId="212">
      <alignment vertical="center"/>
    </xf>
    <xf numFmtId="171" fontId="1" fillId="9" borderId="211">
      <alignment horizontal="right" vertical="center"/>
    </xf>
    <xf numFmtId="168" fontId="19" fillId="0" borderId="216">
      <alignment vertical="center"/>
    </xf>
    <xf numFmtId="168" fontId="19" fillId="0" borderId="212">
      <alignment vertical="center"/>
    </xf>
    <xf numFmtId="49" fontId="129" fillId="0" borderId="211" applyNumberFormat="0" applyFill="0" applyBorder="0" applyProtection="0">
      <alignment horizontal="left" vertical="center"/>
    </xf>
    <xf numFmtId="171" fontId="1" fillId="9" borderId="216">
      <alignment horizontal="right" vertical="center"/>
    </xf>
    <xf numFmtId="4" fontId="29" fillId="0" borderId="211" applyFill="0" applyBorder="0" applyProtection="0">
      <alignment horizontal="right" vertical="center"/>
    </xf>
    <xf numFmtId="171" fontId="1" fillId="9" borderId="212">
      <alignment horizontal="right" vertical="center"/>
    </xf>
    <xf numFmtId="168" fontId="19" fillId="0" borderId="219">
      <alignment vertical="center"/>
    </xf>
    <xf numFmtId="171" fontId="26" fillId="8" borderId="219">
      <alignment horizontal="right" vertical="center"/>
    </xf>
    <xf numFmtId="171" fontId="1" fillId="9" borderId="212">
      <alignment horizontal="right" vertical="center"/>
    </xf>
    <xf numFmtId="43" fontId="7" fillId="0" borderId="0" applyFont="0" applyFill="0" applyBorder="0" applyAlignment="0" applyProtection="0"/>
    <xf numFmtId="0" fontId="29" fillId="0" borderId="212" applyNumberFormat="0" applyFill="0" applyAlignment="0" applyProtection="0"/>
    <xf numFmtId="171" fontId="26" fillId="8" borderId="212">
      <alignment horizontal="right" vertical="center"/>
    </xf>
    <xf numFmtId="168" fontId="19" fillId="0" borderId="216">
      <alignmen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49" fontId="29" fillId="0" borderId="212" applyNumberFormat="0" applyFont="0" applyFill="0" applyBorder="0" applyProtection="0">
      <alignment horizontal="left" vertical="center" indent="2"/>
    </xf>
    <xf numFmtId="171" fontId="1" fillId="9" borderId="211">
      <alignment horizontal="right" vertical="center"/>
    </xf>
    <xf numFmtId="0" fontId="29" fillId="0" borderId="211" applyNumberFormat="0" applyFill="0" applyAlignment="0" applyProtection="0"/>
    <xf numFmtId="168" fontId="19" fillId="0" borderId="216">
      <alignment vertical="center"/>
    </xf>
    <xf numFmtId="171" fontId="1" fillId="9" borderId="216">
      <alignment horizontal="right" vertical="center"/>
    </xf>
    <xf numFmtId="4" fontId="29" fillId="0" borderId="219" applyFill="0" applyBorder="0" applyProtection="0">
      <alignment horizontal="right" vertical="center"/>
    </xf>
    <xf numFmtId="49" fontId="29" fillId="0" borderId="199" applyNumberFormat="0" applyFont="0" applyFill="0" applyBorder="0" applyProtection="0">
      <alignment horizontal="left" vertical="center" indent="2"/>
    </xf>
    <xf numFmtId="171" fontId="26" fillId="8" borderId="212">
      <alignment horizontal="right" vertical="center"/>
    </xf>
    <xf numFmtId="170" fontId="37" fillId="1" borderId="217" applyNumberFormat="0" applyProtection="0">
      <alignment horizontal="left" vertical="top"/>
    </xf>
    <xf numFmtId="49" fontId="129" fillId="0" borderId="212"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4" fontId="29" fillId="0" borderId="199" applyFill="0" applyBorder="0" applyProtection="0">
      <alignment horizontal="right" vertical="center"/>
    </xf>
    <xf numFmtId="49" fontId="129" fillId="0" borderId="199" applyNumberFormat="0" applyFill="0" applyBorder="0" applyProtection="0">
      <alignment horizontal="left" vertical="center"/>
    </xf>
    <xf numFmtId="0" fontId="29" fillId="0" borderId="199" applyNumberFormat="0" applyFill="0" applyAlignment="0" applyProtection="0"/>
    <xf numFmtId="49" fontId="129" fillId="0" borderId="216" applyNumberFormat="0" applyFill="0" applyBorder="0" applyProtection="0">
      <alignment horizontal="left" vertical="center"/>
    </xf>
    <xf numFmtId="175" fontId="29" fillId="62" borderId="199" applyNumberFormat="0" applyFont="0" applyBorder="0" applyAlignment="0" applyProtection="0">
      <alignment horizontal="right" vertical="center"/>
    </xf>
    <xf numFmtId="171" fontId="26" fillId="8" borderId="216">
      <alignment horizontal="right" vertical="center"/>
    </xf>
    <xf numFmtId="168" fontId="19" fillId="0" borderId="211">
      <alignment vertical="center"/>
    </xf>
    <xf numFmtId="171" fontId="26" fillId="8" borderId="211">
      <alignment horizontal="right" vertical="center"/>
    </xf>
    <xf numFmtId="171" fontId="26" fillId="8" borderId="215">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26" fillId="8" borderId="212">
      <alignment horizontal="right" vertical="center"/>
    </xf>
    <xf numFmtId="170" fontId="37" fillId="1" borderId="209" applyNumberFormat="0" applyProtection="0">
      <alignment horizontal="left" vertical="top"/>
    </xf>
    <xf numFmtId="4" fontId="29" fillId="0" borderId="212" applyFill="0" applyBorder="0" applyProtection="0">
      <alignment horizontal="right" vertical="center"/>
    </xf>
    <xf numFmtId="171" fontId="1" fillId="9" borderId="219">
      <alignment horizontal="right" vertical="center"/>
    </xf>
    <xf numFmtId="175" fontId="29" fillId="62" borderId="211" applyNumberFormat="0" applyFont="0" applyBorder="0" applyAlignment="0" applyProtection="0">
      <alignment horizontal="right" vertical="center"/>
    </xf>
    <xf numFmtId="168" fontId="19" fillId="0" borderId="212">
      <alignment vertical="center"/>
    </xf>
    <xf numFmtId="4" fontId="29" fillId="0" borderId="212" applyFill="0" applyBorder="0" applyProtection="0">
      <alignment horizontal="right" vertical="center"/>
    </xf>
    <xf numFmtId="4" fontId="29" fillId="0" borderId="212" applyFill="0" applyBorder="0" applyProtection="0">
      <alignment horizontal="right" vertical="center"/>
    </xf>
    <xf numFmtId="171" fontId="1" fillId="9" borderId="212">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2">
      <alignment horizontal="right" vertical="center"/>
    </xf>
    <xf numFmtId="171" fontId="1" fillId="9" borderId="219">
      <alignment horizontal="right" vertical="center"/>
    </xf>
    <xf numFmtId="49" fontId="129" fillId="0" borderId="212" applyNumberFormat="0" applyFill="0" applyBorder="0" applyProtection="0">
      <alignment horizontal="left" vertical="center"/>
    </xf>
    <xf numFmtId="170" fontId="37" fillId="1" borderId="210" applyNumberFormat="0" applyProtection="0">
      <alignment horizontal="left" vertical="top"/>
    </xf>
    <xf numFmtId="171" fontId="1" fillId="9" borderId="219">
      <alignment horizontal="right" vertical="center"/>
    </xf>
    <xf numFmtId="171" fontId="1" fillId="9" borderId="219">
      <alignment horizontal="right" vertical="center"/>
    </xf>
    <xf numFmtId="171" fontId="1" fillId="9" borderId="216">
      <alignment horizontal="right" vertical="center"/>
    </xf>
    <xf numFmtId="171" fontId="1" fillId="9" borderId="216">
      <alignment horizontal="right" vertical="center"/>
    </xf>
    <xf numFmtId="175" fontId="29" fillId="62" borderId="212" applyNumberFormat="0" applyFont="0" applyBorder="0" applyAlignment="0" applyProtection="0">
      <alignment horizontal="right" vertical="center"/>
    </xf>
    <xf numFmtId="49" fontId="29" fillId="0" borderId="212" applyNumberFormat="0" applyFont="0" applyFill="0" applyBorder="0" applyProtection="0">
      <alignment horizontal="left" vertical="center" indent="2"/>
    </xf>
    <xf numFmtId="171" fontId="1" fillId="9" borderId="212">
      <alignment horizontal="right" vertical="center"/>
    </xf>
    <xf numFmtId="171" fontId="26" fillId="8" borderId="216">
      <alignment horizontal="right" vertical="center"/>
    </xf>
    <xf numFmtId="168" fontId="19" fillId="0" borderId="212">
      <alignmen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4" fontId="29" fillId="0" borderId="212" applyFill="0" applyBorder="0" applyProtection="0">
      <alignment horizontal="right" vertical="center"/>
    </xf>
    <xf numFmtId="4" fontId="29" fillId="0" borderId="216" applyFill="0" applyBorder="0" applyProtection="0">
      <alignment horizontal="right" vertical="center"/>
    </xf>
    <xf numFmtId="168" fontId="19" fillId="0" borderId="219">
      <alignment vertical="center"/>
    </xf>
    <xf numFmtId="171" fontId="1" fillId="9" borderId="199">
      <alignment horizontal="right" vertical="center"/>
    </xf>
    <xf numFmtId="171" fontId="1" fillId="9" borderId="219">
      <alignment horizontal="right" vertical="center"/>
    </xf>
    <xf numFmtId="171" fontId="1" fillId="9"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0" fontId="37" fillId="1" borderId="210" applyNumberFormat="0" applyProtection="0">
      <alignment horizontal="left" vertical="top"/>
    </xf>
    <xf numFmtId="4" fontId="29" fillId="0" borderId="199" applyFill="0" applyBorder="0" applyProtection="0">
      <alignment horizontal="right" vertical="center"/>
    </xf>
    <xf numFmtId="175" fontId="29" fillId="62" borderId="199" applyNumberFormat="0" applyFont="0" applyBorder="0" applyAlignment="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170" fontId="37" fillId="1" borderId="209" applyNumberFormat="0" applyProtection="0">
      <alignment horizontal="left" vertical="top"/>
    </xf>
    <xf numFmtId="171" fontId="26" fillId="8" borderId="212">
      <alignment horizontal="right" vertical="center"/>
    </xf>
    <xf numFmtId="49" fontId="129" fillId="0" borderId="199" applyNumberFormat="0" applyFill="0" applyBorder="0" applyProtection="0">
      <alignment horizontal="left" vertical="center"/>
    </xf>
    <xf numFmtId="175" fontId="29" fillId="62" borderId="212" applyNumberFormat="0" applyFont="0" applyBorder="0" applyAlignment="0" applyProtection="0">
      <alignment horizontal="right" vertical="center"/>
    </xf>
    <xf numFmtId="171" fontId="1" fillId="9" borderId="212">
      <alignment horizontal="right" vertical="center"/>
    </xf>
    <xf numFmtId="171" fontId="26" fillId="8" borderId="212">
      <alignment horizontal="right" vertical="center"/>
    </xf>
    <xf numFmtId="168" fontId="19" fillId="0" borderId="199">
      <alignment vertical="center"/>
    </xf>
    <xf numFmtId="168" fontId="19" fillId="0" borderId="199">
      <alignment vertical="center"/>
    </xf>
    <xf numFmtId="168" fontId="19" fillId="0" borderId="199">
      <alignment vertical="center"/>
    </xf>
    <xf numFmtId="171" fontId="26" fillId="8" borderId="199">
      <alignment horizontal="right" vertical="center"/>
    </xf>
    <xf numFmtId="171" fontId="26" fillId="8" borderId="199">
      <alignment horizontal="right" vertical="center"/>
    </xf>
    <xf numFmtId="171" fontId="26" fillId="8" borderId="199">
      <alignment horizontal="right" vertical="center"/>
    </xf>
    <xf numFmtId="171" fontId="1" fillId="9" borderId="212">
      <alignment horizontal="right" vertical="center"/>
    </xf>
    <xf numFmtId="168" fontId="19" fillId="0" borderId="212">
      <alignment vertical="center"/>
    </xf>
    <xf numFmtId="171" fontId="26" fillId="8" borderId="219">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0" fontId="29" fillId="0" borderId="212" applyNumberFormat="0" applyFill="0" applyAlignment="0" applyProtection="0"/>
    <xf numFmtId="168" fontId="19" fillId="0" borderId="212">
      <alignment vertical="center"/>
    </xf>
    <xf numFmtId="170" fontId="37" fillId="1" borderId="209" applyNumberFormat="0" applyProtection="0">
      <alignment horizontal="left" vertical="top"/>
    </xf>
    <xf numFmtId="168" fontId="19" fillId="0" borderId="212">
      <alignment vertical="center"/>
    </xf>
    <xf numFmtId="49" fontId="129" fillId="0" borderId="212" applyNumberFormat="0" applyFill="0" applyBorder="0" applyProtection="0">
      <alignment horizontal="left" vertical="center"/>
    </xf>
    <xf numFmtId="168" fontId="19" fillId="0" borderId="212">
      <alignment vertical="center"/>
    </xf>
    <xf numFmtId="168" fontId="19" fillId="0" borderId="212">
      <alignment vertical="center"/>
    </xf>
    <xf numFmtId="168" fontId="19" fillId="0" borderId="212">
      <alignment vertical="center"/>
    </xf>
    <xf numFmtId="171" fontId="26" fillId="8" borderId="212">
      <alignment horizontal="right" vertical="center"/>
    </xf>
    <xf numFmtId="171" fontId="26" fillId="8" borderId="212">
      <alignment horizontal="right" vertical="center"/>
    </xf>
    <xf numFmtId="171" fontId="26" fillId="8"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1" fontId="1" fillId="9" borderId="212">
      <alignment horizontal="right" vertical="center"/>
    </xf>
    <xf numFmtId="170" fontId="37" fillId="1" borderId="209" applyNumberFormat="0" applyProtection="0">
      <alignment horizontal="left" vertical="top"/>
    </xf>
    <xf numFmtId="0" fontId="29" fillId="0" borderId="216" applyNumberFormat="0" applyFill="0" applyAlignment="0" applyProtection="0"/>
    <xf numFmtId="168" fontId="19" fillId="0" borderId="211">
      <alignment vertical="center"/>
    </xf>
    <xf numFmtId="168" fontId="19" fillId="0" borderId="219">
      <alignment vertical="center"/>
    </xf>
    <xf numFmtId="171" fontId="1" fillId="9" borderId="215">
      <alignment horizontal="right" vertical="center"/>
    </xf>
    <xf numFmtId="4" fontId="29" fillId="0" borderId="211" applyFill="0" applyBorder="0" applyProtection="0">
      <alignment horizontal="right" vertical="center"/>
    </xf>
    <xf numFmtId="49" fontId="29" fillId="0" borderId="211" applyNumberFormat="0" applyFont="0" applyFill="0" applyBorder="0" applyProtection="0">
      <alignment horizontal="left" vertical="center" indent="2"/>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168" fontId="19" fillId="0" borderId="211">
      <alignment vertical="center"/>
    </xf>
    <xf numFmtId="0" fontId="29" fillId="0" borderId="211" applyNumberFormat="0" applyFill="0" applyAlignment="0" applyProtection="0"/>
    <xf numFmtId="170" fontId="37" fillId="1" borderId="213" applyNumberFormat="0" applyProtection="0">
      <alignment horizontal="left" vertical="top"/>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9" fontId="29" fillId="0" borderId="211" applyNumberFormat="0" applyFont="0" applyFill="0" applyBorder="0" applyProtection="0">
      <alignment horizontal="left" vertical="center" indent="2"/>
    </xf>
    <xf numFmtId="168" fontId="19" fillId="0" borderId="211">
      <alignment vertical="center"/>
    </xf>
    <xf numFmtId="171" fontId="1" fillId="9" borderId="215">
      <alignment horizontal="right" vertical="center"/>
    </xf>
    <xf numFmtId="49" fontId="29" fillId="0" borderId="216" applyNumberFormat="0" applyFont="0" applyFill="0" applyBorder="0" applyProtection="0">
      <alignment horizontal="left" vertical="center" indent="2"/>
    </xf>
    <xf numFmtId="171" fontId="26" fillId="8" borderId="211">
      <alignment horizontal="right" vertical="center"/>
    </xf>
    <xf numFmtId="49" fontId="129" fillId="0" borderId="215" applyNumberFormat="0" applyFill="0" applyBorder="0" applyProtection="0">
      <alignment horizontal="left" vertical="center"/>
    </xf>
    <xf numFmtId="168" fontId="19" fillId="0" borderId="211">
      <alignment vertical="center"/>
    </xf>
    <xf numFmtId="0" fontId="29" fillId="0" borderId="211" applyNumberFormat="0" applyFill="0" applyAlignment="0" applyProtection="0"/>
    <xf numFmtId="171" fontId="1" fillId="9" borderId="211">
      <alignment horizontal="right" vertical="center"/>
    </xf>
    <xf numFmtId="0" fontId="29" fillId="0" borderId="215" applyNumberFormat="0" applyFill="0" applyAlignment="0" applyProtection="0"/>
    <xf numFmtId="171" fontId="1" fillId="9" borderId="215">
      <alignment horizontal="right" vertical="center"/>
    </xf>
    <xf numFmtId="168" fontId="19" fillId="0" borderId="215">
      <alignment vertical="center"/>
    </xf>
    <xf numFmtId="170" fontId="37" fillId="1" borderId="213" applyNumberFormat="0" applyProtection="0">
      <alignment horizontal="left" vertical="top"/>
    </xf>
    <xf numFmtId="171" fontId="26" fillId="8" borderId="211">
      <alignment horizontal="right" vertical="center"/>
    </xf>
    <xf numFmtId="171" fontId="1" fillId="9" borderId="215">
      <alignment horizontal="right" vertical="center"/>
    </xf>
    <xf numFmtId="168" fontId="19" fillId="0" borderId="215">
      <alignment vertical="center"/>
    </xf>
    <xf numFmtId="171" fontId="26" fillId="8" borderId="211">
      <alignment horizontal="right" vertical="center"/>
    </xf>
    <xf numFmtId="168" fontId="19" fillId="0" borderId="219">
      <alignment vertical="center"/>
    </xf>
    <xf numFmtId="171" fontId="26" fillId="8" borderId="211">
      <alignment horizontal="right" vertical="center"/>
    </xf>
    <xf numFmtId="49" fontId="129" fillId="0" borderId="211" applyNumberFormat="0" applyFill="0" applyBorder="0" applyProtection="0">
      <alignment horizontal="left" vertical="center"/>
    </xf>
    <xf numFmtId="175" fontId="29" fillId="62" borderId="211" applyNumberFormat="0" applyFont="0" applyBorder="0" applyAlignment="0" applyProtection="0">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 fontId="29" fillId="0" borderId="211" applyFill="0" applyBorder="0" applyProtection="0">
      <alignment horizontal="right" vertical="center"/>
    </xf>
    <xf numFmtId="168" fontId="19" fillId="0" borderId="219">
      <alignment vertical="center"/>
    </xf>
    <xf numFmtId="175" fontId="29" fillId="62" borderId="216" applyNumberFormat="0" applyFont="0" applyBorder="0" applyAlignment="0" applyProtection="0">
      <alignment horizontal="right" vertical="center"/>
    </xf>
    <xf numFmtId="171" fontId="26" fillId="8" borderId="215">
      <alignment horizontal="right" vertical="center"/>
    </xf>
    <xf numFmtId="171" fontId="26" fillId="8" borderId="219">
      <alignment horizontal="right" vertical="center"/>
    </xf>
    <xf numFmtId="171" fontId="1" fillId="9" borderId="211">
      <alignment horizontal="right" vertical="center"/>
    </xf>
    <xf numFmtId="4" fontId="29" fillId="0" borderId="211" applyFill="0" applyBorder="0" applyProtection="0">
      <alignment horizontal="right" vertical="center"/>
    </xf>
    <xf numFmtId="49" fontId="129" fillId="0" borderId="211" applyNumberFormat="0" applyFill="0" applyBorder="0" applyProtection="0">
      <alignment horizontal="left" vertical="center"/>
    </xf>
    <xf numFmtId="168" fontId="19" fillId="0" borderId="211">
      <alignment vertical="center"/>
    </xf>
    <xf numFmtId="4" fontId="29" fillId="0" borderId="211" applyFill="0" applyBorder="0" applyProtection="0">
      <alignment horizontal="right" vertical="center"/>
    </xf>
    <xf numFmtId="49" fontId="29" fillId="0" borderId="199" applyNumberFormat="0" applyFont="0" applyFill="0" applyBorder="0" applyProtection="0">
      <alignment horizontal="left" vertical="center" indent="2"/>
    </xf>
    <xf numFmtId="0" fontId="29" fillId="0" borderId="199" applyNumberFormat="0" applyFill="0" applyAlignment="0" applyProtection="0"/>
    <xf numFmtId="49" fontId="29" fillId="0" borderId="215" applyNumberFormat="0" applyFont="0" applyFill="0" applyBorder="0" applyProtection="0">
      <alignment horizontal="left" vertical="center" indent="2"/>
    </xf>
    <xf numFmtId="49" fontId="129" fillId="0" borderId="199" applyNumberFormat="0" applyFill="0" applyBorder="0" applyProtection="0">
      <alignment horizontal="left" vertical="center"/>
    </xf>
    <xf numFmtId="171" fontId="26" fillId="8" borderId="199">
      <alignment horizontal="right" vertical="center"/>
    </xf>
    <xf numFmtId="4" fontId="29" fillId="0" borderId="199" applyFill="0" applyBorder="0" applyProtection="0">
      <alignment horizontal="right" vertical="center"/>
    </xf>
    <xf numFmtId="171" fontId="26" fillId="8" borderId="199">
      <alignment horizontal="right" vertical="center"/>
    </xf>
    <xf numFmtId="168" fontId="19" fillId="0" borderId="199">
      <alignment vertical="center"/>
    </xf>
    <xf numFmtId="175" fontId="29" fillId="62" borderId="199" applyNumberFormat="0" applyFont="0" applyBorder="0" applyAlignment="0" applyProtection="0">
      <alignment horizontal="right" vertical="center"/>
    </xf>
    <xf numFmtId="168" fontId="19" fillId="0" borderId="199">
      <alignment vertical="center"/>
    </xf>
    <xf numFmtId="168" fontId="19" fillId="0" borderId="199">
      <alignment vertical="center"/>
    </xf>
    <xf numFmtId="171" fontId="26" fillId="8" borderId="199">
      <alignment horizontal="right" vertical="center"/>
    </xf>
    <xf numFmtId="170" fontId="37" fillId="1" borderId="214" applyNumberFormat="0" applyProtection="0">
      <alignment horizontal="left" vertical="top"/>
    </xf>
    <xf numFmtId="171" fontId="26" fillId="8" borderId="215">
      <alignment horizontal="right" vertical="center"/>
    </xf>
    <xf numFmtId="170" fontId="37" fillId="1" borderId="213" applyNumberFormat="0" applyProtection="0">
      <alignment horizontal="left" vertical="top"/>
    </xf>
    <xf numFmtId="171" fontId="26" fillId="8" borderId="199">
      <alignment horizontal="right" vertical="center"/>
    </xf>
    <xf numFmtId="4" fontId="29" fillId="0" borderId="199" applyFill="0" applyBorder="0" applyProtection="0">
      <alignment horizontal="right" vertical="center"/>
    </xf>
    <xf numFmtId="171" fontId="1" fillId="9" borderId="199">
      <alignment horizontal="right" vertical="center"/>
    </xf>
    <xf numFmtId="171" fontId="1" fillId="9" borderId="199">
      <alignment horizontal="right" vertical="center"/>
    </xf>
    <xf numFmtId="171" fontId="26" fillId="8" borderId="199">
      <alignment horizontal="right" vertical="center"/>
    </xf>
    <xf numFmtId="168" fontId="19" fillId="0" borderId="199">
      <alignment vertical="center"/>
    </xf>
    <xf numFmtId="171" fontId="26" fillId="8"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68" fontId="19" fillId="0" borderId="199">
      <alignment vertical="center"/>
    </xf>
    <xf numFmtId="168" fontId="19" fillId="0" borderId="199">
      <alignment vertical="center"/>
    </xf>
    <xf numFmtId="171" fontId="26" fillId="8" borderId="21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171" fontId="1" fillId="9" borderId="199">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70" fontId="37" fillId="1" borderId="213" applyNumberFormat="0" applyProtection="0">
      <alignment horizontal="left" vertical="top"/>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49" fontId="29" fillId="0" borderId="211" applyNumberFormat="0" applyFont="0" applyFill="0" applyBorder="0" applyProtection="0">
      <alignment horizontal="left" vertical="center" indent="2"/>
    </xf>
    <xf numFmtId="0" fontId="29" fillId="0" borderId="211" applyNumberFormat="0" applyFill="0" applyAlignment="0" applyProtection="0"/>
    <xf numFmtId="171" fontId="1" fillId="9" borderId="211">
      <alignment horizontal="right" vertical="center"/>
    </xf>
    <xf numFmtId="49" fontId="129" fillId="0" borderId="211" applyNumberFormat="0" applyFill="0" applyBorder="0" applyProtection="0">
      <alignment horizontal="left" vertical="center"/>
    </xf>
    <xf numFmtId="171" fontId="26" fillId="8" borderId="211">
      <alignment horizontal="right" vertical="center"/>
    </xf>
    <xf numFmtId="4" fontId="29" fillId="0" borderId="211" applyFill="0" applyBorder="0" applyProtection="0">
      <alignment horizontal="right" vertical="center"/>
    </xf>
    <xf numFmtId="171" fontId="26" fillId="8" borderId="211">
      <alignment horizontal="right" vertical="center"/>
    </xf>
    <xf numFmtId="168" fontId="19" fillId="0" borderId="211">
      <alignment vertical="center"/>
    </xf>
    <xf numFmtId="175" fontId="29" fillId="62" borderId="211" applyNumberFormat="0" applyFont="0" applyBorder="0" applyAlignment="0" applyProtection="0">
      <alignment horizontal="right" vertical="center"/>
    </xf>
    <xf numFmtId="168" fontId="19" fillId="0" borderId="211">
      <alignment vertical="center"/>
    </xf>
    <xf numFmtId="168" fontId="19" fillId="0" borderId="211">
      <alignmen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0" fontId="37" fillId="1" borderId="213" applyNumberFormat="0" applyProtection="0">
      <alignment horizontal="left" vertical="top"/>
    </xf>
    <xf numFmtId="171" fontId="26" fillId="8" borderId="211">
      <alignment horizontal="right" vertical="center"/>
    </xf>
    <xf numFmtId="4" fontId="29" fillId="0" borderId="211" applyFill="0" applyBorder="0" applyProtection="0">
      <alignment horizontal="right" vertical="center"/>
    </xf>
    <xf numFmtId="171" fontId="1" fillId="9" borderId="211">
      <alignment horizontal="right" vertical="center"/>
    </xf>
    <xf numFmtId="171" fontId="1" fillId="9" borderId="211">
      <alignment horizontal="right" vertical="center"/>
    </xf>
    <xf numFmtId="171" fontId="26" fillId="8" borderId="211">
      <alignment horizontal="right" vertical="center"/>
    </xf>
    <xf numFmtId="168" fontId="19" fillId="0" borderId="211">
      <alignment vertical="center"/>
    </xf>
    <xf numFmtId="171" fontId="26" fillId="8" borderId="211">
      <alignment horizontal="right" vertical="center"/>
    </xf>
    <xf numFmtId="171" fontId="1" fillId="9" borderId="211">
      <alignment horizontal="right" vertical="center"/>
    </xf>
    <xf numFmtId="4" fontId="29" fillId="0" borderId="211" applyFill="0" applyBorder="0" applyProtection="0">
      <alignment horizontal="right" vertical="center"/>
    </xf>
    <xf numFmtId="175" fontId="29" fillId="62" borderId="211" applyNumberFormat="0" applyFont="0" applyBorder="0" applyAlignment="0" applyProtection="0">
      <alignment horizontal="right" vertical="center"/>
    </xf>
    <xf numFmtId="49" fontId="29" fillId="0" borderId="211" applyNumberFormat="0" applyFont="0" applyFill="0" applyBorder="0" applyProtection="0">
      <alignment horizontal="left" vertical="center" indent="2"/>
    </xf>
    <xf numFmtId="171" fontId="1" fillId="9" borderId="211">
      <alignment horizontal="right" vertical="center"/>
    </xf>
    <xf numFmtId="171" fontId="1" fillId="9" borderId="211">
      <alignment horizontal="right" vertical="center"/>
    </xf>
    <xf numFmtId="171" fontId="1" fillId="9" borderId="211">
      <alignment horizontal="right" vertical="center"/>
    </xf>
    <xf numFmtId="0" fontId="29" fillId="0" borderId="211" applyNumberFormat="0" applyFill="0" applyAlignment="0" applyProtection="0"/>
    <xf numFmtId="168" fontId="19" fillId="0" borderId="211">
      <alignment vertical="center"/>
    </xf>
    <xf numFmtId="168" fontId="19" fillId="0" borderId="211">
      <alignment vertical="center"/>
    </xf>
    <xf numFmtId="49" fontId="129" fillId="0" borderId="211" applyNumberFormat="0" applyFill="0" applyBorder="0" applyProtection="0">
      <alignment horizontal="left" vertical="center"/>
    </xf>
    <xf numFmtId="168" fontId="19" fillId="0" borderId="211">
      <alignment vertical="center"/>
    </xf>
    <xf numFmtId="168" fontId="19" fillId="0" borderId="211">
      <alignment vertical="center"/>
    </xf>
    <xf numFmtId="168" fontId="19" fillId="0" borderId="211">
      <alignment vertical="center"/>
    </xf>
    <xf numFmtId="171" fontId="26" fillId="8" borderId="211">
      <alignment horizontal="right" vertical="center"/>
    </xf>
    <xf numFmtId="171" fontId="26" fillId="8" borderId="211">
      <alignment horizontal="right" vertical="center"/>
    </xf>
    <xf numFmtId="171" fontId="26" fillId="8"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71" fontId="1" fillId="9" borderId="211">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68" fontId="19" fillId="0" borderId="215">
      <alignmen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9">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0" fontId="37" fillId="1" borderId="217" applyNumberFormat="0" applyProtection="0">
      <alignment horizontal="left" vertical="top"/>
    </xf>
    <xf numFmtId="49" fontId="129" fillId="0" borderId="215" applyNumberFormat="0" applyFill="0" applyBorder="0" applyProtection="0">
      <alignment horizontal="left" vertical="center"/>
    </xf>
    <xf numFmtId="0" fontId="29" fillId="0" borderId="215" applyNumberFormat="0" applyFill="0" applyAlignment="0" applyProtection="0"/>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0" fontId="37" fillId="1" borderId="218" applyNumberFormat="0" applyProtection="0">
      <alignment horizontal="left" vertical="top"/>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7"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49" fontId="129" fillId="0" borderId="215" applyNumberFormat="0" applyFill="0" applyBorder="0" applyProtection="0">
      <alignment horizontal="lef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0" fontId="7" fillId="0" borderId="0"/>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0" fontId="7" fillId="0" borderId="0"/>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1" fillId="9" borderId="219">
      <alignment horizontal="righ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9">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5" fontId="29" fillId="62" borderId="215" applyNumberFormat="0" applyFont="0" applyBorder="0" applyAlignment="0" applyProtection="0">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0" fontId="29" fillId="0" borderId="215" applyNumberFormat="0" applyFill="0" applyAlignment="0" applyProtection="0"/>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71" fontId="26" fillId="8"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70" fontId="37" fillId="1" borderId="218" applyNumberFormat="0" applyProtection="0">
      <alignment horizontal="left" vertical="top"/>
    </xf>
    <xf numFmtId="171" fontId="1" fillId="9" borderId="215">
      <alignment horizontal="right" vertical="center"/>
    </xf>
    <xf numFmtId="171" fontId="26" fillId="8"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0" fontId="37" fillId="1" borderId="218" applyNumberFormat="0" applyProtection="0">
      <alignment horizontal="left" vertical="top"/>
    </xf>
    <xf numFmtId="170" fontId="37" fillId="1" borderId="218" applyNumberFormat="0" applyProtection="0">
      <alignment horizontal="left" vertical="top"/>
    </xf>
    <xf numFmtId="168" fontId="19" fillId="0" borderId="215">
      <alignmen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171" fontId="26" fillId="8" borderId="215">
      <alignment horizontal="right" vertical="center"/>
    </xf>
    <xf numFmtId="0" fontId="29" fillId="0" borderId="215" applyNumberFormat="0" applyFill="0" applyAlignment="0" applyProtection="0"/>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1" fontId="1" fillId="9" borderId="215">
      <alignment horizontal="right" vertical="center"/>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49" fontId="129" fillId="0" borderId="215" applyNumberFormat="0" applyFill="0" applyBorder="0" applyProtection="0">
      <alignment horizontal="left" vertical="center"/>
    </xf>
    <xf numFmtId="4" fontId="29" fillId="0" borderId="215" applyFill="0" applyBorder="0" applyProtection="0">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71" fontId="1" fillId="9" borderId="215">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4" fontId="29" fillId="0" borderId="215" applyFill="0" applyBorder="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1" fillId="9" borderId="215">
      <alignment horizontal="right" vertical="center"/>
    </xf>
    <xf numFmtId="0" fontId="29" fillId="0" borderId="215" applyNumberFormat="0" applyFill="0" applyAlignment="0" applyProtection="0"/>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 fontId="29" fillId="0" borderId="215" applyFill="0" applyBorder="0" applyProtection="0">
      <alignment horizontal="right" vertical="center"/>
    </xf>
    <xf numFmtId="170" fontId="37" fillId="1" borderId="218" applyNumberFormat="0" applyProtection="0">
      <alignment horizontal="left" vertical="top"/>
    </xf>
    <xf numFmtId="171" fontId="1" fillId="9" borderId="215">
      <alignment horizontal="righ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1" fontId="1" fillId="9" borderId="215">
      <alignment horizontal="right" vertical="center"/>
    </xf>
    <xf numFmtId="171" fontId="26" fillId="8"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129" fillId="0" borderId="215" applyNumberFormat="0" applyFill="0" applyBorder="0" applyProtection="0">
      <alignment horizontal="left" vertical="center"/>
    </xf>
    <xf numFmtId="170" fontId="37" fillId="1" borderId="218" applyNumberFormat="0" applyProtection="0">
      <alignment horizontal="left" vertical="top"/>
    </xf>
    <xf numFmtId="171" fontId="1" fillId="9" borderId="215">
      <alignment horizontal="right" vertical="center"/>
    </xf>
    <xf numFmtId="171" fontId="1" fillId="9" borderId="215">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0" fontId="37" fillId="1" borderId="218" applyNumberFormat="0" applyProtection="0">
      <alignment horizontal="left" vertical="top"/>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0" fontId="29" fillId="0" borderId="215" applyNumberFormat="0" applyFill="0" applyAlignment="0" applyProtection="0"/>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168" fontId="19" fillId="0" borderId="215">
      <alignment vertical="center"/>
    </xf>
    <xf numFmtId="0" fontId="29" fillId="0" borderId="215" applyNumberFormat="0" applyFill="0" applyAlignment="0" applyProtection="0"/>
    <xf numFmtId="170" fontId="37" fillId="1" borderId="218" applyNumberFormat="0" applyProtection="0">
      <alignment horizontal="left" vertical="top"/>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9" fontId="29" fillId="0" borderId="215" applyNumberFormat="0" applyFont="0" applyFill="0" applyBorder="0" applyProtection="0">
      <alignment horizontal="left" vertical="center" indent="2"/>
    </xf>
    <xf numFmtId="168" fontId="19" fillId="0" borderId="215">
      <alignmen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171" fontId="26" fillId="8" borderId="215">
      <alignment horizontal="right" vertical="center"/>
    </xf>
    <xf numFmtId="168" fontId="19" fillId="0" borderId="215">
      <alignment vertical="center"/>
    </xf>
    <xf numFmtId="0" fontId="29" fillId="0" borderId="215" applyNumberFormat="0" applyFill="0" applyAlignment="0" applyProtection="0"/>
    <xf numFmtId="171" fontId="1" fillId="9" borderId="215">
      <alignment horizontal="right" vertical="center"/>
    </xf>
    <xf numFmtId="171" fontId="1" fillId="9" borderId="215">
      <alignment horizontal="right" vertical="center"/>
    </xf>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68" fontId="19" fillId="0" borderId="215">
      <alignment vertical="center"/>
    </xf>
    <xf numFmtId="171" fontId="26" fillId="8" borderId="215">
      <alignment horizontal="right" vertical="center"/>
    </xf>
    <xf numFmtId="171" fontId="26" fillId="8" borderId="215">
      <alignment horizontal="right" vertical="center"/>
    </xf>
    <xf numFmtId="49" fontId="129" fillId="0" borderId="215" applyNumberFormat="0" applyFill="0" applyBorder="0" applyProtection="0">
      <alignment horizontal="left" vertical="center"/>
    </xf>
    <xf numFmtId="175" fontId="29" fillId="62" borderId="215" applyNumberFormat="0" applyFont="0" applyBorder="0" applyAlignment="0" applyProtection="0">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68" fontId="19" fillId="0" borderId="215">
      <alignmen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49" fontId="129" fillId="0" borderId="215" applyNumberFormat="0" applyFill="0" applyBorder="0" applyProtection="0">
      <alignment horizontal="left" vertical="center"/>
    </xf>
    <xf numFmtId="168" fontId="19" fillId="0" borderId="215">
      <alignment vertical="center"/>
    </xf>
    <xf numFmtId="4" fontId="29" fillId="0" borderId="215" applyFill="0" applyBorder="0" applyProtection="0">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68" fontId="19" fillId="0" borderId="215">
      <alignment vertical="center"/>
    </xf>
    <xf numFmtId="168" fontId="19" fillId="0" borderId="215">
      <alignmen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70" fontId="37" fillId="1" borderId="218" applyNumberFormat="0" applyProtection="0">
      <alignment horizontal="left" vertical="top"/>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9" fontId="29" fillId="0" borderId="215" applyNumberFormat="0" applyFont="0" applyFill="0" applyBorder="0" applyProtection="0">
      <alignment horizontal="left" vertical="center" indent="2"/>
    </xf>
    <xf numFmtId="0" fontId="29" fillId="0" borderId="215" applyNumberFormat="0" applyFill="0" applyAlignment="0" applyProtection="0"/>
    <xf numFmtId="171" fontId="1" fillId="9" borderId="215">
      <alignment horizontal="right" vertical="center"/>
    </xf>
    <xf numFmtId="49" fontId="129" fillId="0" borderId="215" applyNumberFormat="0" applyFill="0" applyBorder="0" applyProtection="0">
      <alignment horizontal="left" vertical="center"/>
    </xf>
    <xf numFmtId="171" fontId="26" fillId="8" borderId="215">
      <alignment horizontal="right" vertical="center"/>
    </xf>
    <xf numFmtId="4" fontId="29" fillId="0" borderId="215" applyFill="0" applyBorder="0" applyProtection="0">
      <alignment horizontal="right" vertical="center"/>
    </xf>
    <xf numFmtId="171" fontId="26" fillId="8" borderId="215">
      <alignment horizontal="right" vertical="center"/>
    </xf>
    <xf numFmtId="168" fontId="19" fillId="0" borderId="215">
      <alignment vertical="center"/>
    </xf>
    <xf numFmtId="175" fontId="29" fillId="62" borderId="215" applyNumberFormat="0" applyFont="0" applyBorder="0" applyAlignment="0" applyProtection="0">
      <alignment horizontal="right" vertical="center"/>
    </xf>
    <xf numFmtId="168" fontId="19" fillId="0" borderId="215">
      <alignment vertical="center"/>
    </xf>
    <xf numFmtId="168" fontId="19" fillId="0" borderId="215">
      <alignmen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0" fontId="37" fillId="1" borderId="218" applyNumberFormat="0" applyProtection="0">
      <alignment horizontal="left" vertical="top"/>
    </xf>
    <xf numFmtId="171" fontId="26" fillId="8" borderId="215">
      <alignment horizontal="right" vertical="center"/>
    </xf>
    <xf numFmtId="4" fontId="29" fillId="0" borderId="215" applyFill="0" applyBorder="0" applyProtection="0">
      <alignment horizontal="right" vertical="center"/>
    </xf>
    <xf numFmtId="171" fontId="1" fillId="9" borderId="215">
      <alignment horizontal="right" vertical="center"/>
    </xf>
    <xf numFmtId="171" fontId="1" fillId="9" borderId="215">
      <alignment horizontal="right" vertical="center"/>
    </xf>
    <xf numFmtId="171" fontId="26" fillId="8" borderId="215">
      <alignment horizontal="right" vertical="center"/>
    </xf>
    <xf numFmtId="168" fontId="19" fillId="0" borderId="215">
      <alignment vertical="center"/>
    </xf>
    <xf numFmtId="171" fontId="26" fillId="8" borderId="215">
      <alignment horizontal="right" vertical="center"/>
    </xf>
    <xf numFmtId="171" fontId="1" fillId="9" borderId="215">
      <alignment horizontal="right" vertical="center"/>
    </xf>
    <xf numFmtId="4" fontId="29" fillId="0" borderId="215" applyFill="0" applyBorder="0" applyProtection="0">
      <alignment horizontal="right" vertical="center"/>
    </xf>
    <xf numFmtId="175" fontId="29" fillId="62" borderId="215" applyNumberFormat="0" applyFont="0" applyBorder="0" applyAlignment="0" applyProtection="0">
      <alignment horizontal="right" vertical="center"/>
    </xf>
    <xf numFmtId="49" fontId="29" fillId="0" borderId="215" applyNumberFormat="0" applyFont="0" applyFill="0" applyBorder="0" applyProtection="0">
      <alignment horizontal="left" vertical="center" indent="2"/>
    </xf>
    <xf numFmtId="171" fontId="1" fillId="9" borderId="215">
      <alignment horizontal="right" vertical="center"/>
    </xf>
    <xf numFmtId="171" fontId="1" fillId="9" borderId="215">
      <alignment horizontal="right" vertical="center"/>
    </xf>
    <xf numFmtId="171" fontId="1" fillId="9" borderId="215">
      <alignment horizontal="right" vertical="center"/>
    </xf>
    <xf numFmtId="0" fontId="29" fillId="0" borderId="215" applyNumberFormat="0" applyFill="0" applyAlignment="0" applyProtection="0"/>
    <xf numFmtId="168" fontId="19" fillId="0" borderId="215">
      <alignment vertical="center"/>
    </xf>
    <xf numFmtId="168" fontId="19" fillId="0" borderId="215">
      <alignment vertical="center"/>
    </xf>
    <xf numFmtId="49" fontId="129" fillId="0" borderId="215" applyNumberFormat="0" applyFill="0" applyBorder="0" applyProtection="0">
      <alignment horizontal="left" vertical="center"/>
    </xf>
    <xf numFmtId="168" fontId="19" fillId="0" borderId="215">
      <alignment vertical="center"/>
    </xf>
    <xf numFmtId="168" fontId="19" fillId="0" borderId="215">
      <alignment vertical="center"/>
    </xf>
    <xf numFmtId="168" fontId="19" fillId="0" borderId="215">
      <alignment vertical="center"/>
    </xf>
    <xf numFmtId="171" fontId="26" fillId="8" borderId="215">
      <alignment horizontal="right" vertical="center"/>
    </xf>
    <xf numFmtId="171" fontId="26" fillId="8" borderId="215">
      <alignment horizontal="right" vertical="center"/>
    </xf>
    <xf numFmtId="171" fontId="26" fillId="8"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171" fontId="1" fillId="9" borderId="215">
      <alignment horizontal="right" vertical="center"/>
    </xf>
    <xf numFmtId="43" fontId="7" fillId="0" borderId="0" applyFont="0" applyFill="0" applyBorder="0" applyAlignment="0" applyProtection="0"/>
    <xf numFmtId="43" fontId="7" fillId="0" borderId="0" applyFont="0" applyFill="0" applyBorder="0" applyAlignment="0" applyProtection="0"/>
    <xf numFmtId="170" fontId="6" fillId="0" borderId="2" applyNumberFormat="0" applyFill="0" applyAlignment="0" applyProtection="0"/>
  </cellStyleXfs>
  <cellXfs count="1330">
    <xf numFmtId="170" fontId="0" fillId="0" borderId="0" xfId="0"/>
    <xf numFmtId="170" fontId="6" fillId="0" borderId="0" xfId="1"/>
    <xf numFmtId="168" fontId="15" fillId="0" borderId="0" xfId="3" applyNumberFormat="1" applyFont="1" applyFill="1"/>
    <xf numFmtId="170" fontId="0" fillId="0" borderId="7" xfId="0" applyBorder="1"/>
    <xf numFmtId="170" fontId="0" fillId="0" borderId="10" xfId="0" applyBorder="1"/>
    <xf numFmtId="170" fontId="9" fillId="0" borderId="7" xfId="0" applyFont="1" applyBorder="1"/>
    <xf numFmtId="170" fontId="19" fillId="0" borderId="0" xfId="5" applyFont="1" applyFill="1" applyBorder="1" applyAlignment="1">
      <alignment wrapText="1"/>
    </xf>
    <xf numFmtId="170" fontId="17" fillId="0" borderId="0" xfId="0" applyFont="1"/>
    <xf numFmtId="170" fontId="9" fillId="0" borderId="0" xfId="0" applyFont="1"/>
    <xf numFmtId="170" fontId="25" fillId="0" borderId="0" xfId="0" applyFont="1" applyBorder="1"/>
    <xf numFmtId="170" fontId="8" fillId="0" borderId="0" xfId="0" applyFont="1"/>
    <xf numFmtId="170" fontId="26" fillId="0" borderId="0" xfId="0" applyFont="1"/>
    <xf numFmtId="170" fontId="41" fillId="12" borderId="15" xfId="0" applyFont="1" applyFill="1" applyBorder="1" applyAlignment="1">
      <alignment horizontal="center" vertical="center" wrapText="1"/>
    </xf>
    <xf numFmtId="170" fontId="40" fillId="0" borderId="0" xfId="0" applyFont="1" applyFill="1" applyBorder="1" applyAlignment="1">
      <alignment horizontal="center" vertical="center" wrapText="1"/>
    </xf>
    <xf numFmtId="3" fontId="41" fillId="0" borderId="0" xfId="0" applyNumberFormat="1" applyFont="1" applyFill="1" applyBorder="1" applyAlignment="1">
      <alignment horizontal="center" vertical="center" wrapText="1"/>
    </xf>
    <xf numFmtId="170" fontId="0" fillId="0" borderId="0" xfId="0" applyFill="1"/>
    <xf numFmtId="170" fontId="9" fillId="0" borderId="15" xfId="0" applyFont="1" applyBorder="1"/>
    <xf numFmtId="3" fontId="0" fillId="3" borderId="15" xfId="0" applyNumberFormat="1" applyFill="1" applyBorder="1" applyAlignment="1">
      <alignment horizontal="center"/>
    </xf>
    <xf numFmtId="3" fontId="0" fillId="3" borderId="15" xfId="0" quotePrefix="1" applyNumberFormat="1" applyFill="1" applyBorder="1" applyAlignment="1">
      <alignment horizontal="center"/>
    </xf>
    <xf numFmtId="3" fontId="0" fillId="0" borderId="0" xfId="0" applyNumberFormat="1" applyAlignment="1">
      <alignment horizontal="center"/>
    </xf>
    <xf numFmtId="170" fontId="9" fillId="13" borderId="15" xfId="0" applyFont="1" applyFill="1" applyBorder="1"/>
    <xf numFmtId="3" fontId="9" fillId="13" borderId="15" xfId="0" applyNumberFormat="1" applyFont="1" applyFill="1" applyBorder="1" applyAlignment="1">
      <alignment horizontal="center"/>
    </xf>
    <xf numFmtId="172" fontId="0" fillId="0" borderId="0" xfId="0" applyNumberFormat="1" applyAlignment="1">
      <alignment horizontal="center"/>
    </xf>
    <xf numFmtId="3" fontId="0" fillId="13" borderId="15" xfId="0" applyNumberFormat="1" applyFill="1" applyBorder="1" applyAlignment="1">
      <alignment horizontal="center"/>
    </xf>
    <xf numFmtId="170" fontId="9" fillId="14" borderId="15" xfId="0" applyFont="1" applyFill="1" applyBorder="1"/>
    <xf numFmtId="172" fontId="0" fillId="14" borderId="15" xfId="0" applyNumberFormat="1" applyFill="1" applyBorder="1" applyAlignment="1">
      <alignment horizontal="center"/>
    </xf>
    <xf numFmtId="3" fontId="0" fillId="14" borderId="15" xfId="0" quotePrefix="1" applyNumberFormat="1" applyFill="1" applyBorder="1" applyAlignment="1">
      <alignment horizontal="center"/>
    </xf>
    <xf numFmtId="170" fontId="20" fillId="0" borderId="0" xfId="0" applyFont="1" applyFill="1"/>
    <xf numFmtId="3" fontId="0" fillId="0" borderId="0" xfId="0" quotePrefix="1" applyNumberFormat="1" applyFill="1" applyBorder="1" applyAlignment="1">
      <alignment horizontal="center"/>
    </xf>
    <xf numFmtId="3" fontId="0" fillId="0" borderId="0" xfId="0" applyNumberFormat="1" applyFill="1" applyBorder="1" applyAlignment="1">
      <alignment horizontal="center"/>
    </xf>
    <xf numFmtId="3" fontId="0" fillId="2" borderId="15" xfId="0" applyNumberFormat="1" applyFill="1" applyBorder="1" applyAlignment="1">
      <alignment horizontal="center"/>
    </xf>
    <xf numFmtId="172" fontId="0" fillId="17" borderId="15" xfId="0" applyNumberFormat="1" applyFill="1" applyBorder="1" applyAlignment="1">
      <alignment horizontal="center"/>
    </xf>
    <xf numFmtId="170" fontId="0" fillId="0" borderId="0" xfId="0" applyFill="1" applyBorder="1"/>
    <xf numFmtId="3" fontId="0" fillId="3" borderId="0" xfId="0" applyNumberFormat="1" applyFill="1" applyBorder="1" applyAlignment="1">
      <alignment horizontal="center"/>
    </xf>
    <xf numFmtId="3" fontId="0" fillId="3" borderId="0" xfId="0" quotePrefix="1" applyNumberFormat="1" applyFill="1" applyBorder="1" applyAlignment="1">
      <alignment horizontal="center"/>
    </xf>
    <xf numFmtId="169" fontId="0" fillId="3" borderId="0" xfId="0" applyNumberFormat="1" applyFill="1" applyBorder="1" applyAlignment="1">
      <alignment horizontal="center"/>
    </xf>
    <xf numFmtId="170" fontId="0" fillId="0" borderId="0" xfId="0" applyFill="1" applyBorder="1" applyAlignment="1">
      <alignment horizontal="center"/>
    </xf>
    <xf numFmtId="3" fontId="0" fillId="2" borderId="0" xfId="0" applyNumberFormat="1" applyFill="1" applyBorder="1" applyAlignment="1">
      <alignment horizontal="center"/>
    </xf>
    <xf numFmtId="172" fontId="0" fillId="0" borderId="0" xfId="0" applyNumberFormat="1"/>
    <xf numFmtId="2" fontId="0" fillId="3" borderId="0" xfId="0" applyNumberFormat="1" applyFill="1" applyBorder="1" applyAlignment="1">
      <alignment horizontal="center"/>
    </xf>
    <xf numFmtId="4" fontId="0" fillId="3" borderId="0" xfId="0" applyNumberFormat="1" applyFill="1" applyBorder="1" applyAlignment="1">
      <alignment horizontal="center"/>
    </xf>
    <xf numFmtId="170" fontId="0" fillId="0" borderId="15" xfId="0" applyFill="1" applyBorder="1"/>
    <xf numFmtId="170" fontId="9" fillId="0" borderId="0" xfId="0" applyFont="1" applyFill="1" applyBorder="1"/>
    <xf numFmtId="170" fontId="0" fillId="0" borderId="0" xfId="0" applyBorder="1"/>
    <xf numFmtId="170" fontId="0" fillId="0" borderId="21" xfId="0" applyBorder="1"/>
    <xf numFmtId="170" fontId="0" fillId="0" borderId="103" xfId="0" applyBorder="1"/>
    <xf numFmtId="170" fontId="9" fillId="0" borderId="21" xfId="0" applyFont="1" applyFill="1" applyBorder="1"/>
    <xf numFmtId="3" fontId="0" fillId="15" borderId="0" xfId="0" applyNumberFormat="1" applyFill="1" applyBorder="1"/>
    <xf numFmtId="3" fontId="0" fillId="0" borderId="0" xfId="0" applyNumberFormat="1" applyFill="1" applyBorder="1"/>
    <xf numFmtId="3" fontId="0" fillId="3" borderId="0" xfId="0" applyNumberFormat="1" applyFill="1" applyBorder="1"/>
    <xf numFmtId="170" fontId="50" fillId="0" borderId="0" xfId="0" applyFont="1" applyFill="1"/>
    <xf numFmtId="170" fontId="49" fillId="0" borderId="0" xfId="0" applyFont="1"/>
    <xf numFmtId="3" fontId="0" fillId="0" borderId="0" xfId="0" applyNumberFormat="1" applyFill="1"/>
    <xf numFmtId="10" fontId="0" fillId="0" borderId="0" xfId="52" applyNumberFormat="1" applyFont="1" applyBorder="1" applyAlignment="1">
      <alignment horizontal="center" vertical="center"/>
    </xf>
    <xf numFmtId="3" fontId="9" fillId="0" borderId="0" xfId="0" applyNumberFormat="1" applyFont="1" applyFill="1" applyBorder="1" applyAlignment="1">
      <alignment horizontal="center"/>
    </xf>
    <xf numFmtId="170" fontId="26" fillId="0" borderId="0" xfId="1" applyFont="1"/>
    <xf numFmtId="172" fontId="26" fillId="14" borderId="15" xfId="0" applyNumberFormat="1" applyFont="1" applyFill="1" applyBorder="1" applyAlignment="1">
      <alignment horizontal="center"/>
    </xf>
    <xf numFmtId="172" fontId="8" fillId="14" borderId="15" xfId="0" applyNumberFormat="1" applyFont="1" applyFill="1" applyBorder="1" applyAlignment="1">
      <alignment horizontal="center"/>
    </xf>
    <xf numFmtId="170" fontId="0" fillId="0" borderId="0" xfId="0" applyFont="1" applyFill="1" applyBorder="1"/>
    <xf numFmtId="3" fontId="56" fillId="0" borderId="0" xfId="0" applyNumberFormat="1" applyFont="1" applyBorder="1" applyAlignment="1">
      <alignment horizontal="center"/>
    </xf>
    <xf numFmtId="3" fontId="12" fillId="0" borderId="0" xfId="0" applyNumberFormat="1" applyFont="1" applyBorder="1" applyAlignment="1">
      <alignment horizontal="center"/>
    </xf>
    <xf numFmtId="3" fontId="57" fillId="0" borderId="0" xfId="0" applyNumberFormat="1" applyFont="1" applyBorder="1" applyAlignment="1">
      <alignment horizontal="center"/>
    </xf>
    <xf numFmtId="3" fontId="58" fillId="0" borderId="0" xfId="0" applyNumberFormat="1" applyFont="1" applyAlignment="1">
      <alignment horizontal="center"/>
    </xf>
    <xf numFmtId="3" fontId="60" fillId="0" borderId="0" xfId="0" applyNumberFormat="1" applyFont="1" applyAlignment="1">
      <alignment horizontal="center"/>
    </xf>
    <xf numFmtId="3" fontId="60" fillId="12" borderId="6" xfId="0" applyNumberFormat="1" applyFont="1" applyFill="1" applyBorder="1" applyAlignment="1">
      <alignment horizontal="center" vertical="center" wrapText="1"/>
    </xf>
    <xf numFmtId="3" fontId="60" fillId="12" borderId="39" xfId="0" applyNumberFormat="1" applyFont="1" applyFill="1" applyBorder="1" applyAlignment="1">
      <alignment horizontal="center" vertical="center" wrapText="1"/>
    </xf>
    <xf numFmtId="3" fontId="60" fillId="12" borderId="58" xfId="0" applyNumberFormat="1" applyFont="1" applyFill="1" applyBorder="1" applyAlignment="1">
      <alignment horizontal="center" vertical="center" wrapText="1"/>
    </xf>
    <xf numFmtId="3" fontId="58" fillId="0" borderId="0" xfId="0" applyNumberFormat="1" applyFont="1" applyAlignment="1">
      <alignment horizontal="center" vertical="center"/>
    </xf>
    <xf numFmtId="170" fontId="76" fillId="0" borderId="0" xfId="0" applyFont="1"/>
    <xf numFmtId="170" fontId="80" fillId="0" borderId="0" xfId="0" applyFont="1" applyFill="1" applyBorder="1" applyAlignment="1">
      <alignment horizontal="left" vertical="center" wrapText="1"/>
    </xf>
    <xf numFmtId="170" fontId="77" fillId="0" borderId="0" xfId="0" applyFont="1" applyFill="1" applyBorder="1" applyAlignment="1">
      <alignment horizontal="left" vertical="center" wrapText="1"/>
    </xf>
    <xf numFmtId="170" fontId="79" fillId="0" borderId="0" xfId="0" applyFont="1" applyFill="1" applyBorder="1" applyAlignment="1">
      <alignment horizontal="left" vertical="center" wrapText="1"/>
    </xf>
    <xf numFmtId="170" fontId="82" fillId="0" borderId="0" xfId="0" applyFont="1" applyFill="1"/>
    <xf numFmtId="170" fontId="80" fillId="0" borderId="111" xfId="0" applyFont="1" applyFill="1" applyBorder="1" applyAlignment="1">
      <alignment horizontal="left" vertical="center" wrapText="1"/>
    </xf>
    <xf numFmtId="170" fontId="55" fillId="12" borderId="0" xfId="0" applyFont="1" applyFill="1" applyBorder="1" applyAlignment="1">
      <alignment horizontal="left" vertical="center" wrapText="1"/>
    </xf>
    <xf numFmtId="170" fontId="0" fillId="0" borderId="110" xfId="0" applyBorder="1" applyAlignment="1">
      <alignment vertical="top" wrapText="1"/>
    </xf>
    <xf numFmtId="168" fontId="13" fillId="23" borderId="5" xfId="3" applyNumberFormat="1" applyFont="1" applyFill="1" applyBorder="1" applyAlignment="1">
      <alignment horizontal="center"/>
    </xf>
    <xf numFmtId="168" fontId="13" fillId="23" borderId="5" xfId="3" quotePrefix="1" applyNumberFormat="1" applyFont="1" applyFill="1" applyBorder="1" applyAlignment="1">
      <alignment horizontal="center"/>
    </xf>
    <xf numFmtId="168" fontId="13" fillId="23" borderId="6" xfId="3" applyNumberFormat="1" applyFont="1" applyFill="1" applyBorder="1" applyAlignment="1">
      <alignment horizontal="center"/>
    </xf>
    <xf numFmtId="168" fontId="13" fillId="23" borderId="6" xfId="3" quotePrefix="1" applyNumberFormat="1" applyFont="1" applyFill="1" applyBorder="1" applyAlignment="1">
      <alignment horizontal="center"/>
    </xf>
    <xf numFmtId="168" fontId="14" fillId="23" borderId="5" xfId="3" applyNumberFormat="1" applyFont="1" applyFill="1" applyBorder="1" applyAlignment="1">
      <alignment horizontal="center"/>
    </xf>
    <xf numFmtId="168" fontId="14" fillId="23" borderId="5" xfId="3" quotePrefix="1" applyNumberFormat="1" applyFont="1" applyFill="1" applyBorder="1" applyAlignment="1">
      <alignment horizontal="center"/>
    </xf>
    <xf numFmtId="168" fontId="15" fillId="23" borderId="0" xfId="3" applyNumberFormat="1" applyFont="1" applyFill="1" applyBorder="1" applyAlignment="1">
      <alignment horizontal="center"/>
    </xf>
    <xf numFmtId="168" fontId="13" fillId="23" borderId="9" xfId="3" applyNumberFormat="1" applyFont="1" applyFill="1" applyBorder="1" applyAlignment="1">
      <alignment horizontal="center"/>
    </xf>
    <xf numFmtId="168" fontId="13" fillId="23" borderId="0" xfId="3" quotePrefix="1" applyNumberFormat="1" applyFont="1" applyFill="1" applyBorder="1" applyAlignment="1">
      <alignment horizontal="center"/>
    </xf>
    <xf numFmtId="168" fontId="13" fillId="23" borderId="0" xfId="3" applyNumberFormat="1" applyFont="1" applyFill="1" applyBorder="1" applyAlignment="1">
      <alignment horizontal="center"/>
    </xf>
    <xf numFmtId="168" fontId="13" fillId="23" borderId="9" xfId="3" quotePrefix="1" applyNumberFormat="1" applyFont="1" applyFill="1" applyBorder="1" applyAlignment="1">
      <alignment horizontal="center"/>
    </xf>
    <xf numFmtId="168" fontId="14" fillId="23" borderId="0" xfId="3" applyNumberFormat="1" applyFont="1" applyFill="1" applyBorder="1" applyAlignment="1">
      <alignment horizontal="center"/>
    </xf>
    <xf numFmtId="168" fontId="13" fillId="23" borderId="12" xfId="3" applyNumberFormat="1" applyFont="1" applyFill="1" applyBorder="1" applyAlignment="1">
      <alignment horizontal="center"/>
    </xf>
    <xf numFmtId="168" fontId="13" fillId="23" borderId="13" xfId="3" applyNumberFormat="1" applyFont="1" applyFill="1" applyBorder="1" applyAlignment="1">
      <alignment horizontal="center"/>
    </xf>
    <xf numFmtId="168" fontId="13" fillId="23" borderId="12" xfId="3" quotePrefix="1" applyNumberFormat="1" applyFont="1" applyFill="1" applyBorder="1" applyAlignment="1">
      <alignment horizontal="center"/>
    </xf>
    <xf numFmtId="168" fontId="13" fillId="23" borderId="13" xfId="3" quotePrefix="1" applyNumberFormat="1" applyFont="1" applyFill="1" applyBorder="1" applyAlignment="1">
      <alignment horizontal="center"/>
    </xf>
    <xf numFmtId="168" fontId="14" fillId="23" borderId="12" xfId="3" applyNumberFormat="1" applyFont="1" applyFill="1" applyBorder="1" applyAlignment="1">
      <alignment horizontal="center"/>
    </xf>
    <xf numFmtId="170" fontId="55" fillId="12" borderId="21" xfId="0" applyFont="1" applyFill="1" applyBorder="1" applyAlignment="1">
      <alignment horizontal="left" vertical="center" wrapText="1"/>
    </xf>
    <xf numFmtId="170" fontId="55" fillId="12" borderId="80" xfId="0" applyFont="1" applyFill="1" applyBorder="1" applyAlignment="1">
      <alignment horizontal="left" vertical="center" wrapText="1"/>
    </xf>
    <xf numFmtId="170" fontId="80" fillId="0" borderId="21" xfId="0" applyFont="1" applyFill="1" applyBorder="1" applyAlignment="1">
      <alignment horizontal="left" vertical="center" wrapText="1"/>
    </xf>
    <xf numFmtId="170" fontId="0" fillId="0" borderId="80" xfId="0" applyBorder="1"/>
    <xf numFmtId="170" fontId="0" fillId="0" borderId="21" xfId="0" applyBorder="1" applyAlignment="1">
      <alignment horizontal="justify" wrapText="1"/>
    </xf>
    <xf numFmtId="170" fontId="77" fillId="0" borderId="21" xfId="0" applyFont="1" applyFill="1" applyBorder="1" applyAlignment="1">
      <alignment horizontal="left" vertical="center" wrapText="1"/>
    </xf>
    <xf numFmtId="170" fontId="77" fillId="0" borderId="80" xfId="0" applyFont="1" applyFill="1" applyBorder="1" applyAlignment="1">
      <alignment horizontal="left" vertical="center" wrapText="1"/>
    </xf>
    <xf numFmtId="170" fontId="80" fillId="0" borderId="80" xfId="0" applyFont="1" applyFill="1" applyBorder="1" applyAlignment="1">
      <alignment horizontal="left" vertical="center" wrapText="1"/>
    </xf>
    <xf numFmtId="170" fontId="0" fillId="0" borderId="114" xfId="0" applyBorder="1"/>
    <xf numFmtId="170" fontId="49" fillId="0" borderId="80" xfId="0" applyFont="1" applyFill="1" applyBorder="1" applyAlignment="1">
      <alignment horizontal="justify" wrapText="1"/>
    </xf>
    <xf numFmtId="170" fontId="80" fillId="0" borderId="114" xfId="0" applyFont="1" applyFill="1" applyBorder="1" applyAlignment="1">
      <alignment horizontal="left" vertical="center" wrapText="1"/>
    </xf>
    <xf numFmtId="170" fontId="80" fillId="0" borderId="115" xfId="0" applyFont="1" applyFill="1" applyBorder="1" applyAlignment="1">
      <alignment horizontal="left" vertical="center" wrapText="1"/>
    </xf>
    <xf numFmtId="170" fontId="55" fillId="12" borderId="103" xfId="0" applyFont="1" applyFill="1" applyBorder="1" applyAlignment="1">
      <alignment horizontal="left" vertical="center" wrapText="1"/>
    </xf>
    <xf numFmtId="170" fontId="55" fillId="12" borderId="61" xfId="0" applyFont="1" applyFill="1" applyBorder="1" applyAlignment="1">
      <alignment horizontal="left" vertical="center" wrapText="1"/>
    </xf>
    <xf numFmtId="170" fontId="55" fillId="12" borderId="18" xfId="0" applyFont="1" applyFill="1" applyBorder="1" applyAlignment="1">
      <alignment horizontal="left" vertical="center" wrapText="1"/>
    </xf>
    <xf numFmtId="170" fontId="0" fillId="0" borderId="61" xfId="0" applyBorder="1"/>
    <xf numFmtId="170" fontId="0" fillId="0" borderId="18" xfId="0" applyBorder="1"/>
    <xf numFmtId="170" fontId="78" fillId="12" borderId="86" xfId="0" applyFont="1" applyFill="1" applyBorder="1" applyAlignment="1">
      <alignment horizontal="left" vertical="center" wrapText="1"/>
    </xf>
    <xf numFmtId="170" fontId="78" fillId="12" borderId="16" xfId="0" applyFont="1" applyFill="1" applyBorder="1" applyAlignment="1">
      <alignment horizontal="left" vertical="center" wrapText="1"/>
    </xf>
    <xf numFmtId="170" fontId="75" fillId="0" borderId="21" xfId="0" applyFont="1" applyFill="1" applyBorder="1" applyAlignment="1">
      <alignment vertical="top" wrapText="1"/>
    </xf>
    <xf numFmtId="170" fontId="74" fillId="0" borderId="112" xfId="148" applyBorder="1" applyAlignment="1" applyProtection="1">
      <alignment vertical="top"/>
    </xf>
    <xf numFmtId="170" fontId="0" fillId="0" borderId="113" xfId="0" applyBorder="1" applyAlignment="1">
      <alignment vertical="top"/>
    </xf>
    <xf numFmtId="170" fontId="0" fillId="0" borderId="103" xfId="0" applyFill="1" applyBorder="1"/>
    <xf numFmtId="170" fontId="0" fillId="0" borderId="112" xfId="0" applyBorder="1" applyAlignment="1">
      <alignment horizontal="justify" vertical="top"/>
    </xf>
    <xf numFmtId="170" fontId="0" fillId="0" borderId="21" xfId="0" applyBorder="1" applyAlignment="1">
      <alignment horizontal="left" vertical="top" indent="2"/>
    </xf>
    <xf numFmtId="170" fontId="0" fillId="0" borderId="21" xfId="0" applyBorder="1" applyAlignment="1">
      <alignment horizontal="justify" vertical="top"/>
    </xf>
    <xf numFmtId="170" fontId="0" fillId="0" borderId="103" xfId="0" applyBorder="1" applyAlignment="1">
      <alignment horizontal="justify" vertical="top"/>
    </xf>
    <xf numFmtId="170" fontId="0" fillId="0" borderId="112" xfId="0" applyFill="1" applyBorder="1"/>
    <xf numFmtId="170" fontId="9" fillId="23" borderId="19" xfId="0" applyFont="1" applyFill="1" applyBorder="1"/>
    <xf numFmtId="170" fontId="0" fillId="0" borderId="118" xfId="0" applyBorder="1"/>
    <xf numFmtId="170" fontId="74" fillId="0" borderId="21" xfId="148" applyBorder="1" applyAlignment="1" applyProtection="1">
      <alignment vertical="top"/>
    </xf>
    <xf numFmtId="170" fontId="0" fillId="0" borderId="0" xfId="0" applyBorder="1" applyAlignment="1">
      <alignment vertical="top" wrapText="1"/>
    </xf>
    <xf numFmtId="170" fontId="0" fillId="0" borderId="119" xfId="0" applyBorder="1"/>
    <xf numFmtId="170" fontId="88" fillId="0" borderId="118" xfId="0" applyFont="1" applyBorder="1"/>
    <xf numFmtId="170" fontId="19" fillId="0" borderId="12" xfId="5" applyFont="1" applyFill="1" applyBorder="1" applyAlignment="1">
      <alignment wrapText="1"/>
    </xf>
    <xf numFmtId="170" fontId="0" fillId="0" borderId="0" xfId="0" applyBorder="1" applyAlignment="1">
      <alignment horizontal="left"/>
    </xf>
    <xf numFmtId="170" fontId="0" fillId="0" borderId="121" xfId="0" applyBorder="1"/>
    <xf numFmtId="170" fontId="26" fillId="0" borderId="110" xfId="0" applyFont="1" applyBorder="1" applyAlignment="1">
      <alignment vertical="top" wrapText="1"/>
    </xf>
    <xf numFmtId="170" fontId="26" fillId="0" borderId="113" xfId="0" applyFont="1" applyBorder="1" applyAlignment="1">
      <alignment vertical="top"/>
    </xf>
    <xf numFmtId="170" fontId="26" fillId="0" borderId="119" xfId="0" applyFont="1" applyBorder="1"/>
    <xf numFmtId="170" fontId="26" fillId="0" borderId="121" xfId="0" applyFont="1" applyBorder="1"/>
    <xf numFmtId="170" fontId="26" fillId="0" borderId="118" xfId="0" applyFont="1" applyBorder="1"/>
    <xf numFmtId="170" fontId="55" fillId="12" borderId="19" xfId="0" applyFont="1" applyFill="1" applyBorder="1" applyAlignment="1">
      <alignment horizontal="left" vertical="center" wrapText="1"/>
    </xf>
    <xf numFmtId="49" fontId="91" fillId="23" borderId="19" xfId="0" applyNumberFormat="1" applyFont="1" applyFill="1" applyBorder="1"/>
    <xf numFmtId="170" fontId="47" fillId="0" borderId="21" xfId="0" applyFont="1" applyFill="1" applyBorder="1" applyAlignment="1">
      <alignment horizontal="justify" vertical="top"/>
    </xf>
    <xf numFmtId="170" fontId="47" fillId="0" borderId="114" xfId="0" applyFont="1" applyFill="1" applyBorder="1" applyAlignment="1">
      <alignment horizontal="justify" vertical="top"/>
    </xf>
    <xf numFmtId="170" fontId="0" fillId="0" borderId="113" xfId="0" applyFill="1" applyBorder="1" applyAlignment="1">
      <alignment horizontal="left"/>
    </xf>
    <xf numFmtId="170" fontId="74" fillId="0" borderId="0" xfId="148" applyBorder="1" applyAlignment="1" applyProtection="1">
      <alignment vertical="top"/>
    </xf>
    <xf numFmtId="170" fontId="9" fillId="0" borderId="111" xfId="0" applyFont="1" applyBorder="1"/>
    <xf numFmtId="170" fontId="74" fillId="0" borderId="80" xfId="148" applyBorder="1" applyAlignment="1" applyProtection="1"/>
    <xf numFmtId="170" fontId="74" fillId="0" borderId="80" xfId="148" quotePrefix="1" applyBorder="1" applyAlignment="1" applyProtection="1"/>
    <xf numFmtId="170" fontId="9" fillId="0" borderId="115" xfId="0" applyFont="1" applyBorder="1"/>
    <xf numFmtId="168" fontId="13" fillId="0" borderId="5" xfId="3" applyNumberFormat="1" applyFont="1" applyFill="1" applyBorder="1" applyAlignment="1">
      <alignment horizontal="center"/>
    </xf>
    <xf numFmtId="168" fontId="13" fillId="0" borderId="5" xfId="3" quotePrefix="1" applyNumberFormat="1" applyFont="1" applyFill="1" applyBorder="1" applyAlignment="1">
      <alignment horizontal="center"/>
    </xf>
    <xf numFmtId="168" fontId="14" fillId="0" borderId="5" xfId="3" applyNumberFormat="1" applyFont="1" applyFill="1" applyBorder="1" applyAlignment="1">
      <alignment horizontal="center"/>
    </xf>
    <xf numFmtId="168" fontId="13" fillId="0" borderId="4" xfId="3" applyNumberFormat="1" applyFont="1" applyFill="1" applyBorder="1" applyAlignment="1">
      <alignment horizontal="center"/>
    </xf>
    <xf numFmtId="168" fontId="13" fillId="0" borderId="0" xfId="3" quotePrefix="1" applyNumberFormat="1" applyFont="1" applyFill="1" applyBorder="1" applyAlignment="1">
      <alignment horizontal="center"/>
    </xf>
    <xf numFmtId="168" fontId="13" fillId="0" borderId="0" xfId="3" applyNumberFormat="1" applyFont="1" applyFill="1" applyBorder="1" applyAlignment="1">
      <alignment horizontal="center"/>
    </xf>
    <xf numFmtId="168" fontId="14" fillId="0" borderId="0" xfId="3" applyNumberFormat="1" applyFont="1" applyFill="1" applyBorder="1" applyAlignment="1">
      <alignment horizontal="center"/>
    </xf>
    <xf numFmtId="170" fontId="26" fillId="0" borderId="3" xfId="0" applyFont="1" applyFill="1" applyBorder="1" applyAlignment="1">
      <alignment horizontal="left" vertical="top" wrapText="1"/>
    </xf>
    <xf numFmtId="170" fontId="0" fillId="0" borderId="61" xfId="0" applyFill="1" applyBorder="1"/>
    <xf numFmtId="170" fontId="8" fillId="0" borderId="0" xfId="0" applyFont="1" applyBorder="1"/>
    <xf numFmtId="170" fontId="8" fillId="0" borderId="0" xfId="0" applyFont="1" applyFill="1" applyBorder="1"/>
    <xf numFmtId="170" fontId="0" fillId="0" borderId="132" xfId="0" applyBorder="1"/>
    <xf numFmtId="170" fontId="0" fillId="0" borderId="133" xfId="0" applyBorder="1"/>
    <xf numFmtId="170" fontId="26" fillId="0" borderId="0" xfId="0" applyFont="1" applyBorder="1" applyAlignment="1">
      <alignment vertical="top" wrapText="1"/>
    </xf>
    <xf numFmtId="170" fontId="26" fillId="0" borderId="80" xfId="0" applyFont="1" applyBorder="1" applyAlignment="1">
      <alignment vertical="top"/>
    </xf>
    <xf numFmtId="3" fontId="0" fillId="13" borderId="15" xfId="0" quotePrefix="1" applyNumberFormat="1" applyFill="1" applyBorder="1" applyAlignment="1">
      <alignment horizontal="center"/>
    </xf>
    <xf numFmtId="170" fontId="26" fillId="0" borderId="113" xfId="0" applyFont="1" applyBorder="1" applyAlignment="1">
      <alignment vertical="top" wrapText="1"/>
    </xf>
    <xf numFmtId="170" fontId="20" fillId="0" borderId="0" xfId="0" applyFont="1" applyFill="1" applyAlignment="1">
      <alignment horizontal="center"/>
    </xf>
    <xf numFmtId="168" fontId="0" fillId="0" borderId="0" xfId="0" applyNumberFormat="1" applyFill="1" applyBorder="1" applyAlignment="1">
      <alignment horizontal="center"/>
    </xf>
    <xf numFmtId="170" fontId="8" fillId="0" borderId="0" xfId="0" applyFont="1" applyBorder="1" applyAlignment="1">
      <alignment horizontal="left"/>
    </xf>
    <xf numFmtId="170" fontId="20" fillId="0" borderId="0" xfId="0" applyFont="1" applyBorder="1" applyAlignment="1">
      <alignment horizontal="center"/>
    </xf>
    <xf numFmtId="171" fontId="0" fillId="3" borderId="0" xfId="0" quotePrefix="1" applyNumberFormat="1" applyFill="1" applyBorder="1" applyAlignment="1">
      <alignment horizontal="center"/>
    </xf>
    <xf numFmtId="171" fontId="0" fillId="3" borderId="0" xfId="0" applyNumberFormat="1" applyFill="1" applyBorder="1" applyAlignment="1">
      <alignment horizontal="center"/>
    </xf>
    <xf numFmtId="3" fontId="20" fillId="0" borderId="0" xfId="0" applyNumberFormat="1" applyFont="1" applyBorder="1" applyAlignment="1">
      <alignment horizontal="center"/>
    </xf>
    <xf numFmtId="170" fontId="20" fillId="0" borderId="0" xfId="0" applyFont="1" applyFill="1" applyBorder="1" applyAlignment="1">
      <alignment horizontal="center"/>
    </xf>
    <xf numFmtId="168" fontId="0" fillId="0" borderId="0" xfId="0" quotePrefix="1" applyNumberFormat="1" applyFill="1" applyBorder="1" applyAlignment="1">
      <alignment horizontal="center"/>
    </xf>
    <xf numFmtId="170" fontId="19" fillId="0" borderId="7" xfId="5" applyFont="1" applyFill="1" applyBorder="1" applyAlignment="1">
      <alignment wrapText="1"/>
    </xf>
    <xf numFmtId="170" fontId="44" fillId="0" borderId="7" xfId="5" applyFont="1" applyFill="1" applyBorder="1" applyAlignment="1">
      <alignment wrapText="1"/>
    </xf>
    <xf numFmtId="170" fontId="8" fillId="0" borderId="8" xfId="0" applyFont="1" applyBorder="1"/>
    <xf numFmtId="170" fontId="0" fillId="0" borderId="8" xfId="0" applyBorder="1"/>
    <xf numFmtId="170" fontId="19" fillId="0" borderId="10" xfId="5" applyFont="1" applyFill="1" applyBorder="1" applyAlignment="1">
      <alignment wrapText="1"/>
    </xf>
    <xf numFmtId="170" fontId="0" fillId="0" borderId="11" xfId="0" applyBorder="1"/>
    <xf numFmtId="170" fontId="8" fillId="0" borderId="8" xfId="0" applyFont="1" applyBorder="1" applyAlignment="1">
      <alignment horizontal="left"/>
    </xf>
    <xf numFmtId="170" fontId="0" fillId="0" borderId="12" xfId="0" applyBorder="1"/>
    <xf numFmtId="170" fontId="8" fillId="0" borderId="11" xfId="0" applyFont="1" applyBorder="1" applyAlignment="1">
      <alignment horizontal="left"/>
    </xf>
    <xf numFmtId="170" fontId="0" fillId="0" borderId="12" xfId="0" applyFill="1" applyBorder="1"/>
    <xf numFmtId="170" fontId="0" fillId="0" borderId="0" xfId="0" applyFill="1" applyBorder="1" applyAlignment="1">
      <alignment horizontal="left"/>
    </xf>
    <xf numFmtId="170" fontId="0" fillId="0" borderId="111" xfId="0" applyFont="1" applyFill="1" applyBorder="1"/>
    <xf numFmtId="170" fontId="43" fillId="0" borderId="134" xfId="5" applyFont="1" applyFill="1" applyBorder="1" applyAlignment="1">
      <alignment wrapText="1"/>
    </xf>
    <xf numFmtId="170" fontId="9" fillId="23" borderId="102" xfId="0" applyFont="1" applyFill="1" applyBorder="1"/>
    <xf numFmtId="170" fontId="9" fillId="23" borderId="52" xfId="0" applyFont="1" applyFill="1" applyBorder="1"/>
    <xf numFmtId="170" fontId="9" fillId="23" borderId="101" xfId="0" applyFont="1" applyFill="1" applyBorder="1"/>
    <xf numFmtId="3" fontId="0" fillId="0" borderId="61" xfId="0" applyNumberFormat="1" applyFill="1" applyBorder="1"/>
    <xf numFmtId="170" fontId="74" fillId="0" borderId="18" xfId="148" applyBorder="1" applyAlignment="1" applyProtection="1"/>
    <xf numFmtId="170" fontId="88" fillId="0" borderId="136" xfId="0" applyFont="1" applyBorder="1"/>
    <xf numFmtId="170" fontId="8" fillId="0" borderId="61" xfId="0" applyFont="1" applyBorder="1"/>
    <xf numFmtId="170" fontId="8" fillId="0" borderId="18" xfId="0" applyFont="1" applyBorder="1"/>
    <xf numFmtId="170" fontId="74" fillId="0" borderId="18" xfId="148" quotePrefix="1" applyBorder="1" applyAlignment="1" applyProtection="1"/>
    <xf numFmtId="170" fontId="9" fillId="23" borderId="3" xfId="0" applyFont="1" applyFill="1" applyBorder="1"/>
    <xf numFmtId="170" fontId="43" fillId="23" borderId="3" xfId="5" applyFont="1" applyFill="1" applyBorder="1" applyAlignment="1">
      <alignment wrapText="1"/>
    </xf>
    <xf numFmtId="170" fontId="27" fillId="0" borderId="0" xfId="0" applyFont="1" applyBorder="1" applyAlignment="1">
      <alignment horizontal="justify"/>
    </xf>
    <xf numFmtId="170" fontId="0" fillId="0" borderId="0" xfId="0" applyFill="1" applyBorder="1" applyAlignment="1">
      <alignment horizontal="left" vertical="top" indent="2"/>
    </xf>
    <xf numFmtId="170" fontId="28" fillId="0" borderId="0" xfId="0" applyFont="1" applyBorder="1"/>
    <xf numFmtId="170" fontId="0" fillId="23" borderId="138" xfId="0" applyFont="1" applyFill="1" applyBorder="1"/>
    <xf numFmtId="170" fontId="0" fillId="23" borderId="139" xfId="0" applyFont="1" applyFill="1" applyBorder="1"/>
    <xf numFmtId="170" fontId="0" fillId="23" borderId="52" xfId="0" applyFont="1" applyFill="1" applyBorder="1"/>
    <xf numFmtId="170" fontId="0" fillId="23" borderId="101" xfId="0" applyFont="1" applyFill="1" applyBorder="1"/>
    <xf numFmtId="170" fontId="9" fillId="0" borderId="111" xfId="0" applyFont="1" applyBorder="1" applyAlignment="1">
      <alignment horizontal="center"/>
    </xf>
    <xf numFmtId="170" fontId="0" fillId="23" borderId="5" xfId="0" applyFill="1" applyBorder="1"/>
    <xf numFmtId="170" fontId="96" fillId="23" borderId="4" xfId="0" applyFont="1" applyFill="1" applyBorder="1"/>
    <xf numFmtId="170" fontId="96" fillId="0" borderId="8" xfId="0" applyFont="1" applyFill="1" applyBorder="1"/>
    <xf numFmtId="170" fontId="44" fillId="0" borderId="134" xfId="5" applyFont="1" applyFill="1" applyBorder="1" applyAlignment="1">
      <alignment wrapText="1"/>
    </xf>
    <xf numFmtId="170" fontId="0" fillId="0" borderId="111" xfId="0" applyFill="1" applyBorder="1"/>
    <xf numFmtId="170" fontId="9" fillId="0" borderId="111" xfId="0" applyFont="1" applyFill="1" applyBorder="1"/>
    <xf numFmtId="170" fontId="96" fillId="0" borderId="8" xfId="0" applyFont="1" applyBorder="1"/>
    <xf numFmtId="170" fontId="0" fillId="0" borderId="140" xfId="0" applyBorder="1"/>
    <xf numFmtId="170" fontId="47" fillId="0" borderId="7" xfId="0" applyFont="1" applyFill="1" applyBorder="1" applyAlignment="1">
      <alignment horizontal="left" vertical="top" wrapText="1"/>
    </xf>
    <xf numFmtId="170" fontId="47" fillId="0" borderId="0" xfId="0" applyFont="1" applyFill="1" applyBorder="1" applyAlignment="1">
      <alignment horizontal="left" vertical="top" wrapText="1"/>
    </xf>
    <xf numFmtId="168" fontId="13" fillId="0" borderId="8" xfId="3" applyNumberFormat="1" applyFont="1" applyFill="1" applyBorder="1" applyAlignment="1">
      <alignment horizontal="center"/>
    </xf>
    <xf numFmtId="170" fontId="9" fillId="0" borderId="144" xfId="0" applyFont="1" applyBorder="1"/>
    <xf numFmtId="170" fontId="0" fillId="0" borderId="145" xfId="0" applyBorder="1" applyAlignment="1">
      <alignment horizontal="center"/>
    </xf>
    <xf numFmtId="170" fontId="9" fillId="0" borderId="147" xfId="0" applyFont="1" applyBorder="1"/>
    <xf numFmtId="170" fontId="0" fillId="0" borderId="143" xfId="0" applyBorder="1" applyAlignment="1">
      <alignment horizontal="center"/>
    </xf>
    <xf numFmtId="170" fontId="0" fillId="0" borderId="149" xfId="0" applyBorder="1"/>
    <xf numFmtId="170" fontId="19" fillId="0" borderId="121" xfId="5" applyFont="1" applyFill="1" applyBorder="1" applyAlignment="1">
      <alignment wrapText="1"/>
    </xf>
    <xf numFmtId="170" fontId="0" fillId="0" borderId="143" xfId="0" applyBorder="1" applyAlignment="1">
      <alignment horizontal="left"/>
    </xf>
    <xf numFmtId="170" fontId="9" fillId="0" borderId="149" xfId="0" applyFont="1" applyBorder="1"/>
    <xf numFmtId="170" fontId="47" fillId="0" borderId="135" xfId="0" applyFont="1" applyFill="1" applyBorder="1"/>
    <xf numFmtId="170" fontId="47" fillId="0" borderId="135" xfId="0" applyFont="1" applyBorder="1"/>
    <xf numFmtId="170" fontId="9" fillId="0" borderId="121" xfId="0" applyFont="1" applyFill="1" applyBorder="1"/>
    <xf numFmtId="170" fontId="0" fillId="23" borderId="4" xfId="0" applyFill="1" applyBorder="1"/>
    <xf numFmtId="170" fontId="9" fillId="0" borderId="134" xfId="0" applyFont="1" applyBorder="1"/>
    <xf numFmtId="170" fontId="47" fillId="0" borderId="135" xfId="0" applyFont="1" applyBorder="1" applyAlignment="1">
      <alignment horizontal="center"/>
    </xf>
    <xf numFmtId="170" fontId="0" fillId="0" borderId="8" xfId="0" applyFill="1" applyBorder="1" applyAlignment="1">
      <alignment horizontal="center"/>
    </xf>
    <xf numFmtId="171" fontId="0" fillId="0" borderId="8" xfId="0" applyNumberFormat="1" applyFill="1" applyBorder="1" applyAlignment="1">
      <alignment horizontal="center"/>
    </xf>
    <xf numFmtId="170" fontId="43" fillId="0" borderId="7" xfId="5" applyFont="1" applyFill="1" applyBorder="1" applyAlignment="1">
      <alignment wrapText="1"/>
    </xf>
    <xf numFmtId="170" fontId="0" fillId="0" borderId="7" xfId="0" applyFill="1" applyBorder="1"/>
    <xf numFmtId="170" fontId="0" fillId="0" borderId="8" xfId="0" applyFill="1" applyBorder="1"/>
    <xf numFmtId="170" fontId="0" fillId="0" borderId="8" xfId="0" applyBorder="1" applyAlignment="1">
      <alignment horizontal="center"/>
    </xf>
    <xf numFmtId="170" fontId="8" fillId="0" borderId="8" xfId="0" applyFont="1" applyBorder="1" applyAlignment="1">
      <alignment horizontal="center"/>
    </xf>
    <xf numFmtId="168" fontId="0" fillId="0" borderId="12" xfId="0" quotePrefix="1" applyNumberFormat="1" applyFill="1" applyBorder="1" applyAlignment="1">
      <alignment horizontal="center"/>
    </xf>
    <xf numFmtId="170" fontId="9" fillId="0" borderId="7" xfId="0" applyFont="1" applyFill="1" applyBorder="1"/>
    <xf numFmtId="170" fontId="19" fillId="0" borderId="8" xfId="5" applyFont="1" applyFill="1" applyBorder="1" applyAlignment="1">
      <alignment wrapText="1"/>
    </xf>
    <xf numFmtId="170" fontId="20" fillId="0" borderId="149" xfId="0" applyFont="1" applyFill="1" applyBorder="1"/>
    <xf numFmtId="170" fontId="43" fillId="0" borderId="151" xfId="5" applyFont="1" applyFill="1" applyBorder="1" applyAlignment="1">
      <alignment wrapText="1"/>
    </xf>
    <xf numFmtId="170" fontId="0" fillId="0" borderId="10" xfId="0" applyFill="1" applyBorder="1"/>
    <xf numFmtId="170" fontId="0" fillId="0" borderId="11" xfId="0" applyFill="1" applyBorder="1"/>
    <xf numFmtId="170" fontId="9" fillId="0" borderId="149" xfId="0" applyFont="1" applyFill="1" applyBorder="1"/>
    <xf numFmtId="170" fontId="0" fillId="0" borderId="121" xfId="0" applyFill="1" applyBorder="1"/>
    <xf numFmtId="170" fontId="9" fillId="0" borderId="151" xfId="0" applyFont="1" applyFill="1" applyBorder="1"/>
    <xf numFmtId="170" fontId="19" fillId="0" borderId="152" xfId="5" applyFont="1" applyFill="1" applyBorder="1" applyAlignment="1">
      <alignment wrapText="1"/>
    </xf>
    <xf numFmtId="169" fontId="0" fillId="0" borderId="12" xfId="0" applyNumberFormat="1" applyFill="1" applyBorder="1"/>
    <xf numFmtId="3" fontId="0" fillId="3" borderId="15" xfId="0" applyNumberFormat="1" applyFill="1" applyBorder="1"/>
    <xf numFmtId="3" fontId="8" fillId="3" borderId="15" xfId="0" applyNumberFormat="1" applyFont="1" applyFill="1" applyBorder="1" applyAlignment="1">
      <alignment horizontal="center"/>
    </xf>
    <xf numFmtId="3" fontId="8" fillId="3" borderId="15" xfId="0" quotePrefix="1" applyNumberFormat="1" applyFont="1" applyFill="1" applyBorder="1" applyAlignment="1">
      <alignment horizontal="center"/>
    </xf>
    <xf numFmtId="170" fontId="8" fillId="0" borderId="0" xfId="0" applyFont="1" applyFill="1"/>
    <xf numFmtId="3" fontId="97" fillId="0" borderId="0" xfId="0" applyNumberFormat="1" applyFont="1" applyFill="1" applyBorder="1" applyAlignment="1">
      <alignment horizontal="center" vertical="center" wrapText="1"/>
    </xf>
    <xf numFmtId="169" fontId="0" fillId="0" borderId="0" xfId="0" applyNumberFormat="1" applyFill="1" applyAlignment="1">
      <alignment horizontal="center"/>
    </xf>
    <xf numFmtId="3" fontId="0" fillId="0" borderId="12" xfId="0" applyNumberFormat="1" applyFill="1" applyBorder="1"/>
    <xf numFmtId="2" fontId="0" fillId="3" borderId="143" xfId="0" applyNumberFormat="1" applyFill="1" applyBorder="1" applyAlignment="1">
      <alignment horizontal="center"/>
    </xf>
    <xf numFmtId="170" fontId="20" fillId="0" borderId="7" xfId="0" applyFont="1" applyFill="1" applyBorder="1"/>
    <xf numFmtId="170" fontId="0" fillId="0" borderId="147" xfId="0" applyFill="1" applyBorder="1"/>
    <xf numFmtId="170" fontId="0" fillId="0" borderId="7" xfId="0" applyFont="1" applyFill="1" applyBorder="1"/>
    <xf numFmtId="3" fontId="8" fillId="0" borderId="0" xfId="0" applyNumberFormat="1" applyFont="1" applyAlignment="1">
      <alignment horizontal="center"/>
    </xf>
    <xf numFmtId="170" fontId="6" fillId="0" borderId="152" xfId="1" applyBorder="1"/>
    <xf numFmtId="170" fontId="6" fillId="0" borderId="0" xfId="1" applyBorder="1"/>
    <xf numFmtId="170" fontId="0" fillId="0" borderId="152" xfId="0" applyBorder="1"/>
    <xf numFmtId="170" fontId="47" fillId="23" borderId="3" xfId="1" applyFont="1" applyFill="1" applyBorder="1"/>
    <xf numFmtId="170" fontId="47" fillId="23" borderId="5" xfId="1" applyFont="1" applyFill="1" applyBorder="1"/>
    <xf numFmtId="170" fontId="26" fillId="23" borderId="5" xfId="0" applyFont="1" applyFill="1" applyBorder="1"/>
    <xf numFmtId="170" fontId="26" fillId="23" borderId="4" xfId="0" applyFont="1" applyFill="1" applyBorder="1"/>
    <xf numFmtId="170" fontId="0" fillId="0" borderId="0" xfId="0" applyFont="1" applyBorder="1"/>
    <xf numFmtId="170" fontId="0" fillId="0" borderId="121" xfId="0" applyFont="1" applyFill="1" applyBorder="1"/>
    <xf numFmtId="170" fontId="0" fillId="0" borderId="151" xfId="0" applyFont="1" applyFill="1" applyBorder="1"/>
    <xf numFmtId="9" fontId="26" fillId="0" borderId="0" xfId="0" applyNumberFormat="1" applyFont="1" applyFill="1" applyBorder="1"/>
    <xf numFmtId="9" fontId="0" fillId="0" borderId="8" xfId="0" applyNumberFormat="1" applyFont="1" applyFill="1" applyBorder="1"/>
    <xf numFmtId="10" fontId="0" fillId="0" borderId="121" xfId="52" applyNumberFormat="1" applyFont="1" applyFill="1" applyBorder="1" applyAlignment="1">
      <alignment horizontal="center" vertical="center"/>
    </xf>
    <xf numFmtId="170" fontId="0" fillId="0" borderId="151" xfId="0" applyFill="1" applyBorder="1"/>
    <xf numFmtId="170" fontId="52" fillId="0" borderId="149" xfId="0" applyFont="1" applyFill="1" applyBorder="1" applyAlignment="1">
      <alignment vertical="center"/>
    </xf>
    <xf numFmtId="170" fontId="0" fillId="0" borderId="121" xfId="0" applyFont="1" applyFill="1" applyBorder="1" applyAlignment="1">
      <alignment horizontal="center" vertical="center"/>
    </xf>
    <xf numFmtId="170" fontId="0" fillId="0" borderId="147" xfId="0" applyFont="1" applyFill="1" applyBorder="1" applyAlignment="1">
      <alignment vertical="center"/>
    </xf>
    <xf numFmtId="169" fontId="0" fillId="0" borderId="143" xfId="0" applyNumberFormat="1" applyFont="1" applyFill="1" applyBorder="1" applyAlignment="1">
      <alignment horizontal="center" vertical="center"/>
    </xf>
    <xf numFmtId="170" fontId="0" fillId="0" borderId="152" xfId="0" applyFont="1" applyFill="1" applyBorder="1" applyAlignment="1">
      <alignment vertical="center"/>
    </xf>
    <xf numFmtId="169" fontId="0" fillId="0" borderId="0" xfId="0" applyNumberFormat="1" applyFont="1" applyFill="1" applyBorder="1" applyAlignment="1">
      <alignment horizontal="center" vertical="center"/>
    </xf>
    <xf numFmtId="170" fontId="0" fillId="0" borderId="0" xfId="0" applyFont="1" applyFill="1" applyBorder="1" applyAlignment="1">
      <alignment horizontal="center" vertical="center"/>
    </xf>
    <xf numFmtId="10" fontId="7" fillId="0" borderId="0" xfId="52" applyNumberFormat="1" applyFont="1" applyFill="1" applyBorder="1" applyAlignment="1">
      <alignment horizontal="center" vertical="center"/>
    </xf>
    <xf numFmtId="10" fontId="7" fillId="3" borderId="0" xfId="52" applyNumberFormat="1" applyFont="1" applyFill="1" applyBorder="1" applyAlignment="1">
      <alignment horizontal="center" vertical="center"/>
    </xf>
    <xf numFmtId="170" fontId="0" fillId="0" borderId="8" xfId="0" applyFont="1" applyFill="1" applyBorder="1"/>
    <xf numFmtId="170" fontId="53" fillId="0" borderId="0" xfId="0" applyFont="1" applyFill="1" applyBorder="1"/>
    <xf numFmtId="10" fontId="7" fillId="0" borderId="121" xfId="52" applyNumberFormat="1" applyFont="1" applyFill="1" applyBorder="1" applyAlignment="1">
      <alignment horizontal="center" vertical="center"/>
    </xf>
    <xf numFmtId="170" fontId="9" fillId="0" borderId="3" xfId="0" applyFont="1" applyBorder="1"/>
    <xf numFmtId="170" fontId="26" fillId="0" borderId="152" xfId="0" applyFont="1" applyBorder="1"/>
    <xf numFmtId="170" fontId="26" fillId="0" borderId="152" xfId="0" applyFont="1" applyFill="1" applyBorder="1"/>
    <xf numFmtId="170" fontId="26" fillId="0" borderId="0" xfId="0" applyFont="1" applyFill="1" applyBorder="1"/>
    <xf numFmtId="9" fontId="26" fillId="0" borderId="0" xfId="0" applyNumberFormat="1" applyFont="1" applyBorder="1"/>
    <xf numFmtId="170" fontId="50" fillId="0" borderId="10" xfId="0" applyFont="1" applyBorder="1"/>
    <xf numFmtId="9" fontId="50" fillId="0" borderId="12" xfId="0" applyNumberFormat="1" applyFont="1" applyBorder="1"/>
    <xf numFmtId="170" fontId="26" fillId="0" borderId="152" xfId="1" applyFont="1" applyFill="1" applyBorder="1"/>
    <xf numFmtId="170" fontId="26" fillId="0" borderId="8" xfId="0" applyFont="1" applyFill="1" applyBorder="1"/>
    <xf numFmtId="170" fontId="26" fillId="0" borderId="149" xfId="1" applyFont="1" applyBorder="1"/>
    <xf numFmtId="170" fontId="26" fillId="0" borderId="151" xfId="0" applyFont="1" applyBorder="1"/>
    <xf numFmtId="170" fontId="9" fillId="0" borderId="3" xfId="0" applyFont="1" applyFill="1" applyBorder="1"/>
    <xf numFmtId="170" fontId="9" fillId="0" borderId="0" xfId="0" applyFont="1" applyFill="1"/>
    <xf numFmtId="9" fontId="26" fillId="3" borderId="0" xfId="0" applyNumberFormat="1" applyFont="1" applyFill="1" applyBorder="1"/>
    <xf numFmtId="170" fontId="26" fillId="0" borderId="8" xfId="0" applyFont="1" applyBorder="1"/>
    <xf numFmtId="170" fontId="0" fillId="0" borderId="80" xfId="0" applyBorder="1" applyAlignment="1">
      <alignment vertical="top" wrapText="1"/>
    </xf>
    <xf numFmtId="170" fontId="9" fillId="0" borderId="80" xfId="0" applyFont="1" applyFill="1" applyBorder="1"/>
    <xf numFmtId="170" fontId="9" fillId="0" borderId="114" xfId="0" applyFont="1" applyBorder="1"/>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170" fontId="0" fillId="0" borderId="18" xfId="0" applyFill="1" applyBorder="1"/>
    <xf numFmtId="3" fontId="62" fillId="18" borderId="156" xfId="0" applyNumberFormat="1" applyFont="1" applyFill="1" applyBorder="1" applyAlignment="1">
      <alignment horizontal="center" vertical="center"/>
    </xf>
    <xf numFmtId="170" fontId="26" fillId="0" borderId="8" xfId="0" applyFont="1" applyBorder="1" applyAlignment="1">
      <alignment horizontal="left"/>
    </xf>
    <xf numFmtId="3" fontId="26" fillId="3" borderId="15" xfId="0" applyNumberFormat="1" applyFont="1" applyFill="1" applyBorder="1" applyAlignment="1">
      <alignment horizontal="right"/>
    </xf>
    <xf numFmtId="3" fontId="98" fillId="0" borderId="0" xfId="0" applyNumberFormat="1" applyFont="1" applyFill="1" applyBorder="1" applyAlignment="1">
      <alignment horizontal="center"/>
    </xf>
    <xf numFmtId="170" fontId="0" fillId="0" borderId="0" xfId="0" applyAlignment="1">
      <alignment horizontal="left" vertical="top" wrapText="1"/>
    </xf>
    <xf numFmtId="0" fontId="26" fillId="0" borderId="113" xfId="0" applyNumberFormat="1" applyFont="1" applyBorder="1" applyAlignment="1">
      <alignment vertical="top" wrapText="1"/>
    </xf>
    <xf numFmtId="0" fontId="0" fillId="0" borderId="113" xfId="0" applyNumberFormat="1" applyBorder="1" applyAlignment="1">
      <alignment vertical="top" wrapText="1"/>
    </xf>
    <xf numFmtId="2" fontId="0" fillId="0" borderId="0" xfId="0" applyNumberFormat="1" applyFill="1" applyBorder="1"/>
    <xf numFmtId="0" fontId="0" fillId="0" borderId="0" xfId="0" applyNumberFormat="1" applyFill="1"/>
    <xf numFmtId="2" fontId="0" fillId="0" borderId="141" xfId="0" applyNumberFormat="1" applyFill="1" applyBorder="1"/>
    <xf numFmtId="2" fontId="0" fillId="0" borderId="142" xfId="0" applyNumberFormat="1" applyFill="1" applyBorder="1"/>
    <xf numFmtId="2" fontId="0" fillId="2" borderId="0" xfId="0" applyNumberFormat="1" applyFill="1" applyBorder="1"/>
    <xf numFmtId="2" fontId="0" fillId="3" borderId="0" xfId="0" applyNumberFormat="1" applyFill="1" applyBorder="1"/>
    <xf numFmtId="2" fontId="47" fillId="0" borderId="5" xfId="0" applyNumberFormat="1" applyFont="1" applyFill="1" applyBorder="1"/>
    <xf numFmtId="2" fontId="47" fillId="0" borderId="4" xfId="0" applyNumberFormat="1" applyFont="1" applyFill="1" applyBorder="1"/>
    <xf numFmtId="2" fontId="26" fillId="3" borderId="0" xfId="0" applyNumberFormat="1" applyFont="1" applyFill="1" applyBorder="1"/>
    <xf numFmtId="2" fontId="26" fillId="3" borderId="0" xfId="1" applyNumberFormat="1" applyFont="1" applyFill="1" applyBorder="1"/>
    <xf numFmtId="2" fontId="8" fillId="3" borderId="0" xfId="0" applyNumberFormat="1" applyFont="1" applyFill="1" applyBorder="1"/>
    <xf numFmtId="2" fontId="26" fillId="3" borderId="8" xfId="0" applyNumberFormat="1" applyFont="1" applyFill="1" applyBorder="1"/>
    <xf numFmtId="2" fontId="26" fillId="3" borderId="12" xfId="0" applyNumberFormat="1" applyFont="1" applyFill="1" applyBorder="1"/>
    <xf numFmtId="2" fontId="26" fillId="3" borderId="12" xfId="1" applyNumberFormat="1" applyFont="1" applyFill="1" applyBorder="1"/>
    <xf numFmtId="2" fontId="8" fillId="3" borderId="12" xfId="0" applyNumberFormat="1" applyFont="1" applyFill="1" applyBorder="1"/>
    <xf numFmtId="2" fontId="26" fillId="3" borderId="11" xfId="0" applyNumberFormat="1" applyFont="1" applyFill="1" applyBorder="1"/>
    <xf numFmtId="170" fontId="9" fillId="0" borderId="27" xfId="0" applyFont="1" applyBorder="1"/>
    <xf numFmtId="0" fontId="0" fillId="0" borderId="0" xfId="0" applyNumberFormat="1"/>
    <xf numFmtId="0" fontId="26" fillId="23" borderId="52" xfId="0" applyNumberFormat="1" applyFont="1" applyFill="1" applyBorder="1"/>
    <xf numFmtId="0" fontId="26" fillId="23" borderId="162" xfId="0" applyNumberFormat="1" applyFont="1" applyFill="1" applyBorder="1"/>
    <xf numFmtId="0" fontId="0" fillId="0" borderId="111" xfId="0" applyNumberFormat="1" applyBorder="1"/>
    <xf numFmtId="0" fontId="82" fillId="0" borderId="0" xfId="0" applyNumberFormat="1" applyFont="1"/>
    <xf numFmtId="0" fontId="26" fillId="23" borderId="101" xfId="0" applyNumberFormat="1" applyFont="1" applyFill="1" applyBorder="1"/>
    <xf numFmtId="0" fontId="0" fillId="0" borderId="0" xfId="0" applyNumberFormat="1" applyBorder="1"/>
    <xf numFmtId="0" fontId="26" fillId="23" borderId="0" xfId="0" applyNumberFormat="1" applyFont="1" applyFill="1" applyBorder="1"/>
    <xf numFmtId="0" fontId="47" fillId="23" borderId="0" xfId="0" applyNumberFormat="1" applyFont="1" applyFill="1" applyBorder="1"/>
    <xf numFmtId="0" fontId="26" fillId="23" borderId="80" xfId="0" applyNumberFormat="1" applyFont="1" applyFill="1" applyBorder="1"/>
    <xf numFmtId="0" fontId="26" fillId="23" borderId="129" xfId="0" applyNumberFormat="1" applyFont="1" applyFill="1" applyBorder="1"/>
    <xf numFmtId="0" fontId="47" fillId="23" borderId="116" xfId="0" applyNumberFormat="1" applyFont="1" applyFill="1" applyBorder="1"/>
    <xf numFmtId="0" fontId="47" fillId="23" borderId="130" xfId="0" applyNumberFormat="1" applyFont="1" applyFill="1" applyBorder="1"/>
    <xf numFmtId="0" fontId="8" fillId="25" borderId="0" xfId="0" applyNumberFormat="1" applyFont="1" applyFill="1"/>
    <xf numFmtId="0" fontId="0" fillId="24" borderId="0" xfId="0" applyNumberFormat="1" applyFill="1"/>
    <xf numFmtId="0" fontId="0" fillId="24" borderId="0" xfId="0" quotePrefix="1" applyNumberFormat="1" applyFill="1"/>
    <xf numFmtId="0" fontId="0" fillId="25" borderId="0" xfId="0" applyNumberFormat="1" applyFill="1"/>
    <xf numFmtId="0" fontId="0" fillId="4" borderId="0" xfId="0" applyNumberFormat="1" applyFill="1"/>
    <xf numFmtId="0" fontId="74" fillId="4" borderId="0" xfId="148" applyNumberFormat="1" applyFill="1" applyAlignment="1" applyProtection="1"/>
    <xf numFmtId="0" fontId="26" fillId="24" borderId="0" xfId="0" applyNumberFormat="1" applyFont="1" applyFill="1"/>
    <xf numFmtId="0" fontId="26" fillId="25" borderId="0" xfId="0" applyNumberFormat="1" applyFont="1" applyFill="1"/>
    <xf numFmtId="0" fontId="74" fillId="25" borderId="0" xfId="148" applyNumberFormat="1" applyFill="1" applyAlignment="1" applyProtection="1"/>
    <xf numFmtId="0" fontId="26" fillId="24" borderId="0" xfId="0" quotePrefix="1" applyNumberFormat="1" applyFont="1" applyFill="1"/>
    <xf numFmtId="0" fontId="0" fillId="24" borderId="0" xfId="0" applyNumberFormat="1" applyFill="1" applyAlignment="1"/>
    <xf numFmtId="0" fontId="9" fillId="24" borderId="0" xfId="0" applyNumberFormat="1" applyFont="1" applyFill="1"/>
    <xf numFmtId="0" fontId="9" fillId="25" borderId="0" xfId="0" applyNumberFormat="1" applyFont="1" applyFill="1"/>
    <xf numFmtId="0" fontId="9" fillId="4" borderId="0" xfId="0" applyNumberFormat="1" applyFont="1" applyFill="1"/>
    <xf numFmtId="0" fontId="41" fillId="12" borderId="15" xfId="0" applyNumberFormat="1" applyFont="1" applyFill="1" applyBorder="1" applyAlignment="1">
      <alignment horizontal="center" vertical="center" wrapText="1"/>
    </xf>
    <xf numFmtId="0" fontId="9" fillId="23" borderId="137" xfId="0" applyNumberFormat="1" applyFont="1" applyFill="1" applyBorder="1"/>
    <xf numFmtId="0" fontId="0" fillId="0" borderId="21" xfId="0" applyNumberFormat="1" applyBorder="1"/>
    <xf numFmtId="0" fontId="9" fillId="13" borderId="21" xfId="0" applyNumberFormat="1" applyFont="1" applyFill="1" applyBorder="1"/>
    <xf numFmtId="0" fontId="0" fillId="0" borderId="103" xfId="0" applyNumberFormat="1" applyBorder="1"/>
    <xf numFmtId="0" fontId="9" fillId="23" borderId="102" xfId="0" applyNumberFormat="1" applyFont="1" applyFill="1" applyBorder="1"/>
    <xf numFmtId="0" fontId="47" fillId="23" borderId="19" xfId="0" applyNumberFormat="1" applyFont="1" applyFill="1" applyBorder="1"/>
    <xf numFmtId="0" fontId="41" fillId="23" borderId="86" xfId="0" applyNumberFormat="1" applyFont="1" applyFill="1" applyBorder="1" applyAlignment="1">
      <alignment horizontal="center" vertical="center" wrapText="1"/>
    </xf>
    <xf numFmtId="0" fontId="41" fillId="23" borderId="16" xfId="0" applyNumberFormat="1" applyFont="1" applyFill="1" applyBorder="1" applyAlignment="1">
      <alignment horizontal="center" vertical="center" wrapText="1"/>
    </xf>
    <xf numFmtId="0" fontId="0" fillId="0" borderId="80" xfId="0" applyNumberFormat="1" applyBorder="1"/>
    <xf numFmtId="0" fontId="9" fillId="23" borderId="19" xfId="0" applyNumberFormat="1" applyFont="1" applyFill="1" applyBorder="1" applyAlignment="1">
      <alignment horizontal="justify" vertical="top"/>
    </xf>
    <xf numFmtId="0" fontId="9" fillId="23" borderId="16" xfId="0" applyNumberFormat="1" applyFont="1" applyFill="1" applyBorder="1"/>
    <xf numFmtId="0" fontId="47"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xf>
    <xf numFmtId="0" fontId="9" fillId="0" borderId="21" xfId="0" applyNumberFormat="1" applyFont="1" applyFill="1" applyBorder="1" applyAlignment="1">
      <alignment horizontal="justify" vertical="top"/>
    </xf>
    <xf numFmtId="0" fontId="47" fillId="0" borderId="80" xfId="0" applyNumberFormat="1" applyFont="1" applyFill="1" applyBorder="1" applyAlignment="1">
      <alignment horizontal="left" vertical="top" wrapText="1"/>
    </xf>
    <xf numFmtId="0" fontId="74" fillId="0" borderId="112" xfId="148" applyNumberFormat="1" applyBorder="1" applyAlignment="1" applyProtection="1"/>
    <xf numFmtId="0" fontId="0" fillId="0" borderId="110" xfId="0" applyNumberFormat="1" applyBorder="1"/>
    <xf numFmtId="0" fontId="0" fillId="0" borderId="113" xfId="0" applyNumberFormat="1" applyBorder="1"/>
    <xf numFmtId="0" fontId="74" fillId="0" borderId="114" xfId="148" applyNumberFormat="1" applyBorder="1" applyAlignment="1" applyProtection="1"/>
    <xf numFmtId="0" fontId="0" fillId="0" borderId="115" xfId="0" applyNumberFormat="1" applyBorder="1"/>
    <xf numFmtId="0" fontId="74" fillId="0" borderId="112" xfId="148" quotePrefix="1" applyNumberFormat="1" applyBorder="1" applyAlignment="1" applyProtection="1"/>
    <xf numFmtId="0" fontId="0" fillId="0" borderId="114" xfId="0" applyNumberFormat="1" applyBorder="1"/>
    <xf numFmtId="0" fontId="26" fillId="0" borderId="0" xfId="0" applyNumberFormat="1" applyFont="1" applyBorder="1"/>
    <xf numFmtId="0" fontId="26" fillId="0" borderId="80" xfId="0" applyNumberFormat="1" applyFont="1" applyBorder="1"/>
    <xf numFmtId="0" fontId="26" fillId="0" borderId="0" xfId="0" applyNumberFormat="1" applyFont="1"/>
    <xf numFmtId="0" fontId="26" fillId="0" borderId="0" xfId="0" applyNumberFormat="1" applyFont="1" applyFill="1"/>
    <xf numFmtId="0" fontId="31" fillId="0" borderId="0" xfId="0" applyNumberFormat="1" applyFont="1"/>
    <xf numFmtId="0" fontId="26" fillId="0" borderId="21" xfId="0" applyNumberFormat="1" applyFont="1" applyBorder="1" applyAlignment="1">
      <alignment horizontal="justify" wrapText="1"/>
    </xf>
    <xf numFmtId="0" fontId="80" fillId="0" borderId="102" xfId="0" applyNumberFormat="1" applyFont="1" applyFill="1" applyBorder="1" applyAlignment="1">
      <alignment horizontal="left" vertical="center" wrapText="1"/>
    </xf>
    <xf numFmtId="0" fontId="81" fillId="0" borderId="52" xfId="0" applyNumberFormat="1" applyFont="1" applyFill="1" applyBorder="1" applyAlignment="1">
      <alignment horizontal="left" vertical="center" wrapText="1"/>
    </xf>
    <xf numFmtId="0" fontId="81" fillId="0" borderId="101" xfId="0" applyNumberFormat="1" applyFont="1" applyFill="1" applyBorder="1" applyAlignment="1">
      <alignment horizontal="left" vertical="center" wrapText="1"/>
    </xf>
    <xf numFmtId="0" fontId="82" fillId="0" borderId="0" xfId="0" applyNumberFormat="1" applyFont="1" applyFill="1"/>
    <xf numFmtId="0" fontId="80" fillId="0" borderId="21" xfId="0" applyNumberFormat="1" applyFont="1" applyFill="1" applyBorder="1" applyAlignment="1">
      <alignment horizontal="left" vertical="center" wrapText="1"/>
    </xf>
    <xf numFmtId="0" fontId="81" fillId="0" borderId="0" xfId="0" applyNumberFormat="1" applyFont="1" applyFill="1" applyBorder="1" applyAlignment="1">
      <alignment horizontal="left" vertical="center" wrapText="1"/>
    </xf>
    <xf numFmtId="0" fontId="81" fillId="0" borderId="80" xfId="0" applyNumberFormat="1" applyFont="1" applyFill="1" applyBorder="1" applyAlignment="1">
      <alignment horizontal="left" vertical="center" wrapText="1"/>
    </xf>
    <xf numFmtId="0" fontId="85" fillId="0" borderId="21" xfId="0" applyNumberFormat="1" applyFont="1" applyFill="1" applyBorder="1" applyAlignment="1">
      <alignment horizontal="left" vertical="center" wrapText="1"/>
    </xf>
    <xf numFmtId="0" fontId="84" fillId="12" borderId="102" xfId="0" applyNumberFormat="1" applyFont="1" applyFill="1" applyBorder="1" applyAlignment="1">
      <alignment horizontal="left" vertical="center"/>
    </xf>
    <xf numFmtId="0" fontId="84" fillId="12" borderId="52" xfId="0" applyNumberFormat="1" applyFont="1" applyFill="1" applyBorder="1" applyAlignment="1">
      <alignment horizontal="left" vertical="center"/>
    </xf>
    <xf numFmtId="0" fontId="84" fillId="12" borderId="101" xfId="0" applyNumberFormat="1" applyFont="1" applyFill="1" applyBorder="1" applyAlignment="1">
      <alignment horizontal="left" vertical="center" wrapText="1"/>
    </xf>
    <xf numFmtId="0" fontId="26" fillId="15" borderId="112" xfId="0" applyNumberFormat="1" applyFont="1" applyFill="1" applyBorder="1" applyAlignment="1">
      <alignment horizontal="justify" vertical="top" wrapText="1"/>
    </xf>
    <xf numFmtId="0" fontId="26" fillId="0" borderId="110" xfId="0" applyNumberFormat="1" applyFont="1" applyFill="1" applyBorder="1" applyAlignment="1">
      <alignment horizontal="justify" vertical="top" wrapText="1"/>
    </xf>
    <xf numFmtId="0" fontId="26" fillId="0" borderId="113" xfId="0" applyNumberFormat="1" applyFont="1" applyFill="1" applyBorder="1" applyAlignment="1">
      <alignment horizontal="justify" vertical="top" wrapText="1"/>
    </xf>
    <xf numFmtId="0" fontId="0" fillId="0" borderId="0" xfId="0" applyNumberFormat="1" applyFont="1" applyBorder="1" applyAlignment="1">
      <alignment vertical="top"/>
    </xf>
    <xf numFmtId="0" fontId="0" fillId="17" borderId="7" xfId="0" applyNumberFormat="1" applyFont="1" applyFill="1" applyBorder="1" applyAlignment="1">
      <alignment vertical="top"/>
    </xf>
    <xf numFmtId="0" fontId="26" fillId="0" borderId="0" xfId="0" applyNumberFormat="1" applyFont="1" applyFill="1" applyBorder="1" applyAlignment="1">
      <alignment horizontal="justify" vertical="top" wrapText="1"/>
    </xf>
    <xf numFmtId="0" fontId="26" fillId="0" borderId="80" xfId="0" applyNumberFormat="1" applyFont="1" applyFill="1" applyBorder="1" applyAlignment="1">
      <alignment horizontal="justify" vertical="top" wrapText="1"/>
    </xf>
    <xf numFmtId="0" fontId="0" fillId="2" borderId="0" xfId="0" applyNumberFormat="1" applyFont="1" applyFill="1" applyBorder="1" applyAlignment="1">
      <alignment horizontal="left" vertical="top"/>
    </xf>
    <xf numFmtId="0" fontId="0" fillId="13" borderId="7" xfId="0" applyNumberFormat="1" applyFont="1" applyFill="1" applyBorder="1" applyAlignment="1">
      <alignment vertical="top"/>
    </xf>
    <xf numFmtId="0" fontId="78" fillId="12" borderId="19" xfId="0" applyNumberFormat="1" applyFont="1" applyFill="1" applyBorder="1" applyAlignment="1">
      <alignment horizontal="left" vertical="center" wrapText="1"/>
    </xf>
    <xf numFmtId="0" fontId="12" fillId="23" borderId="86" xfId="0" applyNumberFormat="1" applyFont="1" applyFill="1" applyBorder="1" applyAlignment="1">
      <alignment horizontal="left" vertical="center" wrapText="1"/>
    </xf>
    <xf numFmtId="0" fontId="26" fillId="23" borderId="16" xfId="0" applyNumberFormat="1" applyFont="1" applyFill="1" applyBorder="1" applyAlignment="1">
      <alignment horizontal="justify" wrapText="1"/>
    </xf>
    <xf numFmtId="0" fontId="78" fillId="12" borderId="86" xfId="0" applyNumberFormat="1" applyFont="1" applyFill="1" applyBorder="1" applyAlignment="1">
      <alignment horizontal="left" vertical="center" wrapText="1"/>
    </xf>
    <xf numFmtId="0" fontId="78" fillId="12" borderId="16" xfId="0" applyNumberFormat="1" applyFont="1" applyFill="1" applyBorder="1" applyAlignment="1">
      <alignment horizontal="left" vertical="center" wrapText="1"/>
    </xf>
    <xf numFmtId="0" fontId="55" fillId="12" borderId="19" xfId="0" applyNumberFormat="1" applyFont="1" applyFill="1" applyBorder="1" applyAlignment="1">
      <alignment horizontal="left" vertical="center" wrapText="1"/>
    </xf>
    <xf numFmtId="0" fontId="80" fillId="0" borderId="0" xfId="0" applyNumberFormat="1" applyFont="1" applyFill="1" applyBorder="1" applyAlignment="1">
      <alignment horizontal="left" vertical="center" wrapText="1"/>
    </xf>
    <xf numFmtId="0" fontId="80" fillId="0" borderId="80" xfId="0" applyNumberFormat="1" applyFont="1" applyFill="1" applyBorder="1" applyAlignment="1">
      <alignment horizontal="left" vertical="center" wrapText="1"/>
    </xf>
    <xf numFmtId="0" fontId="75" fillId="0" borderId="21" xfId="0" applyNumberFormat="1" applyFont="1" applyFill="1" applyBorder="1" applyAlignment="1">
      <alignment vertical="top" wrapText="1"/>
    </xf>
    <xf numFmtId="0" fontId="0" fillId="0" borderId="110" xfId="0" applyNumberFormat="1" applyBorder="1" applyAlignment="1">
      <alignment vertical="top" wrapText="1"/>
    </xf>
    <xf numFmtId="0" fontId="0" fillId="0" borderId="113" xfId="0" applyNumberFormat="1" applyBorder="1" applyAlignment="1">
      <alignment vertical="top"/>
    </xf>
    <xf numFmtId="0" fontId="0" fillId="0" borderId="0" xfId="0" applyNumberFormat="1" applyBorder="1" applyAlignment="1">
      <alignment vertical="top" wrapText="1"/>
    </xf>
    <xf numFmtId="0" fontId="0" fillId="0" borderId="80" xfId="0" applyNumberFormat="1" applyBorder="1" applyAlignment="1">
      <alignment vertical="top"/>
    </xf>
    <xf numFmtId="173" fontId="0" fillId="0" borderId="0" xfId="0" applyNumberFormat="1"/>
    <xf numFmtId="170" fontId="51" fillId="0" borderId="0" xfId="0" applyFont="1"/>
    <xf numFmtId="10" fontId="0" fillId="3" borderId="0" xfId="52" applyNumberFormat="1" applyFont="1" applyFill="1"/>
    <xf numFmtId="170" fontId="12" fillId="4" borderId="149" xfId="0" applyFont="1" applyFill="1" applyBorder="1" applyAlignment="1">
      <alignment vertical="center"/>
    </xf>
    <xf numFmtId="174" fontId="9" fillId="0" borderId="5" xfId="0" applyNumberFormat="1" applyFont="1" applyBorder="1"/>
    <xf numFmtId="174" fontId="26" fillId="3" borderId="0" xfId="0" applyNumberFormat="1" applyFont="1" applyFill="1" applyBorder="1"/>
    <xf numFmtId="174" fontId="26" fillId="3" borderId="8" xfId="0" applyNumberFormat="1" applyFont="1" applyFill="1" applyBorder="1"/>
    <xf numFmtId="174" fontId="26" fillId="3" borderId="0" xfId="1" applyNumberFormat="1" applyFont="1" applyFill="1" applyBorder="1"/>
    <xf numFmtId="174" fontId="26" fillId="3" borderId="12" xfId="0" applyNumberFormat="1" applyFont="1" applyFill="1" applyBorder="1"/>
    <xf numFmtId="174" fontId="26" fillId="3" borderId="12" xfId="1" applyNumberFormat="1" applyFont="1" applyFill="1" applyBorder="1"/>
    <xf numFmtId="174" fontId="26" fillId="3" borderId="11" xfId="0" applyNumberFormat="1" applyFont="1" applyFill="1" applyBorder="1"/>
    <xf numFmtId="174" fontId="0" fillId="3" borderId="14" xfId="0" quotePrefix="1" applyNumberFormat="1" applyFill="1" applyBorder="1" applyAlignment="1">
      <alignment horizontal="center"/>
    </xf>
    <xf numFmtId="0" fontId="0" fillId="3" borderId="21" xfId="0" applyNumberFormat="1" applyFont="1" applyFill="1" applyBorder="1" applyAlignment="1">
      <alignment vertical="top"/>
    </xf>
    <xf numFmtId="170" fontId="0" fillId="0" borderId="164" xfId="0" applyBorder="1"/>
    <xf numFmtId="170" fontId="0" fillId="0" borderId="164" xfId="0" applyBorder="1" applyAlignment="1">
      <alignment horizontal="justify" wrapText="1"/>
    </xf>
    <xf numFmtId="170" fontId="0" fillId="0" borderId="163" xfId="0" applyBorder="1"/>
    <xf numFmtId="170" fontId="0" fillId="0" borderId="113" xfId="0" applyBorder="1" applyAlignment="1">
      <alignment horizontal="left" vertical="top" wrapText="1"/>
    </xf>
    <xf numFmtId="169" fontId="9" fillId="0" borderId="5" xfId="0" applyNumberFormat="1" applyFont="1" applyBorder="1" applyAlignment="1">
      <alignment horizontal="right"/>
    </xf>
    <xf numFmtId="174" fontId="0" fillId="3" borderId="14" xfId="0" quotePrefix="1" applyNumberFormat="1" applyFill="1" applyBorder="1" applyAlignment="1">
      <alignment horizontal="right"/>
    </xf>
    <xf numFmtId="174" fontId="9" fillId="0" borderId="5" xfId="0" applyNumberFormat="1" applyFont="1" applyFill="1" applyBorder="1" applyAlignment="1">
      <alignment horizontal="right"/>
    </xf>
    <xf numFmtId="174" fontId="9" fillId="0" borderId="4" xfId="0" applyNumberFormat="1" applyFont="1" applyFill="1" applyBorder="1" applyAlignment="1">
      <alignment horizontal="right"/>
    </xf>
    <xf numFmtId="174" fontId="0" fillId="3" borderId="28" xfId="0" quotePrefix="1" applyNumberFormat="1" applyFill="1" applyBorder="1" applyAlignment="1">
      <alignment horizontal="right"/>
    </xf>
    <xf numFmtId="170" fontId="0" fillId="0" borderId="21" xfId="0" applyBorder="1" applyAlignment="1">
      <alignment horizontal="left"/>
    </xf>
    <xf numFmtId="170" fontId="0" fillId="0" borderId="21" xfId="0" applyBorder="1" applyAlignment="1"/>
    <xf numFmtId="0" fontId="0" fillId="0" borderId="110" xfId="0" applyNumberFormat="1" applyBorder="1" applyAlignment="1">
      <alignment wrapText="1"/>
    </xf>
    <xf numFmtId="3" fontId="60" fillId="12" borderId="38" xfId="0" applyNumberFormat="1" applyFont="1" applyFill="1" applyBorder="1" applyAlignment="1">
      <alignment horizontal="center" vertical="center" wrapText="1"/>
    </xf>
    <xf numFmtId="0" fontId="74" fillId="0" borderId="0" xfId="148" applyNumberFormat="1" applyBorder="1" applyAlignment="1" applyProtection="1">
      <alignment vertical="top"/>
    </xf>
    <xf numFmtId="3" fontId="58" fillId="0" borderId="0" xfId="0" applyNumberFormat="1" applyFont="1"/>
    <xf numFmtId="3" fontId="60" fillId="0" borderId="0" xfId="0" applyNumberFormat="1" applyFont="1" applyAlignment="1">
      <alignment horizontal="left"/>
    </xf>
    <xf numFmtId="3" fontId="58" fillId="0" borderId="0" xfId="0" applyNumberFormat="1" applyFont="1" applyAlignment="1">
      <alignment vertical="center"/>
    </xf>
    <xf numFmtId="3" fontId="41" fillId="12" borderId="15" xfId="0" applyNumberFormat="1" applyFont="1" applyFill="1" applyBorder="1" applyAlignment="1">
      <alignment horizontal="center" vertical="center" wrapText="1"/>
    </xf>
    <xf numFmtId="3" fontId="0" fillId="0" borderId="0" xfId="0" applyNumberFormat="1"/>
    <xf numFmtId="3" fontId="0" fillId="0" borderId="9" xfId="0" applyNumberFormat="1" applyBorder="1"/>
    <xf numFmtId="3" fontId="0" fillId="0" borderId="0" xfId="0" applyNumberFormat="1" applyBorder="1"/>
    <xf numFmtId="3" fontId="0" fillId="0" borderId="8" xfId="0" applyNumberFormat="1" applyBorder="1"/>
    <xf numFmtId="3" fontId="0" fillId="0" borderId="6" xfId="0" applyNumberFormat="1" applyBorder="1"/>
    <xf numFmtId="3" fontId="26" fillId="0" borderId="9" xfId="0" applyNumberFormat="1" applyFont="1" applyBorder="1"/>
    <xf numFmtId="3" fontId="26" fillId="0" borderId="0" xfId="0" applyNumberFormat="1" applyFont="1" applyBorder="1"/>
    <xf numFmtId="3" fontId="26" fillId="0" borderId="0" xfId="0" applyNumberFormat="1" applyFont="1"/>
    <xf numFmtId="3" fontId="0" fillId="0" borderId="13" xfId="0" applyNumberFormat="1" applyBorder="1"/>
    <xf numFmtId="3" fontId="0" fillId="0" borderId="12" xfId="0" applyNumberFormat="1" applyBorder="1"/>
    <xf numFmtId="3" fontId="0" fillId="0" borderId="11" xfId="0" applyNumberFormat="1" applyBorder="1"/>
    <xf numFmtId="3" fontId="9" fillId="0" borderId="0" xfId="0" applyNumberFormat="1" applyFont="1"/>
    <xf numFmtId="3" fontId="9" fillId="14" borderId="0" xfId="0" applyNumberFormat="1" applyFont="1" applyFill="1"/>
    <xf numFmtId="3" fontId="0" fillId="0" borderId="4" xfId="0" applyNumberFormat="1" applyBorder="1"/>
    <xf numFmtId="3" fontId="26" fillId="0" borderId="8" xfId="0" applyNumberFormat="1" applyFont="1" applyBorder="1"/>
    <xf numFmtId="3" fontId="0" fillId="15" borderId="0" xfId="0" applyNumberFormat="1" applyFill="1"/>
    <xf numFmtId="3" fontId="0" fillId="15" borderId="0" xfId="0" applyNumberFormat="1" applyFill="1" applyAlignment="1">
      <alignment horizontal="right"/>
    </xf>
    <xf numFmtId="3" fontId="0" fillId="0" borderId="0" xfId="0" applyNumberFormat="1" applyAlignment="1">
      <alignment horizontal="left" indent="3"/>
    </xf>
    <xf numFmtId="3" fontId="51" fillId="0" borderId="120" xfId="0" applyNumberFormat="1" applyFont="1" applyBorder="1"/>
    <xf numFmtId="3" fontId="89" fillId="0" borderId="0" xfId="0" applyNumberFormat="1" applyFont="1" applyBorder="1" applyAlignment="1">
      <alignment vertical="center"/>
    </xf>
    <xf numFmtId="3" fontId="9" fillId="13" borderId="15" xfId="0" applyNumberFormat="1" applyFont="1" applyFill="1" applyBorder="1"/>
    <xf numFmtId="3" fontId="9" fillId="13" borderId="15" xfId="0" applyNumberFormat="1" applyFont="1" applyFill="1" applyBorder="1" applyAlignment="1">
      <alignment horizontal="right"/>
    </xf>
    <xf numFmtId="3" fontId="9" fillId="13" borderId="15" xfId="0" quotePrefix="1" applyNumberFormat="1" applyFont="1" applyFill="1" applyBorder="1" applyAlignment="1">
      <alignment horizontal="right"/>
    </xf>
    <xf numFmtId="3" fontId="9" fillId="3" borderId="15" xfId="0" quotePrefix="1" applyNumberFormat="1" applyFont="1" applyFill="1" applyBorder="1" applyAlignment="1">
      <alignment horizontal="right"/>
    </xf>
    <xf numFmtId="3" fontId="0" fillId="0" borderId="0" xfId="0" applyNumberFormat="1" applyAlignment="1">
      <alignment horizontal="right"/>
    </xf>
    <xf numFmtId="3" fontId="9" fillId="17" borderId="15" xfId="0" applyNumberFormat="1" applyFont="1" applyFill="1" applyBorder="1"/>
    <xf numFmtId="3" fontId="0" fillId="13" borderId="15" xfId="0" applyNumberFormat="1" applyFill="1" applyBorder="1" applyAlignment="1">
      <alignment horizontal="right"/>
    </xf>
    <xf numFmtId="3" fontId="9" fillId="23" borderId="3" xfId="0" applyNumberFormat="1" applyFont="1" applyFill="1" applyBorder="1"/>
    <xf numFmtId="3" fontId="0" fillId="23" borderId="5" xfId="0" applyNumberFormat="1" applyFont="1" applyFill="1" applyBorder="1"/>
    <xf numFmtId="3" fontId="0" fillId="23" borderId="5" xfId="0" applyNumberFormat="1" applyFont="1" applyFill="1" applyBorder="1" applyAlignment="1">
      <alignment horizontal="left"/>
    </xf>
    <xf numFmtId="3" fontId="9" fillId="23" borderId="5" xfId="0" applyNumberFormat="1" applyFont="1" applyFill="1" applyBorder="1" applyAlignment="1">
      <alignment horizontal="left"/>
    </xf>
    <xf numFmtId="3" fontId="0" fillId="23" borderId="4" xfId="0" applyNumberFormat="1" applyFont="1" applyFill="1" applyBorder="1"/>
    <xf numFmtId="3" fontId="9" fillId="0" borderId="134" xfId="0" applyNumberFormat="1" applyFont="1" applyFill="1" applyBorder="1"/>
    <xf numFmtId="3" fontId="0" fillId="0" borderId="111" xfId="0" applyNumberFormat="1" applyFont="1" applyFill="1" applyBorder="1"/>
    <xf numFmtId="3" fontId="9" fillId="0" borderId="111" xfId="0" applyNumberFormat="1" applyFont="1" applyFill="1" applyBorder="1" applyAlignment="1">
      <alignment horizontal="left"/>
    </xf>
    <xf numFmtId="3" fontId="0" fillId="0" borderId="135" xfId="0" applyNumberFormat="1" applyFont="1" applyFill="1" applyBorder="1"/>
    <xf numFmtId="3" fontId="19" fillId="0" borderId="7" xfId="5" applyNumberFormat="1" applyFont="1" applyFill="1" applyBorder="1" applyAlignment="1">
      <alignment wrapText="1"/>
    </xf>
    <xf numFmtId="3" fontId="0" fillId="0" borderId="0" xfId="0" applyNumberFormat="1" applyBorder="1" applyAlignment="1">
      <alignment horizontal="left"/>
    </xf>
    <xf numFmtId="3" fontId="26" fillId="0" borderId="0" xfId="0" applyNumberFormat="1" applyFont="1" applyBorder="1" applyAlignment="1">
      <alignment horizontal="left"/>
    </xf>
    <xf numFmtId="3" fontId="19" fillId="0" borderId="10" xfId="5" applyNumberFormat="1" applyFont="1" applyFill="1" applyBorder="1" applyAlignment="1">
      <alignment wrapText="1"/>
    </xf>
    <xf numFmtId="3" fontId="0" fillId="0" borderId="12" xfId="0" applyNumberFormat="1" applyBorder="1" applyAlignment="1">
      <alignment horizontal="left"/>
    </xf>
    <xf numFmtId="3" fontId="26" fillId="0" borderId="12" xfId="0" applyNumberFormat="1" applyFont="1" applyBorder="1" applyAlignment="1">
      <alignment horizontal="left"/>
    </xf>
    <xf numFmtId="3" fontId="26" fillId="0" borderId="11" xfId="0" applyNumberFormat="1" applyFont="1" applyBorder="1"/>
    <xf numFmtId="3" fontId="0" fillId="0" borderId="0" xfId="0" applyNumberFormat="1" applyFill="1" applyBorder="1" applyAlignment="1">
      <alignment horizontal="left"/>
    </xf>
    <xf numFmtId="3" fontId="43" fillId="23" borderId="3" xfId="5" applyNumberFormat="1" applyFont="1" applyFill="1" applyBorder="1" applyAlignment="1">
      <alignment wrapText="1"/>
    </xf>
    <xf numFmtId="3" fontId="43" fillId="0" borderId="134" xfId="5" applyNumberFormat="1" applyFont="1" applyFill="1" applyBorder="1" applyAlignment="1">
      <alignment wrapText="1"/>
    </xf>
    <xf numFmtId="3" fontId="0" fillId="0" borderId="12" xfId="0" applyNumberFormat="1" applyFill="1" applyBorder="1" applyAlignment="1">
      <alignment horizontal="left"/>
    </xf>
    <xf numFmtId="3" fontId="0" fillId="0" borderId="0" xfId="0" applyNumberFormat="1" applyFill="1" applyAlignment="1">
      <alignment horizontal="right"/>
    </xf>
    <xf numFmtId="3" fontId="0" fillId="13" borderId="15" xfId="0" applyNumberFormat="1" applyFill="1" applyBorder="1"/>
    <xf numFmtId="4" fontId="0" fillId="17" borderId="15" xfId="0" applyNumberFormat="1" applyFill="1" applyBorder="1" applyAlignment="1">
      <alignment horizontal="right"/>
    </xf>
    <xf numFmtId="4" fontId="0" fillId="17" borderId="15" xfId="0" applyNumberFormat="1" applyFill="1" applyBorder="1"/>
    <xf numFmtId="3" fontId="9" fillId="23" borderId="52" xfId="0" applyNumberFormat="1" applyFont="1" applyFill="1" applyBorder="1"/>
    <xf numFmtId="3" fontId="9" fillId="0" borderId="111" xfId="0" applyNumberFormat="1" applyFont="1" applyBorder="1"/>
    <xf numFmtId="3" fontId="8" fillId="0" borderId="61" xfId="0" applyNumberFormat="1" applyFont="1" applyBorder="1"/>
    <xf numFmtId="3" fontId="9" fillId="0" borderId="0" xfId="0" applyNumberFormat="1" applyFont="1" applyFill="1" applyBorder="1"/>
    <xf numFmtId="3" fontId="0" fillId="0" borderId="61" xfId="0" applyNumberFormat="1" applyBorder="1"/>
    <xf numFmtId="4" fontId="9" fillId="23" borderId="16" xfId="0" applyNumberFormat="1" applyFont="1" applyFill="1" applyBorder="1"/>
    <xf numFmtId="4" fontId="0" fillId="0" borderId="80" xfId="0" applyNumberFormat="1" applyBorder="1"/>
    <xf numFmtId="4" fontId="47" fillId="0" borderId="80" xfId="0" applyNumberFormat="1" applyFont="1" applyFill="1" applyBorder="1" applyAlignment="1">
      <alignment horizontal="center" vertical="top" wrapText="1"/>
    </xf>
    <xf numFmtId="4" fontId="0" fillId="0" borderId="113" xfId="0" applyNumberFormat="1" applyBorder="1" applyAlignment="1">
      <alignment horizontal="center" vertical="top" wrapText="1"/>
    </xf>
    <xf numFmtId="4" fontId="0" fillId="0" borderId="80" xfId="0" applyNumberFormat="1" applyBorder="1" applyAlignment="1">
      <alignment horizontal="right" vertical="top" wrapText="1"/>
    </xf>
    <xf numFmtId="4" fontId="0" fillId="0" borderId="80" xfId="0" applyNumberFormat="1" applyBorder="1" applyAlignment="1">
      <alignment horizontal="right" wrapText="1"/>
    </xf>
    <xf numFmtId="4" fontId="0" fillId="0" borderId="18" xfId="0" applyNumberFormat="1" applyBorder="1" applyAlignment="1">
      <alignment horizontal="right" wrapText="1"/>
    </xf>
    <xf numFmtId="4" fontId="0" fillId="0" borderId="0" xfId="0" applyNumberFormat="1" applyBorder="1"/>
    <xf numFmtId="4" fontId="47" fillId="0" borderId="115" xfId="0" applyNumberFormat="1" applyFont="1" applyFill="1" applyBorder="1" applyAlignment="1">
      <alignment horizontal="center" vertical="top" wrapText="1"/>
    </xf>
    <xf numFmtId="4" fontId="0" fillId="0" borderId="18" xfId="0" applyNumberFormat="1" applyBorder="1" applyAlignment="1">
      <alignment horizontal="center" wrapText="1"/>
    </xf>
    <xf numFmtId="4" fontId="0" fillId="23" borderId="16" xfId="0" applyNumberFormat="1" applyFont="1" applyFill="1" applyBorder="1"/>
    <xf numFmtId="4" fontId="0" fillId="0" borderId="113" xfId="0" applyNumberFormat="1" applyBorder="1" applyAlignment="1">
      <alignment horizontal="right" vertical="top" wrapText="1"/>
    </xf>
    <xf numFmtId="4" fontId="0" fillId="0" borderId="18" xfId="0" applyNumberFormat="1" applyBorder="1" applyAlignment="1">
      <alignment horizontal="right" vertical="top" wrapText="1"/>
    </xf>
    <xf numFmtId="4" fontId="0" fillId="0" borderId="0" xfId="0" applyNumberFormat="1" applyBorder="1" applyAlignment="1">
      <alignment horizontal="center" vertical="top" wrapText="1"/>
    </xf>
    <xf numFmtId="4" fontId="0" fillId="0" borderId="0" xfId="0" applyNumberFormat="1"/>
    <xf numFmtId="3" fontId="9" fillId="23" borderId="86" xfId="0" applyNumberFormat="1" applyFont="1" applyFill="1" applyBorder="1"/>
    <xf numFmtId="0" fontId="9" fillId="23" borderId="16" xfId="0" applyNumberFormat="1" applyFont="1" applyFill="1" applyBorder="1" applyAlignment="1">
      <alignment horizontal="right"/>
    </xf>
    <xf numFmtId="170" fontId="0" fillId="0" borderId="0" xfId="0" applyAlignment="1">
      <alignment horizontal="right"/>
    </xf>
    <xf numFmtId="0" fontId="0" fillId="0" borderId="80" xfId="0" applyNumberFormat="1" applyBorder="1" applyAlignment="1">
      <alignment horizontal="left"/>
    </xf>
    <xf numFmtId="0" fontId="47" fillId="0" borderId="0" xfId="0" applyNumberFormat="1" applyFont="1" applyFill="1" applyBorder="1" applyAlignment="1">
      <alignment horizontal="left" vertical="top"/>
    </xf>
    <xf numFmtId="3" fontId="0" fillId="0" borderId="110" xfId="0" applyNumberFormat="1" applyFill="1" applyBorder="1" applyAlignment="1">
      <alignment horizontal="left"/>
    </xf>
    <xf numFmtId="3" fontId="0" fillId="0" borderId="113" xfId="0" applyNumberFormat="1" applyFill="1" applyBorder="1" applyAlignment="1">
      <alignment horizontal="right"/>
    </xf>
    <xf numFmtId="3" fontId="0" fillId="0" borderId="18" xfId="0" applyNumberFormat="1" applyFill="1" applyBorder="1" applyAlignment="1">
      <alignment horizontal="right"/>
    </xf>
    <xf numFmtId="175" fontId="9" fillId="13" borderId="0" xfId="0" applyNumberFormat="1" applyFont="1" applyFill="1" applyBorder="1"/>
    <xf numFmtId="175" fontId="0" fillId="3" borderId="0" xfId="0" applyNumberFormat="1" applyFill="1" applyBorder="1"/>
    <xf numFmtId="174" fontId="9" fillId="13" borderId="0" xfId="0" applyNumberFormat="1" applyFont="1" applyFill="1" applyBorder="1"/>
    <xf numFmtId="4" fontId="0" fillId="2" borderId="0" xfId="0" applyNumberFormat="1" applyFill="1" applyBorder="1"/>
    <xf numFmtId="4" fontId="0" fillId="0" borderId="0" xfId="0" applyNumberFormat="1" applyFill="1" applyBorder="1"/>
    <xf numFmtId="170" fontId="0" fillId="0" borderId="0" xfId="0" applyFill="1" applyBorder="1" applyProtection="1"/>
    <xf numFmtId="0" fontId="41" fillId="12" borderId="73" xfId="0" applyNumberFormat="1" applyFont="1" applyFill="1" applyBorder="1" applyAlignment="1" applyProtection="1">
      <alignment horizontal="center" vertical="center" wrapText="1"/>
    </xf>
    <xf numFmtId="0" fontId="41" fillId="12" borderId="154" xfId="0" applyNumberFormat="1" applyFont="1" applyFill="1" applyBorder="1" applyAlignment="1" applyProtection="1">
      <alignment horizontal="center" vertical="center" wrapText="1"/>
    </xf>
    <xf numFmtId="0" fontId="41" fillId="12" borderId="74" xfId="0" applyNumberFormat="1" applyFont="1" applyFill="1" applyBorder="1" applyAlignment="1" applyProtection="1">
      <alignment horizontal="center" vertical="center" wrapText="1"/>
    </xf>
    <xf numFmtId="0" fontId="41" fillId="12" borderId="75" xfId="0" applyNumberFormat="1" applyFont="1" applyFill="1" applyBorder="1" applyAlignment="1" applyProtection="1">
      <alignment horizontal="center" vertical="center" wrapText="1"/>
    </xf>
    <xf numFmtId="170" fontId="43" fillId="0" borderId="77" xfId="0" applyFont="1" applyFill="1" applyBorder="1" applyAlignment="1" applyProtection="1">
      <alignment horizontal="center"/>
    </xf>
    <xf numFmtId="3" fontId="41" fillId="2" borderId="12" xfId="0" applyNumberFormat="1" applyFont="1" applyFill="1" applyBorder="1" applyAlignment="1" applyProtection="1">
      <alignment horizontal="right" vertical="center"/>
    </xf>
    <xf numFmtId="170" fontId="41" fillId="19" borderId="77" xfId="0" applyFont="1" applyFill="1" applyBorder="1" applyAlignment="1" applyProtection="1">
      <alignment horizontal="right" vertical="center"/>
    </xf>
    <xf numFmtId="170" fontId="41" fillId="0" borderId="47" xfId="0" applyFont="1" applyFill="1" applyBorder="1" applyAlignment="1" applyProtection="1">
      <alignment horizontal="center"/>
    </xf>
    <xf numFmtId="170" fontId="41" fillId="19" borderId="47" xfId="0" applyFont="1" applyFill="1" applyBorder="1" applyAlignment="1" applyProtection="1">
      <alignment horizontal="right" vertical="center"/>
    </xf>
    <xf numFmtId="170" fontId="43" fillId="0" borderId="47" xfId="0" applyFont="1" applyFill="1" applyBorder="1" applyAlignment="1" applyProtection="1">
      <alignment horizontal="center"/>
    </xf>
    <xf numFmtId="3" fontId="45" fillId="0" borderId="84" xfId="0" applyNumberFormat="1" applyFont="1" applyFill="1" applyBorder="1" applyAlignment="1" applyProtection="1">
      <alignment horizontal="right" vertical="center"/>
    </xf>
    <xf numFmtId="3" fontId="45" fillId="0" borderId="94" xfId="0" applyNumberFormat="1" applyFont="1" applyFill="1" applyBorder="1" applyAlignment="1" applyProtection="1">
      <alignment horizontal="right" vertical="center"/>
    </xf>
    <xf numFmtId="3" fontId="45" fillId="0" borderId="46" xfId="0" applyNumberFormat="1" applyFont="1" applyFill="1" applyBorder="1" applyAlignment="1" applyProtection="1">
      <alignment horizontal="right" vertical="center"/>
    </xf>
    <xf numFmtId="3" fontId="41" fillId="19" borderId="47" xfId="0" applyNumberFormat="1" applyFont="1" applyFill="1" applyBorder="1" applyAlignment="1" applyProtection="1">
      <alignment horizontal="right" vertical="center"/>
    </xf>
    <xf numFmtId="170" fontId="41" fillId="0" borderId="47" xfId="0" applyFont="1" applyFill="1" applyBorder="1" applyAlignment="1" applyProtection="1">
      <alignment horizontal="center" wrapText="1"/>
    </xf>
    <xf numFmtId="3" fontId="41" fillId="3" borderId="5" xfId="0" applyNumberFormat="1" applyFont="1" applyFill="1" applyBorder="1" applyAlignment="1" applyProtection="1">
      <alignment horizontal="right" vertical="center"/>
    </xf>
    <xf numFmtId="3" fontId="45" fillId="0" borderId="85" xfId="0" applyNumberFormat="1" applyFont="1" applyFill="1" applyBorder="1" applyAlignment="1" applyProtection="1">
      <alignment horizontal="right" vertical="center"/>
    </xf>
    <xf numFmtId="3" fontId="45" fillId="0" borderId="6" xfId="0" applyNumberFormat="1" applyFont="1" applyFill="1" applyBorder="1" applyAlignment="1" applyProtection="1">
      <alignment horizontal="right" vertical="center"/>
    </xf>
    <xf numFmtId="3" fontId="45" fillId="0" borderId="95" xfId="0" applyNumberFormat="1" applyFont="1" applyFill="1" applyBorder="1" applyAlignment="1" applyProtection="1">
      <alignment horizontal="right" vertical="center"/>
    </xf>
    <xf numFmtId="3" fontId="45" fillId="0" borderId="39" xfId="0" applyNumberFormat="1" applyFont="1" applyFill="1" applyBorder="1" applyAlignment="1" applyProtection="1">
      <alignment horizontal="right" vertical="center"/>
    </xf>
    <xf numFmtId="170" fontId="0" fillId="0" borderId="66" xfId="0" applyFill="1" applyBorder="1" applyProtection="1"/>
    <xf numFmtId="170" fontId="41" fillId="12" borderId="35" xfId="0" applyFont="1" applyFill="1" applyBorder="1" applyAlignment="1" applyProtection="1">
      <alignment horizontal="center"/>
    </xf>
    <xf numFmtId="3" fontId="41" fillId="19" borderId="25" xfId="0" applyNumberFormat="1" applyFont="1" applyFill="1" applyBorder="1" applyAlignment="1" applyProtection="1">
      <alignment horizontal="right" vertical="center"/>
    </xf>
    <xf numFmtId="3" fontId="41" fillId="19" borderId="55" xfId="0" applyNumberFormat="1" applyFont="1" applyFill="1" applyBorder="1" applyAlignment="1" applyProtection="1">
      <alignment horizontal="right" vertical="center"/>
    </xf>
    <xf numFmtId="3" fontId="41" fillId="19" borderId="30" xfId="0" applyNumberFormat="1" applyFont="1" applyFill="1" applyBorder="1" applyAlignment="1" applyProtection="1">
      <alignment horizontal="right" vertical="center"/>
    </xf>
    <xf numFmtId="170" fontId="45" fillId="0" borderId="29" xfId="0" applyFont="1" applyFill="1" applyBorder="1" applyAlignment="1" applyProtection="1">
      <alignment horizontal="right" vertical="center"/>
    </xf>
    <xf numFmtId="170" fontId="9" fillId="0" borderId="0" xfId="0" applyFont="1" applyProtection="1"/>
    <xf numFmtId="172" fontId="0" fillId="0" borderId="0" xfId="0" applyNumberFormat="1" applyAlignment="1" applyProtection="1">
      <alignment horizontal="center"/>
    </xf>
    <xf numFmtId="170" fontId="0" fillId="0" borderId="0" xfId="0" applyFill="1" applyProtection="1"/>
    <xf numFmtId="172" fontId="0" fillId="0" borderId="0" xfId="0" applyNumberFormat="1" applyFill="1" applyBorder="1" applyAlignment="1" applyProtection="1">
      <alignment horizontal="center"/>
    </xf>
    <xf numFmtId="170" fontId="9" fillId="0" borderId="0" xfId="0" applyFont="1" applyFill="1" applyBorder="1" applyProtection="1"/>
    <xf numFmtId="0" fontId="41" fillId="12" borderId="36" xfId="0" applyNumberFormat="1" applyFont="1" applyFill="1" applyBorder="1" applyAlignment="1" applyProtection="1">
      <alignment horizontal="center" vertical="center" wrapText="1"/>
    </xf>
    <xf numFmtId="0" fontId="41" fillId="12" borderId="87" xfId="0" applyNumberFormat="1" applyFont="1" applyFill="1" applyBorder="1" applyAlignment="1" applyProtection="1">
      <alignment horizontal="center" vertical="center" wrapText="1"/>
    </xf>
    <xf numFmtId="170" fontId="43" fillId="0" borderId="77" xfId="0" applyFont="1" applyBorder="1" applyAlignment="1" applyProtection="1">
      <alignment horizontal="center" vertical="center"/>
    </xf>
    <xf numFmtId="3" fontId="41" fillId="3" borderId="77" xfId="0" applyNumberFormat="1" applyFont="1" applyFill="1" applyBorder="1" applyAlignment="1" applyProtection="1">
      <alignment horizontal="right" vertical="center"/>
    </xf>
    <xf numFmtId="3" fontId="45" fillId="0" borderId="11" xfId="0" applyNumberFormat="1" applyFont="1" applyFill="1" applyBorder="1" applyAlignment="1" applyProtection="1">
      <alignment horizontal="right" vertical="center"/>
    </xf>
    <xf numFmtId="3" fontId="45" fillId="0" borderId="13" xfId="0" applyNumberFormat="1" applyFont="1" applyFill="1" applyBorder="1" applyAlignment="1" applyProtection="1">
      <alignment horizontal="right" vertical="center"/>
    </xf>
    <xf numFmtId="3" fontId="45" fillId="0" borderId="98" xfId="0" applyNumberFormat="1" applyFont="1" applyFill="1" applyBorder="1" applyAlignment="1" applyProtection="1">
      <alignment horizontal="right" vertical="center"/>
    </xf>
    <xf numFmtId="3" fontId="41" fillId="19" borderId="77" xfId="0" applyNumberFormat="1" applyFont="1" applyFill="1" applyBorder="1" applyAlignment="1" applyProtection="1">
      <alignment horizontal="right" vertical="center"/>
    </xf>
    <xf numFmtId="170" fontId="41" fillId="0" borderId="47" xfId="0" applyFont="1" applyBorder="1" applyAlignment="1" applyProtection="1">
      <alignment horizontal="center" vertical="center"/>
    </xf>
    <xf numFmtId="3" fontId="41" fillId="3" borderId="47" xfId="0" applyNumberFormat="1" applyFont="1" applyFill="1" applyBorder="1" applyAlignment="1" applyProtection="1">
      <alignment horizontal="right" vertical="center"/>
    </xf>
    <xf numFmtId="3" fontId="41" fillId="19" borderId="57" xfId="0" applyNumberFormat="1" applyFont="1" applyFill="1" applyBorder="1" applyAlignment="1" applyProtection="1">
      <alignment horizontal="right" vertical="center"/>
    </xf>
    <xf numFmtId="170" fontId="0" fillId="0" borderId="0" xfId="0" applyFill="1" applyBorder="1" applyAlignment="1" applyProtection="1">
      <alignment horizontal="center" wrapText="1"/>
    </xf>
    <xf numFmtId="170" fontId="0" fillId="0" borderId="0" xfId="0" applyFill="1" applyBorder="1" applyAlignment="1" applyProtection="1">
      <alignment horizontal="center"/>
    </xf>
    <xf numFmtId="170" fontId="9" fillId="0" borderId="102" xfId="0" applyFont="1" applyFill="1" applyBorder="1" applyProtection="1"/>
    <xf numFmtId="170" fontId="48" fillId="0" borderId="21" xfId="0" applyFont="1" applyFill="1" applyBorder="1" applyProtection="1"/>
    <xf numFmtId="170" fontId="48" fillId="0" borderId="0" xfId="0" applyFont="1" applyFill="1" applyBorder="1" applyProtection="1"/>
    <xf numFmtId="170" fontId="48" fillId="0" borderId="21" xfId="0" applyFont="1" applyBorder="1" applyProtection="1"/>
    <xf numFmtId="170" fontId="9" fillId="3" borderId="21" xfId="0" applyFont="1" applyFill="1" applyBorder="1" applyProtection="1"/>
    <xf numFmtId="3" fontId="9" fillId="3" borderId="0" xfId="0" applyNumberFormat="1" applyFont="1" applyFill="1" applyBorder="1" applyAlignment="1" applyProtection="1">
      <alignment wrapText="1"/>
    </xf>
    <xf numFmtId="3" fontId="9" fillId="3" borderId="0" xfId="0" applyNumberFormat="1" applyFont="1" applyFill="1" applyBorder="1" applyAlignment="1" applyProtection="1">
      <alignment horizontal="center" wrapText="1"/>
    </xf>
    <xf numFmtId="3" fontId="9" fillId="3" borderId="0" xfId="0" applyNumberFormat="1" applyFont="1" applyFill="1" applyBorder="1" applyProtection="1"/>
    <xf numFmtId="3" fontId="9" fillId="3" borderId="80" xfId="0" applyNumberFormat="1" applyFont="1" applyFill="1" applyBorder="1" applyProtection="1"/>
    <xf numFmtId="170" fontId="9" fillId="3" borderId="103" xfId="0" applyFont="1" applyFill="1" applyBorder="1" applyProtection="1"/>
    <xf numFmtId="3" fontId="9" fillId="3" borderId="61" xfId="0" applyNumberFormat="1" applyFont="1" applyFill="1" applyBorder="1" applyAlignment="1" applyProtection="1">
      <alignment wrapText="1"/>
    </xf>
    <xf numFmtId="3" fontId="9" fillId="3" borderId="61" xfId="0" applyNumberFormat="1" applyFont="1" applyFill="1" applyBorder="1" applyAlignment="1" applyProtection="1">
      <alignment horizontal="center" wrapText="1"/>
    </xf>
    <xf numFmtId="3" fontId="9" fillId="3" borderId="61" xfId="0" applyNumberFormat="1" applyFont="1" applyFill="1" applyBorder="1" applyProtection="1"/>
    <xf numFmtId="3" fontId="9" fillId="3" borderId="18" xfId="0" applyNumberFormat="1" applyFont="1" applyFill="1" applyBorder="1" applyProtection="1"/>
    <xf numFmtId="170" fontId="9" fillId="0" borderId="0" xfId="0" applyFont="1" applyBorder="1" applyProtection="1"/>
    <xf numFmtId="170" fontId="9" fillId="0" borderId="0" xfId="0" applyFont="1" applyBorder="1" applyAlignment="1" applyProtection="1">
      <alignment wrapText="1"/>
    </xf>
    <xf numFmtId="170" fontId="9" fillId="0" borderId="102" xfId="0" applyFont="1" applyBorder="1" applyProtection="1"/>
    <xf numFmtId="170" fontId="48" fillId="0" borderId="0" xfId="0" applyFont="1" applyBorder="1" applyProtection="1"/>
    <xf numFmtId="170" fontId="0" fillId="0" borderId="0" xfId="0" applyBorder="1" applyProtection="1"/>
    <xf numFmtId="170" fontId="47" fillId="0" borderId="102" xfId="0" applyFont="1" applyBorder="1" applyProtection="1"/>
    <xf numFmtId="170" fontId="0" fillId="0" borderId="52" xfId="0" applyBorder="1" applyAlignment="1" applyProtection="1">
      <alignment wrapText="1"/>
    </xf>
    <xf numFmtId="170" fontId="0" fillId="0" borderId="101" xfId="0" applyBorder="1" applyAlignment="1" applyProtection="1">
      <alignment wrapText="1"/>
    </xf>
    <xf numFmtId="170" fontId="0" fillId="0" borderId="0" xfId="0" applyBorder="1" applyAlignment="1" applyProtection="1">
      <alignment wrapText="1"/>
    </xf>
    <xf numFmtId="170" fontId="0" fillId="0" borderId="0" xfId="0" applyAlignment="1" applyProtection="1">
      <alignment wrapText="1"/>
    </xf>
    <xf numFmtId="170" fontId="0" fillId="0" borderId="0" xfId="0" applyProtection="1"/>
    <xf numFmtId="170" fontId="9" fillId="0" borderId="21" xfId="0" applyFont="1" applyBorder="1" applyProtection="1"/>
    <xf numFmtId="170" fontId="9" fillId="0" borderId="80" xfId="0" applyFont="1" applyBorder="1" applyAlignment="1" applyProtection="1">
      <alignment wrapText="1"/>
    </xf>
    <xf numFmtId="170" fontId="9" fillId="0" borderId="21" xfId="0" applyFont="1" applyFill="1" applyBorder="1" applyProtection="1"/>
    <xf numFmtId="170" fontId="9" fillId="0" borderId="0" xfId="0" applyFont="1" applyFill="1" applyBorder="1" applyAlignment="1" applyProtection="1">
      <alignment horizontal="center" wrapText="1"/>
    </xf>
    <xf numFmtId="170" fontId="9" fillId="0" borderId="80" xfId="0" applyFont="1" applyFill="1" applyBorder="1" applyAlignment="1" applyProtection="1">
      <alignment horizontal="center" wrapText="1"/>
    </xf>
    <xf numFmtId="4" fontId="0" fillId="3" borderId="0" xfId="0" applyNumberFormat="1" applyFill="1" applyBorder="1" applyAlignment="1" applyProtection="1">
      <alignment horizontal="center" wrapText="1"/>
    </xf>
    <xf numFmtId="2" fontId="0" fillId="3" borderId="0" xfId="0" applyNumberFormat="1" applyFill="1" applyBorder="1" applyAlignment="1" applyProtection="1">
      <alignment horizontal="center" wrapText="1"/>
    </xf>
    <xf numFmtId="170" fontId="0" fillId="0" borderId="80" xfId="0" applyFill="1" applyBorder="1" applyAlignment="1" applyProtection="1">
      <alignment horizontal="center" wrapText="1"/>
    </xf>
    <xf numFmtId="169" fontId="0" fillId="0" borderId="0" xfId="0" applyNumberFormat="1" applyFill="1" applyAlignment="1" applyProtection="1">
      <alignment horizontal="center" wrapText="1"/>
    </xf>
    <xf numFmtId="170" fontId="9" fillId="0" borderId="0" xfId="0" applyFont="1" applyFill="1" applyBorder="1" applyAlignment="1" applyProtection="1">
      <alignment wrapText="1"/>
    </xf>
    <xf numFmtId="170" fontId="9" fillId="0" borderId="80" xfId="0" applyFont="1" applyFill="1" applyBorder="1" applyAlignment="1" applyProtection="1">
      <alignment wrapText="1"/>
    </xf>
    <xf numFmtId="170" fontId="0" fillId="0" borderId="0" xfId="0" applyFill="1" applyAlignment="1" applyProtection="1">
      <alignment wrapText="1"/>
    </xf>
    <xf numFmtId="170" fontId="0" fillId="0" borderId="21" xfId="0" applyBorder="1" applyProtection="1"/>
    <xf numFmtId="3" fontId="42" fillId="22" borderId="0" xfId="0" applyNumberFormat="1" applyFont="1" applyFill="1" applyBorder="1" applyAlignment="1" applyProtection="1">
      <alignment vertical="top" wrapText="1"/>
    </xf>
    <xf numFmtId="3" fontId="42" fillId="22" borderId="80" xfId="0" applyNumberFormat="1" applyFont="1" applyFill="1" applyBorder="1" applyAlignment="1" applyProtection="1">
      <alignment vertical="top" wrapText="1"/>
    </xf>
    <xf numFmtId="3" fontId="0" fillId="16" borderId="0" xfId="0" applyNumberFormat="1" applyFill="1" applyBorder="1" applyAlignment="1" applyProtection="1">
      <alignment horizontal="center" wrapText="1"/>
    </xf>
    <xf numFmtId="3" fontId="0" fillId="16" borderId="80" xfId="0" applyNumberFormat="1" applyFill="1" applyBorder="1" applyAlignment="1" applyProtection="1">
      <alignment horizontal="center" wrapText="1"/>
    </xf>
    <xf numFmtId="170" fontId="9" fillId="0" borderId="103" xfId="0" applyFont="1" applyFill="1" applyBorder="1" applyProtection="1"/>
    <xf numFmtId="3" fontId="0" fillId="16" borderId="61" xfId="0" applyNumberFormat="1" applyFill="1" applyBorder="1" applyAlignment="1" applyProtection="1">
      <alignment horizontal="center" wrapText="1"/>
    </xf>
    <xf numFmtId="3" fontId="0" fillId="16" borderId="18" xfId="0" applyNumberFormat="1" applyFill="1" applyBorder="1" applyAlignment="1" applyProtection="1">
      <alignment horizontal="center" wrapText="1"/>
    </xf>
    <xf numFmtId="170" fontId="42" fillId="22" borderId="52" xfId="0" applyFont="1" applyFill="1" applyBorder="1" applyAlignment="1" applyProtection="1">
      <alignment vertical="top" wrapText="1"/>
      <protection locked="0"/>
    </xf>
    <xf numFmtId="3" fontId="42" fillId="22" borderId="52" xfId="0" applyNumberFormat="1" applyFont="1" applyFill="1" applyBorder="1" applyAlignment="1" applyProtection="1">
      <alignment vertical="top" wrapText="1"/>
      <protection locked="0"/>
    </xf>
    <xf numFmtId="170" fontId="42" fillId="22" borderId="101" xfId="0" applyFont="1" applyFill="1" applyBorder="1" applyAlignment="1" applyProtection="1">
      <alignment vertical="top" wrapText="1"/>
      <protection locked="0"/>
    </xf>
    <xf numFmtId="2" fontId="48" fillId="4" borderId="0" xfId="0" applyNumberFormat="1" applyFont="1" applyFill="1" applyBorder="1" applyAlignment="1" applyProtection="1">
      <alignment horizontal="center" wrapText="1"/>
      <protection locked="0"/>
    </xf>
    <xf numFmtId="2" fontId="48" fillId="4" borderId="0" xfId="0" applyNumberFormat="1" applyFont="1" applyFill="1" applyBorder="1" applyAlignment="1" applyProtection="1">
      <alignment horizontal="left" wrapText="1"/>
      <protection locked="0"/>
    </xf>
    <xf numFmtId="2" fontId="48" fillId="4" borderId="80" xfId="0" applyNumberFormat="1" applyFont="1" applyFill="1" applyBorder="1" applyAlignment="1" applyProtection="1">
      <alignment horizontal="center" wrapText="1"/>
      <protection locked="0"/>
    </xf>
    <xf numFmtId="3" fontId="48" fillId="4" borderId="0" xfId="0" applyNumberFormat="1" applyFont="1" applyFill="1" applyBorder="1" applyAlignment="1" applyProtection="1">
      <alignment horizontal="center" wrapText="1"/>
      <protection locked="0"/>
    </xf>
    <xf numFmtId="3" fontId="48" fillId="4" borderId="80" xfId="0" applyNumberFormat="1" applyFont="1" applyFill="1" applyBorder="1" applyAlignment="1" applyProtection="1">
      <alignment horizontal="center" wrapText="1"/>
      <protection locked="0"/>
    </xf>
    <xf numFmtId="2" fontId="19" fillId="0" borderId="0" xfId="5" applyNumberFormat="1" applyFont="1" applyFill="1" applyBorder="1" applyAlignment="1">
      <alignment wrapText="1"/>
    </xf>
    <xf numFmtId="2" fontId="9" fillId="23" borderId="19" xfId="0" applyNumberFormat="1" applyFont="1" applyFill="1" applyBorder="1"/>
    <xf numFmtId="2" fontId="9" fillId="23" borderId="86" xfId="0" applyNumberFormat="1" applyFont="1" applyFill="1" applyBorder="1"/>
    <xf numFmtId="2" fontId="9" fillId="23" borderId="16" xfId="0" applyNumberFormat="1" applyFont="1" applyFill="1" applyBorder="1"/>
    <xf numFmtId="2" fontId="0" fillId="0" borderId="0" xfId="0" applyNumberFormat="1"/>
    <xf numFmtId="0" fontId="26" fillId="0" borderId="114" xfId="0" applyNumberFormat="1" applyFont="1" applyFill="1" applyBorder="1" applyAlignment="1">
      <alignment horizontal="justify" vertical="top"/>
    </xf>
    <xf numFmtId="2" fontId="0" fillId="0" borderId="0" xfId="0" applyNumberFormat="1" applyBorder="1"/>
    <xf numFmtId="2" fontId="0" fillId="0" borderId="80" xfId="0" applyNumberFormat="1" applyBorder="1"/>
    <xf numFmtId="2" fontId="19" fillId="0" borderId="21" xfId="5" applyNumberFormat="1" applyFont="1" applyFill="1" applyBorder="1" applyAlignment="1">
      <alignment wrapText="1"/>
    </xf>
    <xf numFmtId="2" fontId="19" fillId="0" borderId="103" xfId="5" applyNumberFormat="1" applyFont="1" applyFill="1" applyBorder="1" applyAlignment="1">
      <alignment wrapText="1"/>
    </xf>
    <xf numFmtId="2" fontId="19" fillId="0" borderId="61" xfId="5" applyNumberFormat="1" applyFont="1" applyFill="1" applyBorder="1" applyAlignment="1">
      <alignment wrapText="1"/>
    </xf>
    <xf numFmtId="2" fontId="0" fillId="0" borderId="61" xfId="0" applyNumberFormat="1" applyBorder="1"/>
    <xf numFmtId="2" fontId="0" fillId="0" borderId="18" xfId="0" applyNumberFormat="1" applyBorder="1"/>
    <xf numFmtId="0" fontId="26" fillId="0" borderId="111" xfId="0" applyNumberFormat="1" applyFont="1" applyFill="1" applyBorder="1" applyAlignment="1">
      <alignment horizontal="left" vertical="top" wrapText="1"/>
    </xf>
    <xf numFmtId="2" fontId="26" fillId="0" borderId="102" xfId="0" applyNumberFormat="1" applyFont="1" applyFill="1" applyBorder="1" applyAlignment="1">
      <alignment horizontal="left" vertical="top" wrapText="1"/>
    </xf>
    <xf numFmtId="2" fontId="0" fillId="0" borderId="52" xfId="0" applyNumberFormat="1" applyBorder="1"/>
    <xf numFmtId="2" fontId="0" fillId="0" borderId="101" xfId="0" applyNumberFormat="1" applyBorder="1"/>
    <xf numFmtId="2" fontId="26" fillId="0" borderId="21" xfId="0" applyNumberFormat="1" applyFont="1" applyFill="1" applyBorder="1" applyAlignment="1">
      <alignment horizontal="left" vertical="top" wrapText="1"/>
    </xf>
    <xf numFmtId="2" fontId="26" fillId="0" borderId="0" xfId="0" applyNumberFormat="1" applyFont="1" applyFill="1" applyBorder="1" applyAlignment="1">
      <alignment horizontal="left" vertical="top" wrapText="1"/>
    </xf>
    <xf numFmtId="2" fontId="26" fillId="0" borderId="52" xfId="0" applyNumberFormat="1" applyFont="1" applyFill="1" applyBorder="1" applyAlignment="1">
      <alignment horizontal="left" vertical="top"/>
    </xf>
    <xf numFmtId="0" fontId="0" fillId="0" borderId="111" xfId="0" applyNumberFormat="1" applyFont="1" applyBorder="1" applyAlignment="1">
      <alignment vertical="top" wrapText="1"/>
    </xf>
    <xf numFmtId="0" fontId="26" fillId="0" borderId="111" xfId="0" applyNumberFormat="1" applyFont="1" applyFill="1" applyBorder="1" applyAlignment="1">
      <alignment vertical="top" wrapText="1"/>
    </xf>
    <xf numFmtId="174" fontId="19" fillId="0" borderId="0" xfId="5" applyNumberFormat="1" applyFont="1" applyFill="1" applyBorder="1" applyAlignment="1">
      <alignment horizontal="right" wrapText="1"/>
    </xf>
    <xf numFmtId="174" fontId="0" fillId="0" borderId="0" xfId="0" applyNumberFormat="1" applyBorder="1"/>
    <xf numFmtId="174" fontId="0" fillId="0" borderId="80" xfId="0" applyNumberFormat="1" applyBorder="1"/>
    <xf numFmtId="174" fontId="19" fillId="0" borderId="61" xfId="5" applyNumberFormat="1" applyFont="1" applyFill="1" applyBorder="1" applyAlignment="1">
      <alignment horizontal="right" wrapText="1"/>
    </xf>
    <xf numFmtId="174" fontId="0" fillId="0" borderId="61" xfId="0" applyNumberFormat="1" applyBorder="1"/>
    <xf numFmtId="174" fontId="0" fillId="0" borderId="18" xfId="0" applyNumberFormat="1" applyBorder="1"/>
    <xf numFmtId="2" fontId="0" fillId="0" borderId="21" xfId="0" applyNumberFormat="1" applyBorder="1"/>
    <xf numFmtId="2" fontId="0" fillId="0" borderId="103" xfId="0" applyNumberFormat="1" applyBorder="1"/>
    <xf numFmtId="176" fontId="0" fillId="0" borderId="80" xfId="0" applyNumberFormat="1" applyBorder="1"/>
    <xf numFmtId="174" fontId="103" fillId="0" borderId="0" xfId="5" applyNumberFormat="1" applyFont="1" applyFill="1" applyBorder="1" applyAlignment="1">
      <alignment horizontal="right" wrapText="1"/>
    </xf>
    <xf numFmtId="174" fontId="104" fillId="0" borderId="0" xfId="0" applyNumberFormat="1" applyFont="1" applyBorder="1"/>
    <xf numFmtId="2" fontId="104" fillId="0" borderId="61" xfId="0" applyNumberFormat="1" applyFont="1" applyBorder="1"/>
    <xf numFmtId="0" fontId="104" fillId="0" borderId="111" xfId="0" applyNumberFormat="1" applyFont="1" applyFill="1" applyBorder="1" applyAlignment="1">
      <alignment horizontal="right" vertical="top" wrapText="1"/>
    </xf>
    <xf numFmtId="0" fontId="104" fillId="0" borderId="111" xfId="0" applyNumberFormat="1" applyFont="1" applyBorder="1" applyAlignment="1">
      <alignment horizontal="right" vertical="top" wrapText="1"/>
    </xf>
    <xf numFmtId="0" fontId="0" fillId="0" borderId="115" xfId="0" applyNumberFormat="1" applyFont="1" applyBorder="1" applyAlignment="1">
      <alignment horizontal="right" vertical="top" wrapText="1"/>
    </xf>
    <xf numFmtId="3" fontId="0" fillId="0" borderId="0" xfId="0" applyNumberFormat="1" applyAlignment="1">
      <alignment horizontal="left" vertical="top" indent="3"/>
    </xf>
    <xf numFmtId="3" fontId="9" fillId="0" borderId="0" xfId="0" applyNumberFormat="1" applyFont="1" applyAlignment="1">
      <alignment horizontal="left" indent="3"/>
    </xf>
    <xf numFmtId="168" fontId="9" fillId="13" borderId="15" xfId="0" applyNumberFormat="1" applyFont="1" applyFill="1" applyBorder="1"/>
    <xf numFmtId="168" fontId="0" fillId="13" borderId="15" xfId="0" applyNumberFormat="1" applyFill="1" applyBorder="1"/>
    <xf numFmtId="170" fontId="74" fillId="25" borderId="0" xfId="148" applyFill="1" applyAlignment="1" applyProtection="1">
      <alignment vertical="center"/>
    </xf>
    <xf numFmtId="1" fontId="63" fillId="0" borderId="158" xfId="0" applyNumberFormat="1" applyFont="1" applyFill="1" applyBorder="1" applyAlignment="1" applyProtection="1">
      <alignment horizontal="center" vertical="center"/>
      <protection locked="0"/>
    </xf>
    <xf numFmtId="1" fontId="63" fillId="0" borderId="106" xfId="0" applyNumberFormat="1" applyFont="1" applyFill="1" applyBorder="1" applyAlignment="1" applyProtection="1">
      <alignment horizontal="center" vertical="center"/>
      <protection locked="0"/>
    </xf>
    <xf numFmtId="1" fontId="60" fillId="12" borderId="19" xfId="0" applyNumberFormat="1" applyFont="1" applyFill="1" applyBorder="1" applyAlignment="1">
      <alignment vertical="center"/>
    </xf>
    <xf numFmtId="1" fontId="63" fillId="18" borderId="107" xfId="0" applyNumberFormat="1" applyFont="1" applyFill="1" applyBorder="1" applyAlignment="1">
      <alignment horizontal="center" vertical="center"/>
    </xf>
    <xf numFmtId="1" fontId="63" fillId="0" borderId="4" xfId="0" applyNumberFormat="1" applyFont="1" applyFill="1" applyBorder="1" applyAlignment="1" applyProtection="1">
      <alignment horizontal="center" vertical="center"/>
      <protection locked="0"/>
    </xf>
    <xf numFmtId="1" fontId="63" fillId="0" borderId="5" xfId="0" applyNumberFormat="1" applyFont="1" applyFill="1" applyBorder="1" applyAlignment="1" applyProtection="1">
      <alignment horizontal="center" vertical="center"/>
      <protection locked="0"/>
    </xf>
    <xf numFmtId="1" fontId="60" fillId="12" borderId="103" xfId="0" applyNumberFormat="1" applyFont="1" applyFill="1" applyBorder="1" applyAlignment="1">
      <alignment vertical="center"/>
    </xf>
    <xf numFmtId="1" fontId="55" fillId="12" borderId="108" xfId="0" applyNumberFormat="1" applyFont="1" applyFill="1" applyBorder="1" applyAlignment="1">
      <alignment vertical="center"/>
    </xf>
    <xf numFmtId="1" fontId="60" fillId="19" borderId="109" xfId="0" applyNumberFormat="1" applyFont="1" applyFill="1" applyBorder="1" applyAlignment="1" applyProtection="1">
      <alignment horizontal="center" vertical="center"/>
      <protection locked="0"/>
    </xf>
    <xf numFmtId="1" fontId="55" fillId="0" borderId="0" xfId="0" applyNumberFormat="1" applyFont="1" applyFill="1" applyBorder="1" applyAlignment="1"/>
    <xf numFmtId="1" fontId="60"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xf>
    <xf numFmtId="1" fontId="63" fillId="0" borderId="57" xfId="0" applyNumberFormat="1" applyFont="1" applyFill="1" applyBorder="1" applyAlignment="1" applyProtection="1">
      <alignment horizontal="center" vertical="center"/>
      <protection locked="0"/>
    </xf>
    <xf numFmtId="1" fontId="60" fillId="0" borderId="0" xfId="0" applyNumberFormat="1" applyFont="1" applyFill="1" applyBorder="1" applyAlignment="1">
      <alignment horizontal="center"/>
    </xf>
    <xf numFmtId="1" fontId="102" fillId="0" borderId="0" xfId="0" applyNumberFormat="1" applyFont="1" applyFill="1" applyBorder="1" applyAlignment="1">
      <alignment horizontal="center" vertical="center"/>
    </xf>
    <xf numFmtId="1" fontId="60" fillId="0" borderId="25" xfId="0" applyNumberFormat="1" applyFont="1" applyBorder="1" applyAlignment="1">
      <alignment horizontal="justify" vertical="center" wrapText="1"/>
    </xf>
    <xf numFmtId="1" fontId="63" fillId="0" borderId="57" xfId="0" quotePrefix="1" applyNumberFormat="1" applyFont="1" applyFill="1" applyBorder="1" applyAlignment="1" applyProtection="1">
      <alignment horizontal="center" vertical="center"/>
      <protection locked="0"/>
    </xf>
    <xf numFmtId="1" fontId="64" fillId="0" borderId="0" xfId="0" applyNumberFormat="1" applyFont="1" applyBorder="1" applyAlignment="1">
      <alignment horizontal="center"/>
    </xf>
    <xf numFmtId="1" fontId="65" fillId="0" borderId="0" xfId="0" applyNumberFormat="1" applyFont="1" applyBorder="1" applyAlignment="1">
      <alignment horizontal="center"/>
    </xf>
    <xf numFmtId="1" fontId="12" fillId="0" borderId="0" xfId="0" applyNumberFormat="1" applyFont="1" applyBorder="1" applyAlignment="1">
      <alignment horizontal="center"/>
    </xf>
    <xf numFmtId="1" fontId="31" fillId="0" borderId="0" xfId="0" applyNumberFormat="1" applyFont="1" applyBorder="1" applyAlignment="1">
      <alignment horizontal="center"/>
    </xf>
    <xf numFmtId="1" fontId="55" fillId="0" borderId="0" xfId="0" applyNumberFormat="1" applyFont="1" applyBorder="1" applyAlignment="1">
      <alignment horizontal="justify"/>
    </xf>
    <xf numFmtId="1" fontId="60" fillId="0" borderId="0" xfId="0" applyNumberFormat="1" applyFont="1" applyAlignment="1">
      <alignment horizontal="left"/>
    </xf>
    <xf numFmtId="1" fontId="60" fillId="0" borderId="0" xfId="0" applyNumberFormat="1" applyFont="1" applyAlignment="1">
      <alignment horizontal="center"/>
    </xf>
    <xf numFmtId="1" fontId="60" fillId="12" borderId="39" xfId="0" applyNumberFormat="1" applyFont="1" applyFill="1" applyBorder="1" applyAlignment="1">
      <alignment horizontal="center" vertical="center" wrapText="1"/>
    </xf>
    <xf numFmtId="1" fontId="60" fillId="12" borderId="58" xfId="0" applyNumberFormat="1" applyFont="1" applyFill="1" applyBorder="1" applyAlignment="1">
      <alignment horizontal="center" vertical="center" wrapText="1"/>
    </xf>
    <xf numFmtId="1" fontId="60" fillId="18" borderId="59" xfId="0" applyNumberFormat="1" applyFont="1" applyFill="1" applyBorder="1" applyAlignment="1">
      <alignment horizontal="center" vertical="center"/>
    </xf>
    <xf numFmtId="1" fontId="60" fillId="18" borderId="60" xfId="0" applyNumberFormat="1" applyFont="1" applyFill="1" applyBorder="1" applyAlignment="1">
      <alignment horizontal="center" vertical="center"/>
    </xf>
    <xf numFmtId="1" fontId="60" fillId="18" borderId="9" xfId="0" applyNumberFormat="1" applyFont="1" applyFill="1" applyBorder="1" applyAlignment="1">
      <alignment horizontal="center" vertical="center"/>
    </xf>
    <xf numFmtId="1" fontId="60" fillId="18" borderId="159" xfId="0" applyNumberFormat="1" applyFont="1" applyFill="1" applyBorder="1" applyAlignment="1">
      <alignment horizontal="center" vertical="center"/>
    </xf>
    <xf numFmtId="1" fontId="60" fillId="18" borderId="50" xfId="0" applyNumberFormat="1" applyFont="1" applyFill="1" applyBorder="1" applyAlignment="1">
      <alignment horizontal="center" vertical="center"/>
    </xf>
    <xf numFmtId="1" fontId="63" fillId="0" borderId="47" xfId="0" applyNumberFormat="1" applyFont="1" applyFill="1" applyBorder="1" applyAlignment="1" applyProtection="1">
      <alignment horizontal="center" vertical="center"/>
      <protection locked="0"/>
    </xf>
    <xf numFmtId="1" fontId="63" fillId="0" borderId="99" xfId="0" applyNumberFormat="1" applyFont="1" applyFill="1" applyBorder="1" applyAlignment="1" applyProtection="1">
      <alignment horizontal="center" vertical="center"/>
      <protection locked="0"/>
    </xf>
    <xf numFmtId="1" fontId="63" fillId="19" borderId="160" xfId="0" applyNumberFormat="1" applyFont="1" applyFill="1" applyBorder="1" applyAlignment="1" applyProtection="1">
      <alignment horizontal="center" vertical="center"/>
      <protection locked="0"/>
    </xf>
    <xf numFmtId="1" fontId="63" fillId="19" borderId="86" xfId="0" applyNumberFormat="1" applyFont="1" applyFill="1" applyBorder="1" applyAlignment="1" applyProtection="1">
      <alignment horizontal="center" vertical="center"/>
      <protection locked="0"/>
    </xf>
    <xf numFmtId="1" fontId="63" fillId="19" borderId="161" xfId="0" applyNumberFormat="1" applyFont="1" applyFill="1" applyBorder="1" applyAlignment="1" applyProtection="1">
      <alignment horizontal="center" vertical="center"/>
      <protection locked="0"/>
    </xf>
    <xf numFmtId="1" fontId="60" fillId="18" borderId="62" xfId="0" applyNumberFormat="1" applyFont="1" applyFill="1" applyBorder="1" applyAlignment="1">
      <alignment horizontal="center" vertical="center"/>
    </xf>
    <xf numFmtId="1" fontId="61" fillId="18" borderId="53" xfId="0" applyNumberFormat="1" applyFont="1" applyFill="1" applyBorder="1" applyAlignment="1">
      <alignment vertical="center"/>
    </xf>
    <xf numFmtId="1" fontId="60" fillId="18" borderId="64" xfId="0" applyNumberFormat="1" applyFont="1" applyFill="1" applyBorder="1" applyAlignment="1">
      <alignment horizontal="center" vertical="center"/>
    </xf>
    <xf numFmtId="1" fontId="60" fillId="20" borderId="47" xfId="0" applyNumberFormat="1" applyFont="1" applyFill="1" applyBorder="1" applyAlignment="1" applyProtection="1">
      <alignment horizontal="center" vertical="center"/>
      <protection locked="0"/>
    </xf>
    <xf numFmtId="1" fontId="60" fillId="0" borderId="47" xfId="0" applyNumberFormat="1" applyFont="1" applyFill="1" applyBorder="1" applyAlignment="1" applyProtection="1">
      <alignment horizontal="center" vertical="center"/>
      <protection locked="0"/>
    </xf>
    <xf numFmtId="1" fontId="60" fillId="19" borderId="73" xfId="0" applyNumberFormat="1" applyFont="1" applyFill="1" applyBorder="1" applyAlignment="1" applyProtection="1">
      <alignment horizontal="center" vertical="center"/>
      <protection locked="0"/>
    </xf>
    <xf numFmtId="1" fontId="31" fillId="0" borderId="0" xfId="0" applyNumberFormat="1" applyFont="1" applyBorder="1" applyAlignment="1">
      <alignment horizontal="center" vertical="center"/>
    </xf>
    <xf numFmtId="1" fontId="12" fillId="0" borderId="0" xfId="0" applyNumberFormat="1" applyFont="1" applyBorder="1" applyAlignment="1">
      <alignment horizontal="center" vertical="center"/>
    </xf>
    <xf numFmtId="1" fontId="55" fillId="0" borderId="25" xfId="0" applyNumberFormat="1" applyFont="1" applyBorder="1" applyAlignment="1">
      <alignment horizontal="justify"/>
    </xf>
    <xf numFmtId="1" fontId="69" fillId="0" borderId="0" xfId="0" applyNumberFormat="1" applyFont="1" applyBorder="1" applyAlignment="1"/>
    <xf numFmtId="1" fontId="55" fillId="0" borderId="0" xfId="0" applyNumberFormat="1" applyFont="1" applyBorder="1" applyAlignment="1"/>
    <xf numFmtId="1" fontId="69" fillId="0" borderId="0" xfId="0" applyNumberFormat="1" applyFont="1" applyBorder="1" applyAlignment="1">
      <alignment horizontal="center"/>
    </xf>
    <xf numFmtId="1" fontId="12" fillId="0" borderId="0" xfId="0" applyNumberFormat="1" applyFont="1" applyFill="1" applyBorder="1" applyAlignment="1">
      <alignment horizontal="center"/>
    </xf>
    <xf numFmtId="1" fontId="59" fillId="0" borderId="0" xfId="0" applyNumberFormat="1" applyFont="1" applyFill="1" applyBorder="1" applyAlignment="1">
      <alignment horizontal="center" vertical="center" wrapText="1"/>
    </xf>
    <xf numFmtId="1" fontId="60" fillId="12" borderId="8" xfId="0" applyNumberFormat="1" applyFont="1" applyFill="1" applyBorder="1" applyAlignment="1">
      <alignment horizontal="center" vertical="center" wrapText="1"/>
    </xf>
    <xf numFmtId="1" fontId="70" fillId="0" borderId="77" xfId="0" applyNumberFormat="1" applyFont="1" applyFill="1" applyBorder="1" applyAlignment="1">
      <alignment horizontal="center"/>
    </xf>
    <xf numFmtId="1" fontId="60" fillId="0" borderId="47" xfId="0" applyNumberFormat="1" applyFont="1" applyFill="1" applyBorder="1" applyAlignment="1">
      <alignment horizontal="center"/>
    </xf>
    <xf numFmtId="1" fontId="70" fillId="0" borderId="47" xfId="0" applyNumberFormat="1" applyFont="1" applyFill="1" applyBorder="1" applyAlignment="1">
      <alignment horizontal="center"/>
    </xf>
    <xf numFmtId="1" fontId="60" fillId="0" borderId="47" xfId="0" applyNumberFormat="1" applyFont="1" applyFill="1" applyBorder="1" applyAlignment="1" applyProtection="1">
      <alignment horizontal="center" wrapText="1"/>
      <protection locked="0"/>
    </xf>
    <xf numFmtId="1" fontId="60" fillId="12" borderId="35" xfId="0" applyNumberFormat="1" applyFont="1" applyFill="1" applyBorder="1" applyAlignment="1">
      <alignment horizontal="center"/>
    </xf>
    <xf numFmtId="1" fontId="60" fillId="19" borderId="25" xfId="0" applyNumberFormat="1" applyFont="1" applyFill="1" applyBorder="1" applyAlignment="1" applyProtection="1">
      <alignment horizontal="center" vertical="center"/>
      <protection locked="0"/>
    </xf>
    <xf numFmtId="1" fontId="60" fillId="19" borderId="55" xfId="0" applyNumberFormat="1" applyFont="1" applyFill="1" applyBorder="1" applyAlignment="1" applyProtection="1">
      <alignment horizontal="center" vertical="center"/>
      <protection locked="0"/>
    </xf>
    <xf numFmtId="1" fontId="60" fillId="19" borderId="30" xfId="0" applyNumberFormat="1" applyFont="1" applyFill="1" applyBorder="1" applyAlignment="1" applyProtection="1">
      <alignment horizontal="center" vertical="center"/>
      <protection locked="0"/>
    </xf>
    <xf numFmtId="1" fontId="60" fillId="0" borderId="56" xfId="0" applyNumberFormat="1" applyFont="1" applyBorder="1" applyAlignment="1">
      <alignment horizontal="justify"/>
    </xf>
    <xf numFmtId="1" fontId="60" fillId="0" borderId="0" xfId="0" applyNumberFormat="1" applyFont="1" applyBorder="1" applyAlignment="1">
      <alignment horizontal="center"/>
    </xf>
    <xf numFmtId="1" fontId="12" fillId="0" borderId="56" xfId="0" applyNumberFormat="1" applyFont="1" applyBorder="1" applyAlignment="1">
      <alignment horizontal="center"/>
    </xf>
    <xf numFmtId="1" fontId="12" fillId="0" borderId="56" xfId="0" applyNumberFormat="1" applyFont="1" applyFill="1" applyBorder="1" applyAlignment="1">
      <alignment horizontal="center"/>
    </xf>
    <xf numFmtId="1" fontId="55" fillId="0" borderId="0" xfId="0" applyNumberFormat="1" applyFont="1" applyFill="1" applyBorder="1" applyAlignment="1">
      <alignment horizontal="left"/>
    </xf>
    <xf numFmtId="1" fontId="55" fillId="0" borderId="0" xfId="0" applyNumberFormat="1" applyFont="1" applyFill="1" applyBorder="1" applyAlignment="1">
      <alignment horizontal="center"/>
    </xf>
    <xf numFmtId="1" fontId="60" fillId="12" borderId="87" xfId="0" applyNumberFormat="1" applyFont="1" applyFill="1" applyBorder="1" applyAlignment="1">
      <alignment horizontal="center" vertical="center" wrapText="1"/>
    </xf>
    <xf numFmtId="1" fontId="70" fillId="0" borderId="77" xfId="0" applyNumberFormat="1" applyFont="1" applyBorder="1" applyAlignment="1">
      <alignment horizontal="center" vertical="center"/>
    </xf>
    <xf numFmtId="1" fontId="60" fillId="0" borderId="77" xfId="0" applyNumberFormat="1" applyFont="1" applyBorder="1" applyAlignment="1" applyProtection="1">
      <alignment horizontal="center" vertical="center"/>
      <protection locked="0"/>
    </xf>
    <xf numFmtId="1" fontId="60" fillId="0" borderId="47" xfId="0" applyNumberFormat="1" applyFont="1" applyBorder="1" applyAlignment="1">
      <alignment horizontal="center" vertical="center"/>
    </xf>
    <xf numFmtId="1" fontId="60" fillId="0" borderId="35" xfId="0" applyNumberFormat="1" applyFont="1" applyFill="1" applyBorder="1" applyAlignment="1">
      <alignment horizontal="center" vertical="center"/>
    </xf>
    <xf numFmtId="1" fontId="73" fillId="0" borderId="56" xfId="0" applyNumberFormat="1" applyFont="1" applyBorder="1" applyAlignment="1">
      <alignment horizontal="justify"/>
    </xf>
    <xf numFmtId="1" fontId="73" fillId="0" borderId="56" xfId="0" applyNumberFormat="1" applyFont="1" applyBorder="1" applyAlignment="1">
      <alignment horizontal="center"/>
    </xf>
    <xf numFmtId="1" fontId="60" fillId="0" borderId="56" xfId="0" applyNumberFormat="1" applyFont="1" applyBorder="1" applyAlignment="1">
      <alignment horizontal="center"/>
    </xf>
    <xf numFmtId="1" fontId="31" fillId="0" borderId="56" xfId="0" applyNumberFormat="1" applyFont="1" applyBorder="1" applyAlignment="1">
      <alignment horizontal="center"/>
    </xf>
    <xf numFmtId="0" fontId="0" fillId="0" borderId="0" xfId="0" applyNumberFormat="1" applyFill="1" applyBorder="1"/>
    <xf numFmtId="1" fontId="63" fillId="0" borderId="54" xfId="0" applyNumberFormat="1" applyFont="1" applyFill="1" applyBorder="1" applyAlignment="1" applyProtection="1">
      <alignment horizontal="center" vertical="center"/>
      <protection locked="0"/>
    </xf>
    <xf numFmtId="1" fontId="63" fillId="0" borderId="100" xfId="0" applyNumberFormat="1" applyFont="1" applyFill="1" applyBorder="1" applyAlignment="1" applyProtection="1">
      <alignment horizontal="center" vertical="center"/>
      <protection locked="0"/>
    </xf>
    <xf numFmtId="1" fontId="63" fillId="0" borderId="39" xfId="0" applyNumberFormat="1" applyFont="1" applyFill="1" applyBorder="1" applyAlignment="1" applyProtection="1">
      <alignment horizontal="center" vertical="center"/>
      <protection locked="0"/>
    </xf>
    <xf numFmtId="1" fontId="63" fillId="0" borderId="11" xfId="0" applyNumberFormat="1" applyFont="1" applyFill="1" applyBorder="1" applyAlignment="1" applyProtection="1">
      <alignment horizontal="center" vertical="center"/>
      <protection locked="0"/>
    </xf>
    <xf numFmtId="170" fontId="74" fillId="0" borderId="0" xfId="148" applyAlignment="1" applyProtection="1">
      <alignment vertical="center"/>
    </xf>
    <xf numFmtId="177" fontId="0" fillId="0" borderId="0" xfId="0" applyNumberFormat="1"/>
    <xf numFmtId="4" fontId="26" fillId="0" borderId="0" xfId="0" applyNumberFormat="1" applyFont="1" applyBorder="1"/>
    <xf numFmtId="2" fontId="63" fillId="19" borderId="55" xfId="0" applyNumberFormat="1" applyFont="1" applyFill="1" applyBorder="1" applyAlignment="1" applyProtection="1">
      <alignment horizontal="center" vertical="center"/>
      <protection locked="0"/>
    </xf>
    <xf numFmtId="2" fontId="63" fillId="0" borderId="30" xfId="0" applyNumberFormat="1" applyFont="1" applyFill="1" applyBorder="1" applyAlignment="1" applyProtection="1">
      <alignment horizontal="center" vertical="center"/>
      <protection locked="0"/>
    </xf>
    <xf numFmtId="2" fontId="56" fillId="0" borderId="29" xfId="0" applyNumberFormat="1" applyFont="1" applyFill="1" applyBorder="1" applyAlignment="1">
      <alignment horizontal="center" vertical="center"/>
    </xf>
    <xf numFmtId="2" fontId="102" fillId="0" borderId="0" xfId="0" applyNumberFormat="1" applyFont="1" applyFill="1" applyBorder="1" applyAlignment="1">
      <alignment horizontal="center" vertical="center"/>
    </xf>
    <xf numFmtId="2" fontId="56" fillId="0" borderId="0" xfId="0" applyNumberFormat="1" applyFont="1" applyFill="1" applyBorder="1" applyAlignment="1">
      <alignment horizontal="center" vertical="center"/>
    </xf>
    <xf numFmtId="4" fontId="0" fillId="14" borderId="0" xfId="0" applyNumberFormat="1" applyFill="1"/>
    <xf numFmtId="3" fontId="90" fillId="0" borderId="0" xfId="0" applyNumberFormat="1" applyFont="1" applyBorder="1" applyAlignment="1">
      <alignment horizontal="center" vertical="top"/>
    </xf>
    <xf numFmtId="3" fontId="0" fillId="0" borderId="27" xfId="0" applyNumberFormat="1" applyBorder="1" applyAlignment="1">
      <alignment horizontal="center"/>
    </xf>
    <xf numFmtId="3" fontId="0" fillId="0" borderId="14" xfId="0" applyNumberFormat="1" applyBorder="1" applyAlignment="1">
      <alignment horizontal="center"/>
    </xf>
    <xf numFmtId="3" fontId="0" fillId="0" borderId="15" xfId="0" applyNumberFormat="1" applyBorder="1" applyAlignment="1">
      <alignment horizontal="center"/>
    </xf>
    <xf numFmtId="3" fontId="19" fillId="0" borderId="152" xfId="5" applyNumberFormat="1" applyFont="1" applyFill="1" applyBorder="1" applyAlignment="1">
      <alignment wrapText="1"/>
    </xf>
    <xf numFmtId="168" fontId="0" fillId="3" borderId="0" xfId="0" applyNumberFormat="1" applyFill="1" applyBorder="1"/>
    <xf numFmtId="168" fontId="0" fillId="13" borderId="12" xfId="0" applyNumberFormat="1" applyFill="1" applyBorder="1"/>
    <xf numFmtId="3" fontId="0" fillId="13" borderId="12" xfId="0" applyNumberFormat="1" applyFill="1" applyBorder="1"/>
    <xf numFmtId="14" fontId="48" fillId="4" borderId="0" xfId="0" applyNumberFormat="1" applyFont="1" applyFill="1" applyBorder="1" applyAlignment="1" applyProtection="1">
      <alignment horizontal="center" wrapText="1"/>
      <protection locked="0"/>
    </xf>
    <xf numFmtId="0" fontId="48" fillId="4" borderId="0" xfId="0" applyNumberFormat="1" applyFont="1" applyFill="1" applyBorder="1" applyAlignment="1" applyProtection="1">
      <alignment horizontal="center" wrapText="1"/>
      <protection locked="0"/>
    </xf>
    <xf numFmtId="176" fontId="0" fillId="0" borderId="0" xfId="0" applyNumberFormat="1"/>
    <xf numFmtId="0" fontId="78" fillId="12" borderId="86" xfId="0" applyNumberFormat="1" applyFont="1" applyFill="1" applyBorder="1" applyAlignment="1">
      <alignment horizontal="left" vertical="center" wrapText="1"/>
    </xf>
    <xf numFmtId="170" fontId="105" fillId="0" borderId="0" xfId="0" applyFont="1"/>
    <xf numFmtId="0" fontId="26" fillId="24" borderId="0" xfId="0" quotePrefix="1" applyNumberFormat="1" applyFont="1" applyFill="1" applyAlignment="1">
      <alignment horizontal="left"/>
    </xf>
    <xf numFmtId="3" fontId="55" fillId="12" borderId="52" xfId="0" applyNumberFormat="1" applyFont="1" applyFill="1" applyBorder="1" applyAlignment="1">
      <alignment horizontal="center" vertical="center" wrapText="1"/>
    </xf>
    <xf numFmtId="3" fontId="55" fillId="12" borderId="0" xfId="0" applyNumberFormat="1" applyFont="1" applyFill="1" applyBorder="1" applyAlignment="1">
      <alignment horizontal="center" vertical="center" wrapText="1"/>
    </xf>
    <xf numFmtId="3" fontId="55" fillId="12" borderId="165" xfId="0" applyNumberFormat="1" applyFont="1" applyFill="1" applyBorder="1" applyAlignment="1">
      <alignment horizontal="center" vertical="center" wrapText="1"/>
    </xf>
    <xf numFmtId="1" fontId="61" fillId="18" borderId="52" xfId="0" applyNumberFormat="1" applyFont="1" applyFill="1" applyBorder="1" applyAlignment="1">
      <alignment vertical="center"/>
    </xf>
    <xf numFmtId="1" fontId="55" fillId="12" borderId="70" xfId="0" applyNumberFormat="1" applyFont="1" applyFill="1" applyBorder="1" applyAlignment="1">
      <alignment vertical="center"/>
    </xf>
    <xf numFmtId="1" fontId="60" fillId="0" borderId="30" xfId="0" applyNumberFormat="1" applyFont="1" applyBorder="1" applyAlignment="1">
      <alignment wrapText="1"/>
    </xf>
    <xf numFmtId="1" fontId="60" fillId="0" borderId="0" xfId="0" applyNumberFormat="1" applyFont="1" applyBorder="1" applyAlignment="1">
      <alignment horizontal="justify"/>
    </xf>
    <xf numFmtId="3" fontId="61" fillId="18" borderId="79" xfId="0" applyNumberFormat="1" applyFont="1" applyFill="1" applyBorder="1" applyAlignment="1"/>
    <xf numFmtId="1" fontId="63" fillId="0" borderId="91" xfId="0" applyNumberFormat="1" applyFont="1" applyFill="1" applyBorder="1" applyAlignment="1">
      <alignment vertical="center"/>
    </xf>
    <xf numFmtId="1" fontId="63" fillId="0" borderId="91" xfId="0" applyNumberFormat="1" applyFont="1" applyFill="1" applyBorder="1" applyAlignment="1">
      <alignment vertical="center" wrapText="1"/>
    </xf>
    <xf numFmtId="1" fontId="61" fillId="18" borderId="102" xfId="0" applyNumberFormat="1" applyFont="1" applyFill="1" applyBorder="1" applyAlignment="1">
      <alignment vertical="center"/>
    </xf>
    <xf numFmtId="1" fontId="63" fillId="19" borderId="74" xfId="0" applyNumberFormat="1" applyFont="1" applyFill="1" applyBorder="1" applyAlignment="1" applyProtection="1">
      <alignment horizontal="center" vertical="center"/>
      <protection locked="0"/>
    </xf>
    <xf numFmtId="3" fontId="61" fillId="18" borderId="45" xfId="0" applyNumberFormat="1" applyFont="1" applyFill="1" applyBorder="1" applyAlignment="1"/>
    <xf numFmtId="1" fontId="63" fillId="0" borderId="46" xfId="0" applyNumberFormat="1" applyFont="1" applyFill="1" applyBorder="1" applyAlignment="1">
      <alignment vertical="center"/>
    </xf>
    <xf numFmtId="1" fontId="63" fillId="0" borderId="46" xfId="0" applyNumberFormat="1" applyFont="1" applyFill="1" applyBorder="1" applyAlignment="1">
      <alignment vertical="center" wrapText="1"/>
    </xf>
    <xf numFmtId="1" fontId="60" fillId="12" borderId="166" xfId="0" applyNumberFormat="1" applyFont="1" applyFill="1" applyBorder="1" applyAlignment="1">
      <alignment vertical="center"/>
    </xf>
    <xf numFmtId="1" fontId="60" fillId="12" borderId="34" xfId="0" applyNumberFormat="1" applyFont="1" applyFill="1" applyBorder="1" applyAlignment="1">
      <alignment vertical="center"/>
    </xf>
    <xf numFmtId="1" fontId="63" fillId="0" borderId="54" xfId="0" applyNumberFormat="1" applyFont="1" applyFill="1" applyBorder="1" applyAlignment="1">
      <alignment vertical="center"/>
    </xf>
    <xf numFmtId="1" fontId="55" fillId="12" borderId="56" xfId="0" applyNumberFormat="1" applyFont="1" applyFill="1" applyBorder="1" applyAlignment="1">
      <alignment horizontal="center" vertical="center" wrapText="1"/>
    </xf>
    <xf numFmtId="1" fontId="55" fillId="12" borderId="0" xfId="0" applyNumberFormat="1" applyFont="1" applyFill="1" applyBorder="1" applyAlignment="1">
      <alignment horizontal="center" vertical="center" wrapText="1"/>
    </xf>
    <xf numFmtId="1" fontId="55" fillId="0" borderId="26" xfId="0" applyNumberFormat="1" applyFont="1" applyBorder="1" applyAlignment="1">
      <alignment horizontal="justify"/>
    </xf>
    <xf numFmtId="1" fontId="63" fillId="0" borderId="81" xfId="0" applyNumberFormat="1" applyFont="1" applyFill="1" applyBorder="1" applyAlignment="1"/>
    <xf numFmtId="1" fontId="60" fillId="12" borderId="19" xfId="0" applyNumberFormat="1" applyFont="1" applyFill="1" applyBorder="1" applyAlignment="1"/>
    <xf numFmtId="1" fontId="61" fillId="18" borderId="51" xfId="0" applyNumberFormat="1" applyFont="1" applyFill="1" applyBorder="1" applyAlignment="1">
      <alignment vertical="center"/>
    </xf>
    <xf numFmtId="1" fontId="63" fillId="0" borderId="65" xfId="0" applyNumberFormat="1" applyFont="1" applyFill="1" applyBorder="1" applyAlignment="1"/>
    <xf numFmtId="1" fontId="63" fillId="20" borderId="81" xfId="0" applyNumberFormat="1" applyFont="1" applyFill="1" applyBorder="1" applyAlignment="1">
      <alignment vertical="center"/>
    </xf>
    <xf numFmtId="1" fontId="63" fillId="0" borderId="81" xfId="0" applyNumberFormat="1" applyFont="1" applyFill="1" applyBorder="1" applyAlignment="1">
      <alignment vertical="center"/>
    </xf>
    <xf numFmtId="1" fontId="60" fillId="0" borderId="25" xfId="0" applyNumberFormat="1" applyFont="1" applyBorder="1" applyAlignment="1">
      <alignment wrapText="1"/>
    </xf>
    <xf numFmtId="1" fontId="63" fillId="0" borderId="168" xfId="0" applyNumberFormat="1" applyFont="1" applyFill="1" applyBorder="1" applyAlignment="1"/>
    <xf numFmtId="1" fontId="63" fillId="0" borderId="168" xfId="0" applyNumberFormat="1" applyFont="1" applyFill="1" applyBorder="1" applyAlignment="1">
      <alignment vertical="center" wrapText="1"/>
    </xf>
    <xf numFmtId="1" fontId="63" fillId="0" borderId="93" xfId="0" applyNumberFormat="1" applyFont="1" applyFill="1" applyBorder="1" applyAlignment="1">
      <alignment vertical="center"/>
    </xf>
    <xf numFmtId="1" fontId="61" fillId="18" borderId="155" xfId="0" applyNumberFormat="1" applyFont="1" applyFill="1" applyBorder="1" applyAlignment="1"/>
    <xf numFmtId="1" fontId="61" fillId="18" borderId="169" xfId="0" applyNumberFormat="1" applyFont="1" applyFill="1" applyBorder="1" applyAlignment="1"/>
    <xf numFmtId="1" fontId="61" fillId="18" borderId="101" xfId="0" applyNumberFormat="1" applyFont="1" applyFill="1" applyBorder="1" applyAlignment="1">
      <alignment vertical="center"/>
    </xf>
    <xf numFmtId="1" fontId="63" fillId="0" borderId="170" xfId="0" applyNumberFormat="1" applyFont="1" applyFill="1" applyBorder="1" applyAlignment="1"/>
    <xf numFmtId="1" fontId="60" fillId="12" borderId="16" xfId="0" applyNumberFormat="1" applyFont="1" applyFill="1" applyBorder="1" applyAlignment="1"/>
    <xf numFmtId="1" fontId="63" fillId="0" borderId="94" xfId="0" applyNumberFormat="1" applyFont="1" applyFill="1" applyBorder="1" applyAlignment="1"/>
    <xf numFmtId="1" fontId="67" fillId="0" borderId="48" xfId="0" applyNumberFormat="1" applyFont="1" applyFill="1" applyBorder="1" applyAlignment="1" applyProtection="1">
      <protection locked="0"/>
    </xf>
    <xf numFmtId="1" fontId="67" fillId="0" borderId="61" xfId="0" applyNumberFormat="1" applyFont="1" applyFill="1" applyBorder="1" applyAlignment="1" applyProtection="1">
      <protection locked="0"/>
    </xf>
    <xf numFmtId="1" fontId="63" fillId="20" borderId="46" xfId="0" applyNumberFormat="1" applyFont="1" applyFill="1" applyBorder="1" applyAlignment="1">
      <alignment vertical="center"/>
    </xf>
    <xf numFmtId="1" fontId="55" fillId="12" borderId="104" xfId="0" applyNumberFormat="1" applyFont="1" applyFill="1" applyBorder="1" applyAlignment="1"/>
    <xf numFmtId="1" fontId="55" fillId="12" borderId="105" xfId="0" applyNumberFormat="1" applyFont="1" applyFill="1" applyBorder="1" applyAlignment="1"/>
    <xf numFmtId="1" fontId="70" fillId="0" borderId="171" xfId="0" applyNumberFormat="1" applyFont="1" applyFill="1" applyBorder="1" applyAlignment="1">
      <alignment horizontal="center"/>
    </xf>
    <xf numFmtId="1" fontId="60" fillId="12" borderId="57" xfId="0" applyNumberFormat="1" applyFont="1" applyFill="1" applyBorder="1" applyAlignment="1">
      <alignment horizontal="center" vertical="center" wrapText="1"/>
    </xf>
    <xf numFmtId="1" fontId="12" fillId="21" borderId="35" xfId="0" applyNumberFormat="1" applyFont="1" applyFill="1" applyBorder="1" applyAlignment="1">
      <alignment horizontal="center" vertical="center"/>
    </xf>
    <xf numFmtId="1" fontId="60" fillId="0" borderId="44" xfId="0" applyNumberFormat="1" applyFont="1" applyFill="1" applyBorder="1" applyAlignment="1" applyProtection="1">
      <alignment horizontal="center" vertical="center"/>
      <protection locked="0"/>
    </xf>
    <xf numFmtId="1" fontId="60" fillId="0" borderId="46" xfId="0" applyNumberFormat="1" applyFont="1" applyFill="1" applyBorder="1" applyAlignment="1" applyProtection="1">
      <alignment horizontal="center" vertical="center"/>
      <protection locked="0"/>
    </xf>
    <xf numFmtId="1" fontId="60" fillId="0" borderId="96" xfId="0" applyNumberFormat="1" applyFont="1" applyFill="1" applyBorder="1" applyAlignment="1" applyProtection="1">
      <alignment horizontal="center" vertical="center"/>
      <protection locked="0"/>
    </xf>
    <xf numFmtId="1" fontId="63" fillId="0" borderId="33" xfId="0" applyNumberFormat="1" applyFont="1" applyFill="1" applyBorder="1" applyAlignment="1" applyProtection="1">
      <alignment horizontal="center" vertical="center"/>
      <protection locked="0"/>
    </xf>
    <xf numFmtId="1" fontId="63" fillId="0" borderId="46" xfId="0" applyNumberFormat="1" applyFont="1" applyFill="1" applyBorder="1" applyAlignment="1" applyProtection="1">
      <alignment horizontal="center" vertical="center"/>
      <protection locked="0"/>
    </xf>
    <xf numFmtId="1" fontId="60" fillId="0" borderId="172" xfId="0" applyNumberFormat="1" applyFont="1" applyFill="1" applyBorder="1" applyAlignment="1" applyProtection="1">
      <alignment horizontal="center" vertical="center"/>
      <protection locked="0"/>
    </xf>
    <xf numFmtId="1" fontId="60" fillId="0" borderId="54" xfId="0" applyNumberFormat="1" applyFont="1" applyFill="1" applyBorder="1" applyAlignment="1" applyProtection="1">
      <alignment horizontal="center" vertical="center"/>
      <protection locked="0"/>
    </xf>
    <xf numFmtId="1" fontId="60" fillId="0" borderId="84" xfId="0" applyNumberFormat="1" applyFont="1" applyFill="1" applyBorder="1" applyAlignment="1" applyProtection="1">
      <alignment horizontal="center" vertical="center"/>
      <protection locked="0"/>
    </xf>
    <xf numFmtId="1" fontId="60" fillId="0" borderId="100" xfId="0" applyNumberFormat="1" applyFont="1" applyFill="1" applyBorder="1" applyAlignment="1" applyProtection="1">
      <alignment horizontal="center" vertical="center"/>
      <protection locked="0"/>
    </xf>
    <xf numFmtId="1" fontId="60" fillId="0" borderId="40" xfId="0" applyNumberFormat="1" applyFont="1" applyFill="1" applyBorder="1" applyAlignment="1" applyProtection="1">
      <alignment horizontal="center" vertical="center"/>
      <protection locked="0"/>
    </xf>
    <xf numFmtId="1" fontId="60" fillId="12" borderId="173" xfId="0" applyNumberFormat="1" applyFont="1" applyFill="1" applyBorder="1" applyAlignment="1">
      <alignment horizontal="center" vertical="center" wrapText="1"/>
    </xf>
    <xf numFmtId="1" fontId="60" fillId="12" borderId="174" xfId="0" applyNumberFormat="1" applyFont="1" applyFill="1" applyBorder="1" applyAlignment="1">
      <alignment horizontal="center" vertical="center" wrapText="1"/>
    </xf>
    <xf numFmtId="1" fontId="12" fillId="17" borderId="32" xfId="0" applyNumberFormat="1" applyFont="1" applyFill="1" applyBorder="1" applyAlignment="1">
      <alignment horizontal="center" vertical="center"/>
    </xf>
    <xf numFmtId="1" fontId="60" fillId="0" borderId="175" xfId="0" applyNumberFormat="1" applyFont="1" applyFill="1" applyBorder="1" applyAlignment="1" applyProtection="1">
      <alignment horizontal="center" vertical="center"/>
      <protection locked="0"/>
    </xf>
    <xf numFmtId="1" fontId="60" fillId="19" borderId="57" xfId="0" applyNumberFormat="1" applyFont="1" applyFill="1" applyBorder="1" applyAlignment="1" applyProtection="1">
      <alignment horizontal="center" vertical="center"/>
      <protection locked="0"/>
    </xf>
    <xf numFmtId="168" fontId="9" fillId="0" borderId="145" xfId="2" applyNumberFormat="1" applyFont="1" applyBorder="1" applyAlignment="1">
      <alignment horizontal="center"/>
    </xf>
    <xf numFmtId="168" fontId="9" fillId="0" borderId="146" xfId="2" applyNumberFormat="1" applyFont="1" applyBorder="1" applyAlignment="1">
      <alignment horizontal="center"/>
    </xf>
    <xf numFmtId="168" fontId="16" fillId="0" borderId="145" xfId="2" applyNumberFormat="1" applyFont="1" applyBorder="1" applyAlignment="1">
      <alignment horizontal="center"/>
    </xf>
    <xf numFmtId="172" fontId="9" fillId="0" borderId="143" xfId="2" applyNumberFormat="1" applyFont="1" applyBorder="1" applyAlignment="1">
      <alignment horizontal="center"/>
    </xf>
    <xf numFmtId="172" fontId="9" fillId="0" borderId="148" xfId="2" applyNumberFormat="1" applyFont="1" applyBorder="1" applyAlignment="1">
      <alignment horizontal="center"/>
    </xf>
    <xf numFmtId="172" fontId="16" fillId="0" borderId="143" xfId="2" applyNumberFormat="1" applyFont="1" applyBorder="1" applyAlignment="1">
      <alignment horizontal="center"/>
    </xf>
    <xf numFmtId="168" fontId="7" fillId="2" borderId="0" xfId="2" applyNumberFormat="1" applyFill="1" applyBorder="1" applyAlignment="1">
      <alignment horizontal="center"/>
    </xf>
    <xf numFmtId="168" fontId="9" fillId="0" borderId="9" xfId="2" applyNumberFormat="1" applyFont="1" applyBorder="1" applyAlignment="1">
      <alignment horizontal="center"/>
    </xf>
    <xf numFmtId="168" fontId="17" fillId="2" borderId="0" xfId="2" applyNumberFormat="1" applyFont="1" applyFill="1" applyBorder="1" applyAlignment="1">
      <alignment horizontal="center"/>
    </xf>
    <xf numFmtId="168" fontId="7" fillId="2" borderId="121" xfId="2" applyNumberFormat="1" applyFill="1" applyBorder="1" applyAlignment="1">
      <alignment horizontal="center"/>
    </xf>
    <xf numFmtId="168" fontId="9" fillId="0" borderId="150" xfId="2" applyNumberFormat="1" applyFont="1" applyBorder="1" applyAlignment="1">
      <alignment horizontal="center"/>
    </xf>
    <xf numFmtId="168" fontId="17" fillId="2" borderId="121" xfId="2" applyNumberFormat="1" applyFont="1" applyFill="1" applyBorder="1" applyAlignment="1">
      <alignment horizontal="center"/>
    </xf>
    <xf numFmtId="168" fontId="9" fillId="0" borderId="143" xfId="2" applyNumberFormat="1" applyFont="1" applyBorder="1" applyAlignment="1">
      <alignment horizontal="center"/>
    </xf>
    <xf numFmtId="168" fontId="9" fillId="0" borderId="148" xfId="2" applyNumberFormat="1" applyFont="1" applyBorder="1" applyAlignment="1">
      <alignment horizontal="center"/>
    </xf>
    <xf numFmtId="168" fontId="16" fillId="0" borderId="143" xfId="2" applyNumberFormat="1" applyFont="1" applyBorder="1" applyAlignment="1">
      <alignment horizontal="center"/>
    </xf>
    <xf numFmtId="168" fontId="0" fillId="2" borderId="0" xfId="2" applyNumberFormat="1" applyFont="1" applyFill="1" applyBorder="1" applyAlignment="1">
      <alignment horizontal="center"/>
    </xf>
    <xf numFmtId="168" fontId="0" fillId="0" borderId="9" xfId="2" applyNumberFormat="1" applyFont="1" applyBorder="1" applyAlignment="1">
      <alignment horizontal="center"/>
    </xf>
    <xf numFmtId="168" fontId="9" fillId="0" borderId="0" xfId="2" applyNumberFormat="1" applyFont="1" applyBorder="1" applyAlignment="1">
      <alignment horizontal="center"/>
    </xf>
    <xf numFmtId="172" fontId="9" fillId="0" borderId="0" xfId="2" applyNumberFormat="1" applyFont="1" applyBorder="1" applyAlignment="1">
      <alignment horizontal="center"/>
    </xf>
    <xf numFmtId="168" fontId="16" fillId="0" borderId="0" xfId="2" applyNumberFormat="1" applyFont="1" applyBorder="1" applyAlignment="1">
      <alignment horizontal="center"/>
    </xf>
    <xf numFmtId="172" fontId="9" fillId="0" borderId="9" xfId="2" applyNumberFormat="1" applyFont="1" applyBorder="1" applyAlignment="1">
      <alignment horizontal="center"/>
    </xf>
    <xf numFmtId="172" fontId="9" fillId="0" borderId="0" xfId="2" applyNumberFormat="1" applyFont="1" applyFill="1" applyBorder="1" applyAlignment="1">
      <alignment horizontal="center"/>
    </xf>
    <xf numFmtId="168" fontId="98" fillId="0" borderId="0" xfId="2" applyNumberFormat="1" applyFont="1" applyBorder="1" applyAlignment="1">
      <alignment horizontal="center"/>
    </xf>
    <xf numFmtId="168" fontId="9" fillId="0" borderId="13" xfId="2" applyNumberFormat="1" applyFont="1" applyBorder="1" applyAlignment="1">
      <alignment horizontal="center"/>
    </xf>
    <xf numFmtId="168" fontId="7" fillId="2" borderId="12" xfId="2" applyNumberFormat="1" applyFill="1" applyBorder="1" applyAlignment="1">
      <alignment horizontal="center"/>
    </xf>
    <xf numFmtId="168" fontId="17" fillId="2" borderId="12" xfId="2" applyNumberFormat="1" applyFont="1" applyFill="1" applyBorder="1" applyAlignment="1">
      <alignment horizontal="center"/>
    </xf>
    <xf numFmtId="1" fontId="0" fillId="0" borderId="121" xfId="0" applyNumberFormat="1" applyFont="1" applyFill="1" applyBorder="1" applyAlignment="1">
      <alignment horizontal="center" vertical="center"/>
    </xf>
    <xf numFmtId="170" fontId="0" fillId="0" borderId="0" xfId="0"/>
    <xf numFmtId="170" fontId="0" fillId="0" borderId="0" xfId="0" applyFill="1"/>
    <xf numFmtId="9" fontId="0" fillId="0" borderId="8" xfId="0" applyNumberFormat="1" applyFont="1" applyFill="1" applyBorder="1"/>
    <xf numFmtId="174" fontId="26" fillId="3" borderId="0" xfId="0" applyNumberFormat="1" applyFont="1" applyFill="1" applyBorder="1"/>
    <xf numFmtId="174" fontId="26" fillId="3" borderId="12" xfId="0" applyNumberFormat="1" applyFont="1" applyFill="1" applyBorder="1"/>
    <xf numFmtId="3" fontId="0" fillId="0" borderId="0" xfId="0" applyNumberFormat="1" applyFont="1" applyBorder="1" applyAlignment="1">
      <alignment horizontal="left"/>
    </xf>
    <xf numFmtId="17" fontId="0" fillId="24" borderId="0" xfId="0" quotePrefix="1" applyNumberFormat="1" applyFill="1"/>
    <xf numFmtId="170" fontId="0" fillId="0" borderId="0" xfId="0" applyFont="1"/>
    <xf numFmtId="170" fontId="107" fillId="0" borderId="0" xfId="148" applyFont="1" applyAlignment="1" applyProtection="1"/>
    <xf numFmtId="0" fontId="26" fillId="4" borderId="0" xfId="0" applyNumberFormat="1" applyFont="1" applyFill="1"/>
    <xf numFmtId="0" fontId="106" fillId="4" borderId="0" xfId="148" applyNumberFormat="1" applyFont="1" applyFill="1" applyAlignment="1" applyProtection="1"/>
    <xf numFmtId="0" fontId="0" fillId="24" borderId="0" xfId="0" applyNumberFormat="1" applyFont="1" applyFill="1"/>
    <xf numFmtId="0" fontId="0" fillId="24" borderId="0" xfId="0" quotePrefix="1" applyNumberFormat="1" applyFont="1" applyFill="1"/>
    <xf numFmtId="0" fontId="0" fillId="24" borderId="0" xfId="0" applyNumberFormat="1" applyFont="1" applyFill="1" applyAlignment="1"/>
    <xf numFmtId="0" fontId="0" fillId="25" borderId="0" xfId="0" applyNumberFormat="1" applyFont="1" applyFill="1"/>
    <xf numFmtId="170" fontId="9" fillId="0" borderId="0" xfId="0" applyFont="1" applyAlignment="1">
      <alignment horizontal="left"/>
    </xf>
    <xf numFmtId="2" fontId="24" fillId="0" borderId="0" xfId="0" applyNumberFormat="1" applyFont="1" applyBorder="1"/>
    <xf numFmtId="2" fontId="25" fillId="0" borderId="0" xfId="0" applyNumberFormat="1" applyFont="1" applyBorder="1"/>
    <xf numFmtId="2" fontId="8" fillId="0" borderId="0" xfId="0" applyNumberFormat="1" applyFont="1"/>
    <xf numFmtId="2" fontId="26" fillId="0" borderId="0" xfId="0" applyNumberFormat="1" applyFont="1"/>
    <xf numFmtId="2" fontId="8" fillId="0" borderId="0" xfId="0" applyNumberFormat="1" applyFont="1" applyBorder="1"/>
    <xf numFmtId="2" fontId="82" fillId="0" borderId="0" xfId="0" applyNumberFormat="1" applyFont="1" applyFill="1"/>
    <xf numFmtId="2" fontId="28" fillId="0" borderId="0" xfId="0" applyNumberFormat="1" applyFont="1" applyBorder="1"/>
    <xf numFmtId="174" fontId="0" fillId="0" borderId="0" xfId="0" applyNumberFormat="1"/>
    <xf numFmtId="2" fontId="0" fillId="0" borderId="0" xfId="0" applyNumberFormat="1" applyFill="1"/>
    <xf numFmtId="14" fontId="0" fillId="0" borderId="0" xfId="0" applyNumberFormat="1" applyFill="1"/>
    <xf numFmtId="170" fontId="74" fillId="0" borderId="0" xfId="148" quotePrefix="1" applyFill="1" applyAlignment="1" applyProtection="1"/>
    <xf numFmtId="178" fontId="25" fillId="0" borderId="0" xfId="0" applyNumberFormat="1" applyFont="1" applyBorder="1"/>
    <xf numFmtId="178" fontId="8" fillId="0" borderId="0" xfId="0" applyNumberFormat="1" applyFont="1"/>
    <xf numFmtId="178" fontId="0" fillId="0" borderId="0" xfId="0" applyNumberFormat="1"/>
    <xf numFmtId="178" fontId="26" fillId="0" borderId="0" xfId="0" applyNumberFormat="1" applyFont="1"/>
    <xf numFmtId="178" fontId="82" fillId="0" borderId="0" xfId="0" applyNumberFormat="1" applyFont="1" applyFill="1"/>
    <xf numFmtId="170" fontId="26" fillId="0" borderId="5" xfId="2" applyFont="1" applyFill="1" applyBorder="1" applyAlignment="1">
      <alignment horizontal="left" vertical="top" wrapText="1"/>
    </xf>
    <xf numFmtId="0" fontId="74" fillId="0" borderId="21" xfId="148" quotePrefix="1" applyNumberFormat="1" applyBorder="1" applyAlignment="1" applyProtection="1">
      <alignment vertical="top"/>
    </xf>
    <xf numFmtId="170" fontId="8" fillId="0" borderId="153" xfId="0" applyFont="1" applyFill="1" applyBorder="1" applyAlignment="1">
      <alignment horizontal="left"/>
    </xf>
    <xf numFmtId="170" fontId="26" fillId="0" borderId="121" xfId="0" applyFont="1" applyFill="1" applyBorder="1"/>
    <xf numFmtId="170" fontId="7" fillId="0" borderId="0" xfId="2" applyFill="1" applyBorder="1"/>
    <xf numFmtId="170" fontId="0" fillId="0" borderId="121" xfId="0" applyFont="1" applyFill="1" applyBorder="1" applyAlignment="1">
      <alignment horizontal="right"/>
    </xf>
    <xf numFmtId="170" fontId="0" fillId="0" borderId="121" xfId="0" applyBorder="1" applyAlignment="1">
      <alignment horizontal="right"/>
    </xf>
    <xf numFmtId="14" fontId="74" fillId="0" borderId="0" xfId="148" applyNumberFormat="1" applyFill="1" applyAlignment="1" applyProtection="1"/>
    <xf numFmtId="14" fontId="74" fillId="0" borderId="0" xfId="148" quotePrefix="1" applyNumberFormat="1" applyFill="1" applyAlignment="1" applyProtection="1"/>
    <xf numFmtId="170" fontId="26" fillId="0" borderId="103" xfId="0" applyFont="1" applyFill="1" applyBorder="1"/>
    <xf numFmtId="3" fontId="26" fillId="0" borderId="61" xfId="0" applyNumberFormat="1" applyFont="1" applyFill="1" applyBorder="1" applyAlignment="1">
      <alignment horizontal="left"/>
    </xf>
    <xf numFmtId="170" fontId="26" fillId="0" borderId="18" xfId="0" applyFont="1" applyFill="1" applyBorder="1" applyAlignment="1">
      <alignment horizontal="left"/>
    </xf>
    <xf numFmtId="17" fontId="26" fillId="24" borderId="0" xfId="0" quotePrefix="1" applyNumberFormat="1" applyFont="1" applyFill="1"/>
    <xf numFmtId="0" fontId="26" fillId="24" borderId="0" xfId="0" applyNumberFormat="1" applyFont="1" applyFill="1" applyAlignment="1"/>
    <xf numFmtId="14" fontId="0" fillId="0" borderId="0" xfId="0" applyNumberFormat="1"/>
    <xf numFmtId="170" fontId="74" fillId="0" borderId="0" xfId="148" applyAlignment="1" applyProtection="1"/>
    <xf numFmtId="0" fontId="26" fillId="24" borderId="0" xfId="174" applyNumberFormat="1" applyFont="1" applyFill="1"/>
    <xf numFmtId="0" fontId="26" fillId="25" borderId="0" xfId="174" applyNumberFormat="1" applyFont="1" applyFill="1"/>
    <xf numFmtId="0" fontId="26" fillId="4" borderId="0" xfId="174" applyNumberFormat="1" applyFont="1" applyFill="1"/>
    <xf numFmtId="0" fontId="7" fillId="4" borderId="0" xfId="174" applyNumberFormat="1" applyFill="1"/>
    <xf numFmtId="0" fontId="26" fillId="24" borderId="0" xfId="174" quotePrefix="1" applyNumberFormat="1" applyFont="1" applyFill="1" applyAlignment="1">
      <alignment horizontal="left"/>
    </xf>
    <xf numFmtId="0" fontId="7" fillId="25" borderId="0" xfId="174" applyNumberFormat="1" applyFill="1"/>
    <xf numFmtId="0" fontId="7" fillId="24" borderId="0" xfId="174" applyNumberFormat="1" applyFill="1"/>
    <xf numFmtId="17" fontId="7" fillId="24" borderId="0" xfId="174" quotePrefix="1" applyNumberFormat="1" applyFill="1"/>
    <xf numFmtId="0" fontId="0" fillId="4" borderId="0" xfId="174" applyNumberFormat="1" applyFont="1" applyFill="1"/>
    <xf numFmtId="170" fontId="74" fillId="0" borderId="0" xfId="148" quotePrefix="1" applyAlignment="1" applyProtection="1"/>
    <xf numFmtId="170" fontId="26" fillId="0" borderId="0" xfId="0" applyFont="1" applyBorder="1"/>
    <xf numFmtId="175" fontId="0" fillId="0" borderId="0" xfId="0" applyNumberFormat="1" applyBorder="1"/>
    <xf numFmtId="3" fontId="111" fillId="12" borderId="182" xfId="0" applyNumberFormat="1" applyFont="1" applyFill="1" applyBorder="1" applyAlignment="1">
      <alignment horizontal="center" vertical="center" wrapText="1"/>
    </xf>
    <xf numFmtId="3" fontId="25" fillId="0" borderId="0" xfId="0" applyNumberFormat="1" applyFont="1"/>
    <xf numFmtId="3" fontId="111" fillId="12" borderId="180" xfId="0" applyNumberFormat="1" applyFont="1" applyFill="1" applyBorder="1" applyAlignment="1">
      <alignment horizontal="center" vertical="center" wrapText="1"/>
    </xf>
    <xf numFmtId="3" fontId="25" fillId="0" borderId="183" xfId="0" applyNumberFormat="1" applyFont="1" applyBorder="1" applyAlignment="1">
      <alignment horizontal="left" vertical="top"/>
    </xf>
    <xf numFmtId="3" fontId="26" fillId="28" borderId="184" xfId="0" applyNumberFormat="1" applyFont="1" applyFill="1" applyBorder="1" applyAlignment="1">
      <alignment horizontal="left" vertical="top" wrapText="1"/>
    </xf>
    <xf numFmtId="3" fontId="0" fillId="0" borderId="184" xfId="0" applyNumberFormat="1" applyFill="1" applyBorder="1" applyAlignment="1">
      <alignment horizontal="left" vertical="top" wrapText="1"/>
    </xf>
    <xf numFmtId="3" fontId="0" fillId="29" borderId="184" xfId="0" applyNumberFormat="1" applyFill="1" applyBorder="1" applyAlignment="1">
      <alignment horizontal="left" vertical="top" wrapText="1"/>
    </xf>
    <xf numFmtId="3" fontId="26" fillId="30" borderId="184" xfId="0" applyNumberFormat="1" applyFont="1" applyFill="1" applyBorder="1" applyAlignment="1">
      <alignment horizontal="left" vertical="top" wrapText="1"/>
    </xf>
    <xf numFmtId="3" fontId="26" fillId="0" borderId="184" xfId="0" applyNumberFormat="1" applyFont="1" applyFill="1" applyBorder="1" applyAlignment="1">
      <alignment horizontal="left" vertical="top" wrapText="1"/>
    </xf>
    <xf numFmtId="170" fontId="0" fillId="28" borderId="184" xfId="0" applyFill="1" applyBorder="1" applyAlignment="1">
      <alignment horizontal="left" vertical="top" wrapText="1"/>
    </xf>
    <xf numFmtId="170" fontId="0" fillId="28" borderId="185" xfId="0" applyFill="1" applyBorder="1" applyAlignment="1">
      <alignment horizontal="left" vertical="top" wrapText="1"/>
    </xf>
    <xf numFmtId="3" fontId="0" fillId="28" borderId="186" xfId="0" applyNumberFormat="1" applyFill="1" applyBorder="1" applyAlignment="1">
      <alignment horizontal="left" vertical="top" wrapText="1"/>
    </xf>
    <xf numFmtId="3" fontId="25" fillId="0" borderId="177" xfId="0" applyNumberFormat="1" applyFont="1" applyBorder="1" applyAlignment="1">
      <alignment horizontal="left" vertical="top"/>
    </xf>
    <xf numFmtId="3" fontId="26" fillId="28" borderId="178" xfId="0" applyNumberFormat="1" applyFont="1" applyFill="1" applyBorder="1" applyAlignment="1">
      <alignment horizontal="left" vertical="top" wrapText="1"/>
    </xf>
    <xf numFmtId="3" fontId="0" fillId="28" borderId="178" xfId="0" applyNumberFormat="1" applyFill="1" applyBorder="1" applyAlignment="1">
      <alignment horizontal="left" vertical="top" wrapText="1"/>
    </xf>
    <xf numFmtId="3" fontId="26" fillId="30" borderId="178" xfId="0" applyNumberFormat="1" applyFont="1" applyFill="1" applyBorder="1" applyAlignment="1">
      <alignment horizontal="left" vertical="top" wrapText="1"/>
    </xf>
    <xf numFmtId="3" fontId="26" fillId="0" borderId="178" xfId="0" applyNumberFormat="1" applyFont="1" applyFill="1" applyBorder="1" applyAlignment="1">
      <alignment horizontal="left" vertical="top" wrapText="1"/>
    </xf>
    <xf numFmtId="170" fontId="0" fillId="28" borderId="178" xfId="0" applyFill="1" applyBorder="1" applyAlignment="1">
      <alignment horizontal="left" vertical="top" wrapText="1"/>
    </xf>
    <xf numFmtId="170" fontId="0" fillId="28" borderId="179" xfId="0" applyFill="1" applyBorder="1" applyAlignment="1">
      <alignment horizontal="left" vertical="top" wrapText="1"/>
    </xf>
    <xf numFmtId="3" fontId="0" fillId="28" borderId="187" xfId="0" applyNumberFormat="1" applyFill="1" applyBorder="1" applyAlignment="1">
      <alignment horizontal="left" vertical="top" wrapText="1"/>
    </xf>
    <xf numFmtId="3" fontId="26" fillId="29" borderId="178" xfId="0" applyNumberFormat="1" applyFont="1" applyFill="1" applyBorder="1" applyAlignment="1">
      <alignment horizontal="left" vertical="top" wrapText="1"/>
    </xf>
    <xf numFmtId="3" fontId="0" fillId="0" borderId="178" xfId="0" applyNumberFormat="1" applyFill="1" applyBorder="1" applyAlignment="1">
      <alignment horizontal="left" vertical="top" wrapText="1"/>
    </xf>
    <xf numFmtId="3" fontId="26" fillId="0" borderId="178" xfId="0" applyNumberFormat="1" applyFont="1" applyBorder="1" applyAlignment="1">
      <alignment horizontal="left" vertical="top" wrapText="1"/>
    </xf>
    <xf numFmtId="3" fontId="26" fillId="0" borderId="179" xfId="0" applyNumberFormat="1" applyFont="1" applyBorder="1" applyAlignment="1">
      <alignment horizontal="left" vertical="top" wrapText="1"/>
    </xf>
    <xf numFmtId="3" fontId="0" fillId="29" borderId="187" xfId="0" applyNumberFormat="1" applyFill="1" applyBorder="1" applyAlignment="1">
      <alignment horizontal="left" vertical="top" wrapText="1"/>
    </xf>
    <xf numFmtId="3" fontId="0" fillId="0" borderId="178" xfId="0" applyNumberFormat="1" applyBorder="1" applyAlignment="1">
      <alignment horizontal="left" vertical="top" wrapText="1"/>
    </xf>
    <xf numFmtId="3" fontId="0" fillId="0" borderId="179" xfId="0" applyNumberFormat="1" applyFill="1" applyBorder="1" applyAlignment="1">
      <alignment horizontal="left" vertical="top" wrapText="1"/>
    </xf>
    <xf numFmtId="3" fontId="112" fillId="0" borderId="177" xfId="0" applyNumberFormat="1" applyFont="1" applyBorder="1" applyAlignment="1">
      <alignment horizontal="left" vertical="top"/>
    </xf>
    <xf numFmtId="3" fontId="26" fillId="0" borderId="179" xfId="0" applyNumberFormat="1" applyFont="1" applyFill="1" applyBorder="1" applyAlignment="1">
      <alignment horizontal="left" vertical="top" wrapText="1"/>
    </xf>
    <xf numFmtId="3" fontId="26" fillId="30" borderId="8" xfId="0" applyNumberFormat="1" applyFont="1" applyFill="1" applyBorder="1" applyAlignment="1">
      <alignment horizontal="left" vertical="top" wrapText="1"/>
    </xf>
    <xf numFmtId="3" fontId="0" fillId="0" borderId="178" xfId="0" applyNumberFormat="1" applyBorder="1"/>
    <xf numFmtId="3" fontId="0" fillId="0" borderId="179" xfId="0" applyNumberFormat="1" applyBorder="1"/>
    <xf numFmtId="3" fontId="25" fillId="0" borderId="10" xfId="0" applyNumberFormat="1" applyFont="1" applyBorder="1" applyAlignment="1">
      <alignment horizontal="left" vertical="top"/>
    </xf>
    <xf numFmtId="3" fontId="113" fillId="0" borderId="188" xfId="0" applyNumberFormat="1" applyFont="1" applyBorder="1"/>
    <xf numFmtId="3" fontId="9" fillId="0" borderId="181" xfId="0" applyNumberFormat="1" applyFont="1" applyBorder="1"/>
    <xf numFmtId="3" fontId="9" fillId="0" borderId="189" xfId="0" applyNumberFormat="1" applyFont="1" applyBorder="1"/>
    <xf numFmtId="3" fontId="9" fillId="0" borderId="182" xfId="0" applyNumberFormat="1" applyFont="1" applyBorder="1"/>
    <xf numFmtId="3" fontId="9" fillId="0" borderId="180" xfId="0" applyNumberFormat="1" applyFont="1" applyBorder="1"/>
    <xf numFmtId="3" fontId="0" fillId="0" borderId="190" xfId="0" applyNumberFormat="1" applyBorder="1"/>
    <xf numFmtId="3" fontId="9" fillId="29" borderId="0" xfId="0" applyNumberFormat="1" applyFont="1" applyFill="1" applyAlignment="1">
      <alignment horizontal="left"/>
    </xf>
    <xf numFmtId="3" fontId="9" fillId="28" borderId="0" xfId="0" applyNumberFormat="1" applyFont="1" applyFill="1" applyAlignment="1">
      <alignment horizontal="left"/>
    </xf>
    <xf numFmtId="3" fontId="9" fillId="30" borderId="0" xfId="0" applyNumberFormat="1" applyFont="1" applyFill="1" applyAlignment="1">
      <alignment horizontal="left"/>
    </xf>
    <xf numFmtId="3" fontId="113" fillId="0" borderId="0" xfId="0" applyNumberFormat="1" applyFont="1" applyAlignment="1">
      <alignment vertical="top"/>
    </xf>
    <xf numFmtId="3" fontId="0" fillId="29" borderId="0" xfId="0" applyNumberFormat="1" applyFont="1" applyFill="1" applyAlignment="1">
      <alignment horizontal="left" vertical="top" wrapText="1"/>
    </xf>
    <xf numFmtId="3" fontId="114" fillId="28" borderId="0" xfId="0" applyNumberFormat="1" applyFont="1" applyFill="1" applyAlignment="1">
      <alignment horizontal="left" vertical="top" wrapText="1"/>
    </xf>
    <xf numFmtId="3" fontId="0" fillId="30" borderId="0" xfId="0" applyNumberFormat="1" applyFill="1" applyAlignment="1">
      <alignment vertical="top" wrapText="1"/>
    </xf>
    <xf numFmtId="3" fontId="0" fillId="0" borderId="192" xfId="0" applyNumberFormat="1" applyBorder="1"/>
    <xf numFmtId="3" fontId="0" fillId="0" borderId="191" xfId="0" applyNumberFormat="1" applyBorder="1"/>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60" fillId="12" borderId="72" xfId="0" applyNumberFormat="1" applyFont="1" applyFill="1" applyBorder="1" applyAlignment="1">
      <alignment horizontal="center" vertical="center" wrapText="1"/>
    </xf>
    <xf numFmtId="1" fontId="60" fillId="12" borderId="76" xfId="0" applyNumberFormat="1" applyFont="1" applyFill="1" applyBorder="1" applyAlignment="1">
      <alignment horizontal="center" vertical="center" wrapText="1"/>
    </xf>
    <xf numFmtId="1" fontId="31" fillId="0" borderId="0" xfId="0" applyNumberFormat="1" applyFont="1" applyBorder="1" applyAlignment="1">
      <alignment horizontal="justify"/>
    </xf>
    <xf numFmtId="1" fontId="60" fillId="12" borderId="36"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38"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1" fontId="63" fillId="0" borderId="182" xfId="0" applyNumberFormat="1" applyFont="1" applyFill="1" applyBorder="1" applyAlignment="1" applyProtection="1">
      <alignment horizontal="center" vertical="center"/>
      <protection locked="0"/>
    </xf>
    <xf numFmtId="1" fontId="63" fillId="0" borderId="181" xfId="0" applyNumberFormat="1" applyFont="1" applyFill="1" applyBorder="1" applyAlignment="1" applyProtection="1">
      <alignment horizontal="center" vertical="center"/>
      <protection locked="0"/>
    </xf>
    <xf numFmtId="1" fontId="63" fillId="0" borderId="21" xfId="0" applyNumberFormat="1" applyFont="1" applyFill="1" applyBorder="1" applyAlignment="1">
      <alignment vertical="center"/>
    </xf>
    <xf numFmtId="1" fontId="63" fillId="0" borderId="193" xfId="0" applyNumberFormat="1" applyFont="1" applyFill="1" applyBorder="1" applyAlignment="1">
      <alignment vertical="center"/>
    </xf>
    <xf numFmtId="1" fontId="63" fillId="0" borderId="8" xfId="0" applyNumberFormat="1" applyFont="1" applyFill="1" applyBorder="1" applyAlignment="1" applyProtection="1">
      <alignment horizontal="center" vertical="center"/>
      <protection locked="0"/>
    </xf>
    <xf numFmtId="1" fontId="63" fillId="0" borderId="0" xfId="0" applyNumberFormat="1" applyFont="1" applyFill="1" applyBorder="1" applyAlignment="1" applyProtection="1">
      <alignment horizontal="center" vertical="center"/>
      <protection locked="0"/>
    </xf>
    <xf numFmtId="1" fontId="60" fillId="18" borderId="152" xfId="0" applyNumberFormat="1" applyFont="1" applyFill="1" applyBorder="1" applyAlignment="1">
      <alignment horizontal="center" vertical="center"/>
    </xf>
    <xf numFmtId="1" fontId="63" fillId="0" borderId="181" xfId="0" applyNumberFormat="1" applyFont="1" applyFill="1" applyBorder="1" applyAlignment="1"/>
    <xf numFmtId="1" fontId="63" fillId="0" borderId="44" xfId="0" applyNumberFormat="1" applyFont="1" applyFill="1" applyBorder="1" applyAlignment="1" applyProtection="1">
      <alignment horizontal="center" vertical="center"/>
      <protection locked="0"/>
    </xf>
    <xf numFmtId="1" fontId="63" fillId="0" borderId="80" xfId="0" applyNumberFormat="1" applyFont="1" applyFill="1" applyBorder="1" applyAlignment="1"/>
    <xf numFmtId="1" fontId="63" fillId="0" borderId="31" xfId="0" applyNumberFormat="1" applyFont="1" applyFill="1" applyBorder="1" applyAlignment="1" applyProtection="1">
      <alignment horizontal="center" vertical="center"/>
      <protection locked="0"/>
    </xf>
    <xf numFmtId="169" fontId="63" fillId="19" borderId="55" xfId="0" applyNumberFormat="1" applyFont="1" applyFill="1" applyBorder="1" applyAlignment="1" applyProtection="1">
      <alignment horizontal="center" vertical="center"/>
      <protection locked="0"/>
    </xf>
    <xf numFmtId="1" fontId="60" fillId="12" borderId="45" xfId="0" applyNumberFormat="1" applyFont="1" applyFill="1" applyBorder="1" applyAlignment="1">
      <alignment vertical="center" wrapText="1"/>
    </xf>
    <xf numFmtId="1" fontId="60" fillId="12" borderId="34" xfId="0" applyNumberFormat="1" applyFont="1" applyFill="1" applyBorder="1" applyAlignment="1">
      <alignment vertical="center" wrapText="1"/>
    </xf>
    <xf numFmtId="1" fontId="60" fillId="12" borderId="64" xfId="0" applyNumberFormat="1" applyFont="1" applyFill="1" applyBorder="1" applyAlignment="1">
      <alignment horizontal="center" vertical="center" wrapText="1"/>
    </xf>
    <xf numFmtId="1" fontId="60" fillId="12" borderId="9" xfId="0" applyNumberFormat="1" applyFont="1" applyFill="1" applyBorder="1" applyAlignment="1">
      <alignment horizontal="center" vertical="center" wrapText="1"/>
    </xf>
    <xf numFmtId="1" fontId="60" fillId="12" borderId="101" xfId="0" applyNumberFormat="1" applyFont="1" applyFill="1" applyBorder="1" applyAlignment="1">
      <alignment horizontal="center" vertical="center" wrapText="1"/>
    </xf>
    <xf numFmtId="1" fontId="60" fillId="12" borderId="41" xfId="0" applyNumberFormat="1" applyFont="1" applyFill="1" applyBorder="1" applyAlignment="1">
      <alignment vertical="center" wrapText="1"/>
    </xf>
    <xf numFmtId="1" fontId="12" fillId="17" borderId="173"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17" borderId="194" xfId="0" applyNumberFormat="1" applyFont="1" applyFill="1" applyBorder="1" applyAlignment="1">
      <alignment horizontal="center" vertical="center"/>
    </xf>
    <xf numFmtId="1" fontId="63" fillId="0" borderId="194" xfId="0" applyNumberFormat="1" applyFont="1" applyFill="1" applyBorder="1" applyAlignment="1" applyProtection="1">
      <alignment horizontal="center" vertical="center"/>
      <protection locked="0"/>
    </xf>
    <xf numFmtId="1" fontId="63" fillId="0" borderId="13" xfId="0" applyNumberFormat="1" applyFont="1" applyFill="1" applyBorder="1" applyAlignment="1" applyProtection="1">
      <alignment horizontal="center" vertical="center"/>
      <protection locked="0"/>
    </xf>
    <xf numFmtId="1" fontId="63" fillId="0" borderId="88" xfId="0" applyNumberFormat="1" applyFont="1" applyFill="1" applyBorder="1" applyAlignment="1" applyProtection="1">
      <alignment horizontal="center" vertical="center"/>
      <protection locked="0"/>
    </xf>
    <xf numFmtId="1" fontId="12" fillId="21" borderId="99" xfId="0" applyNumberFormat="1" applyFont="1" applyFill="1" applyBorder="1" applyAlignment="1">
      <alignment horizontal="center" vertical="center"/>
    </xf>
    <xf numFmtId="3" fontId="41" fillId="12" borderId="180" xfId="0" applyNumberFormat="1" applyFont="1" applyFill="1" applyBorder="1" applyAlignment="1">
      <alignment horizontal="center" vertical="center" wrapText="1"/>
    </xf>
    <xf numFmtId="3" fontId="9" fillId="0" borderId="188" xfId="0" applyNumberFormat="1" applyFont="1" applyBorder="1"/>
    <xf numFmtId="3" fontId="0" fillId="29" borderId="197" xfId="0" applyNumberFormat="1" applyFill="1" applyBorder="1" applyAlignment="1">
      <alignment horizontal="left" vertical="top" wrapText="1"/>
    </xf>
    <xf numFmtId="2" fontId="45" fillId="21" borderId="34" xfId="0" applyNumberFormat="1" applyFont="1" applyFill="1" applyBorder="1" applyAlignment="1" applyProtection="1">
      <alignment horizontal="center" vertical="center"/>
    </xf>
    <xf numFmtId="2" fontId="45" fillId="21" borderId="33" xfId="0" applyNumberFormat="1" applyFont="1" applyFill="1" applyBorder="1" applyAlignment="1" applyProtection="1">
      <alignment horizontal="center" vertical="center"/>
    </xf>
    <xf numFmtId="3" fontId="41" fillId="3" borderId="181" xfId="0" applyNumberFormat="1" applyFont="1" applyFill="1" applyBorder="1" applyAlignment="1" applyProtection="1">
      <alignment horizontal="right" vertical="center"/>
    </xf>
    <xf numFmtId="3" fontId="45" fillId="0" borderId="180" xfId="0" applyNumberFormat="1" applyFont="1" applyFill="1" applyBorder="1" applyAlignment="1" applyProtection="1">
      <alignment horizontal="right" vertical="center"/>
    </xf>
    <xf numFmtId="3" fontId="1" fillId="0" borderId="180" xfId="0" applyNumberFormat="1" applyFont="1" applyFill="1" applyBorder="1" applyAlignment="1" applyProtection="1">
      <alignment horizontal="right" vertical="center" wrapText="1"/>
    </xf>
    <xf numFmtId="3" fontId="45" fillId="0" borderId="198" xfId="0" applyNumberFormat="1" applyFont="1" applyFill="1" applyBorder="1" applyAlignment="1" applyProtection="1">
      <alignment horizontal="right" vertical="center"/>
    </xf>
    <xf numFmtId="3" fontId="41" fillId="19" borderId="26" xfId="0" applyNumberFormat="1" applyFont="1" applyFill="1" applyBorder="1" applyAlignment="1" applyProtection="1">
      <alignment horizontal="right" vertical="center"/>
    </xf>
    <xf numFmtId="170" fontId="9" fillId="17" borderId="180" xfId="0" applyFont="1" applyFill="1" applyBorder="1" applyProtection="1"/>
    <xf numFmtId="172" fontId="0" fillId="17" borderId="180" xfId="0" applyNumberFormat="1" applyFill="1" applyBorder="1" applyAlignment="1" applyProtection="1">
      <alignment horizontal="center"/>
    </xf>
    <xf numFmtId="3" fontId="1" fillId="0" borderId="13" xfId="0" applyNumberFormat="1" applyFont="1" applyFill="1" applyBorder="1" applyAlignment="1" applyProtection="1">
      <alignment horizontal="right" vertical="center" wrapText="1"/>
    </xf>
    <xf numFmtId="3" fontId="45" fillId="0" borderId="33" xfId="0" applyNumberFormat="1" applyFont="1" applyFill="1" applyBorder="1" applyAlignment="1" applyProtection="1">
      <alignment horizontal="right" vertical="center"/>
    </xf>
    <xf numFmtId="3" fontId="45" fillId="0" borderId="182" xfId="0" applyNumberFormat="1" applyFont="1" applyFill="1" applyBorder="1" applyAlignment="1" applyProtection="1">
      <alignment horizontal="right" vertical="center"/>
    </xf>
    <xf numFmtId="3" fontId="45" fillId="0" borderId="12" xfId="0" applyNumberFormat="1" applyFont="1" applyFill="1" applyBorder="1" applyAlignment="1" applyProtection="1">
      <alignment horizontal="right" vertical="center"/>
    </xf>
    <xf numFmtId="1" fontId="47" fillId="12" borderId="199" xfId="0" applyNumberFormat="1" applyFont="1" applyFill="1" applyBorder="1" applyAlignment="1">
      <alignment horizontal="center" vertical="center" wrapText="1"/>
    </xf>
    <xf numFmtId="1" fontId="116" fillId="0" borderId="199" xfId="0" applyNumberFormat="1" applyFont="1" applyFill="1" applyBorder="1" applyAlignment="1">
      <alignment horizontal="left"/>
    </xf>
    <xf numFmtId="1" fontId="117" fillId="0" borderId="199" xfId="0" applyNumberFormat="1" applyFont="1" applyFill="1" applyBorder="1" applyAlignment="1">
      <alignment horizontal="center"/>
    </xf>
    <xf numFmtId="1" fontId="26" fillId="0" borderId="199" xfId="0" applyNumberFormat="1" applyFont="1" applyFill="1" applyBorder="1" applyAlignment="1" applyProtection="1">
      <alignment horizontal="center" vertical="center"/>
      <protection locked="0"/>
    </xf>
    <xf numFmtId="1" fontId="47" fillId="0" borderId="199" xfId="0" applyNumberFormat="1" applyFont="1" applyFill="1" applyBorder="1" applyAlignment="1">
      <alignment horizontal="left"/>
    </xf>
    <xf numFmtId="1" fontId="47" fillId="0" borderId="199" xfId="0" applyNumberFormat="1" applyFont="1" applyFill="1" applyBorder="1" applyAlignment="1" applyProtection="1">
      <alignment horizontal="left" wrapText="1"/>
      <protection locked="0"/>
    </xf>
    <xf numFmtId="1" fontId="47" fillId="0" borderId="199" xfId="0" applyNumberFormat="1" applyFont="1" applyFill="1" applyBorder="1" applyAlignment="1" applyProtection="1">
      <alignment horizontal="center" vertical="center"/>
      <protection locked="0"/>
    </xf>
    <xf numFmtId="1" fontId="116" fillId="0" borderId="199" xfId="0" applyNumberFormat="1" applyFont="1" applyBorder="1" applyAlignment="1">
      <alignment horizontal="left" vertical="center"/>
    </xf>
    <xf numFmtId="1" fontId="26" fillId="0" borderId="199" xfId="0" applyNumberFormat="1" applyFont="1" applyBorder="1" applyAlignment="1" applyProtection="1">
      <alignment horizontal="center" vertical="center"/>
      <protection locked="0"/>
    </xf>
    <xf numFmtId="1" fontId="47" fillId="0" borderId="199" xfId="0" applyNumberFormat="1" applyFont="1" applyBorder="1" applyAlignment="1">
      <alignment horizontal="left" vertical="center"/>
    </xf>
    <xf numFmtId="1" fontId="47" fillId="0" borderId="199" xfId="0" applyNumberFormat="1" applyFont="1" applyFill="1" applyBorder="1" applyAlignment="1">
      <alignment horizontal="left" vertical="center"/>
    </xf>
    <xf numFmtId="1" fontId="116" fillId="0" borderId="199" xfId="0" applyNumberFormat="1" applyFont="1" applyFill="1" applyBorder="1" applyAlignment="1">
      <alignment horizontal="left" vertical="top"/>
    </xf>
    <xf numFmtId="1" fontId="117" fillId="15" borderId="199" xfId="0" applyNumberFormat="1" applyFont="1" applyFill="1" applyBorder="1" applyAlignment="1">
      <alignment horizontal="left" vertical="top" wrapText="1"/>
    </xf>
    <xf numFmtId="1" fontId="117" fillId="0" borderId="199" xfId="0" applyNumberFormat="1" applyFont="1" applyFill="1" applyBorder="1" applyAlignment="1">
      <alignment horizontal="left" vertical="top"/>
    </xf>
    <xf numFmtId="1" fontId="26"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lignment horizontal="left" vertical="top"/>
    </xf>
    <xf numFmtId="1" fontId="26" fillId="15" borderId="199" xfId="0" applyNumberFormat="1" applyFont="1" applyFill="1" applyBorder="1" applyAlignment="1" applyProtection="1">
      <alignment horizontal="left" vertical="top"/>
      <protection locked="0"/>
    </xf>
    <xf numFmtId="1" fontId="47" fillId="0" borderId="199" xfId="0" applyNumberFormat="1" applyFont="1" applyFill="1" applyBorder="1" applyAlignment="1" applyProtection="1">
      <alignment horizontal="left" vertical="top" wrapText="1"/>
      <protection locked="0"/>
    </xf>
    <xf numFmtId="1" fontId="47" fillId="0" borderId="199" xfId="0" applyNumberFormat="1" applyFont="1" applyFill="1" applyBorder="1" applyAlignment="1" applyProtection="1">
      <alignment horizontal="left" vertical="top"/>
      <protection locked="0"/>
    </xf>
    <xf numFmtId="4" fontId="0" fillId="15" borderId="0" xfId="0" applyNumberFormat="1" applyFill="1" applyAlignment="1">
      <alignment horizontal="left" vertical="top" wrapText="1"/>
    </xf>
    <xf numFmtId="1" fontId="26" fillId="15" borderId="199" xfId="0" applyNumberFormat="1" applyFont="1" applyFill="1" applyBorder="1" applyAlignment="1" applyProtection="1">
      <alignment horizontal="center" vertical="center"/>
      <protection locked="0"/>
    </xf>
    <xf numFmtId="170" fontId="0" fillId="0" borderId="0" xfId="0" applyFill="1"/>
    <xf numFmtId="179" fontId="108" fillId="0" borderId="0" xfId="52" applyNumberFormat="1" applyFont="1"/>
    <xf numFmtId="179" fontId="0" fillId="0" borderId="0" xfId="52" applyNumberFormat="1" applyFont="1" applyFill="1" applyBorder="1"/>
    <xf numFmtId="0" fontId="26" fillId="24" borderId="0" xfId="174" applyNumberFormat="1" applyFont="1" applyFill="1"/>
    <xf numFmtId="17" fontId="26" fillId="24" borderId="0" xfId="174" quotePrefix="1" applyNumberFormat="1" applyFont="1" applyFill="1"/>
    <xf numFmtId="0" fontId="26" fillId="24" borderId="0" xfId="174" applyNumberFormat="1" applyFont="1" applyFill="1" applyAlignment="1"/>
    <xf numFmtId="0" fontId="26" fillId="24" borderId="0" xfId="174" applyNumberFormat="1" applyFont="1" applyFill="1"/>
    <xf numFmtId="17" fontId="26" fillId="24" borderId="0" xfId="174" quotePrefix="1" applyNumberFormat="1" applyFont="1" applyFill="1"/>
    <xf numFmtId="9" fontId="26" fillId="0" borderId="0" xfId="0" applyNumberFormat="1" applyFont="1" applyFill="1" applyBorder="1"/>
    <xf numFmtId="0" fontId="26" fillId="24" borderId="0" xfId="174" applyNumberFormat="1" applyFont="1" applyFill="1"/>
    <xf numFmtId="0" fontId="26" fillId="24" borderId="0" xfId="174" quotePrefix="1" applyNumberFormat="1" applyFont="1" applyFill="1"/>
    <xf numFmtId="2" fontId="0" fillId="0" borderId="0" xfId="0" applyNumberFormat="1" applyBorder="1"/>
    <xf numFmtId="170" fontId="26" fillId="0" borderId="0" xfId="0" applyFont="1" applyFill="1" applyBorder="1" applyAlignment="1">
      <alignment horizontal="left" vertical="top" wrapText="1"/>
    </xf>
    <xf numFmtId="11" fontId="0" fillId="0" borderId="0" xfId="0" applyNumberFormat="1" applyFill="1"/>
    <xf numFmtId="11" fontId="0" fillId="0" borderId="8" xfId="0" applyNumberFormat="1" applyFill="1" applyBorder="1"/>
    <xf numFmtId="170" fontId="0" fillId="0" borderId="0" xfId="0"/>
    <xf numFmtId="170" fontId="0" fillId="0" borderId="0" xfId="0" applyFill="1"/>
    <xf numFmtId="170" fontId="74" fillId="0" borderId="0" xfId="148" quotePrefix="1" applyAlignment="1" applyProtection="1"/>
    <xf numFmtId="170" fontId="74" fillId="0" borderId="0" xfId="148" applyAlignment="1" applyProtection="1"/>
    <xf numFmtId="14" fontId="0" fillId="0" borderId="0" xfId="0" applyNumberFormat="1" applyFill="1"/>
    <xf numFmtId="0" fontId="26" fillId="0" borderId="0" xfId="0" applyNumberFormat="1" applyFont="1" applyFill="1" applyBorder="1" applyAlignment="1">
      <alignment vertical="top"/>
    </xf>
    <xf numFmtId="0" fontId="0" fillId="0" borderId="21" xfId="0" applyNumberFormat="1" applyBorder="1" applyAlignment="1">
      <alignment horizontal="left" vertical="top" wrapText="1"/>
    </xf>
    <xf numFmtId="0" fontId="0" fillId="0" borderId="0" xfId="0" applyNumberFormat="1" applyBorder="1" applyAlignment="1">
      <alignment horizontal="left" vertical="top" wrapText="1"/>
    </xf>
    <xf numFmtId="0" fontId="0" fillId="0" borderId="80" xfId="0" applyNumberFormat="1" applyBorder="1" applyAlignment="1">
      <alignment horizontal="left" vertical="top" wrapText="1"/>
    </xf>
    <xf numFmtId="0" fontId="77" fillId="12" borderId="86" xfId="0" applyNumberFormat="1" applyFont="1" applyFill="1" applyBorder="1" applyAlignment="1">
      <alignment horizontal="center" vertical="center" wrapText="1"/>
    </xf>
    <xf numFmtId="0" fontId="77" fillId="12" borderId="16" xfId="0" applyNumberFormat="1" applyFont="1" applyFill="1" applyBorder="1" applyAlignment="1">
      <alignment horizontal="center" vertical="center" wrapText="1"/>
    </xf>
    <xf numFmtId="3" fontId="55" fillId="0" borderId="0" xfId="0" applyNumberFormat="1" applyFont="1" applyAlignment="1">
      <alignment horizontal="justify" wrapText="1"/>
    </xf>
    <xf numFmtId="3" fontId="59" fillId="0" borderId="0" xfId="0" applyNumberFormat="1" applyFont="1" applyFill="1" applyBorder="1" applyAlignment="1">
      <alignment horizontal="left" vertical="center" wrapText="1"/>
    </xf>
    <xf numFmtId="3" fontId="55" fillId="12" borderId="102" xfId="0" applyNumberFormat="1" applyFont="1" applyFill="1" applyBorder="1" applyAlignment="1">
      <alignment horizontal="center" vertical="center" wrapText="1"/>
    </xf>
    <xf numFmtId="3" fontId="55" fillId="12" borderId="21" xfId="0" applyNumberFormat="1" applyFont="1" applyFill="1" applyBorder="1" applyAlignment="1">
      <alignment horizontal="center" vertical="center" wrapText="1"/>
    </xf>
    <xf numFmtId="3" fontId="55" fillId="12" borderId="167" xfId="0" applyNumberFormat="1" applyFont="1" applyFill="1" applyBorder="1" applyAlignment="1">
      <alignment horizontal="center" vertical="center" wrapText="1"/>
    </xf>
    <xf numFmtId="3" fontId="55" fillId="12" borderId="104" xfId="0" applyNumberFormat="1" applyFont="1" applyFill="1" applyBorder="1" applyAlignment="1">
      <alignment horizontal="center" vertical="top" wrapText="1"/>
    </xf>
    <xf numFmtId="3" fontId="55" fillId="12" borderId="105" xfId="0" applyNumberFormat="1" applyFont="1" applyFill="1" applyBorder="1" applyAlignment="1">
      <alignment horizontal="center" vertical="top" wrapText="1"/>
    </xf>
    <xf numFmtId="3" fontId="55" fillId="12" borderId="75" xfId="0" applyNumberFormat="1" applyFont="1" applyFill="1" applyBorder="1" applyAlignment="1">
      <alignment horizontal="center" vertical="top" wrapText="1"/>
    </xf>
    <xf numFmtId="3" fontId="60" fillId="12" borderId="32" xfId="0" applyNumberFormat="1" applyFont="1" applyFill="1" applyBorder="1" applyAlignment="1">
      <alignment horizontal="center" vertical="center" wrapText="1"/>
    </xf>
    <xf numFmtId="3" fontId="60" fillId="12" borderId="36" xfId="0" applyNumberFormat="1" applyFont="1" applyFill="1" applyBorder="1" applyAlignment="1">
      <alignment horizontal="center" vertical="center" wrapText="1"/>
    </xf>
    <xf numFmtId="3" fontId="60" fillId="12" borderId="152" xfId="0" applyNumberFormat="1" applyFont="1" applyFill="1" applyBorder="1" applyAlignment="1">
      <alignment horizontal="center" vertical="center" wrapText="1"/>
    </xf>
    <xf numFmtId="3" fontId="60" fillId="12" borderId="37" xfId="0" applyNumberFormat="1" applyFont="1" applyFill="1" applyBorder="1" applyAlignment="1">
      <alignment horizontal="center" vertical="center" wrapText="1"/>
    </xf>
    <xf numFmtId="3" fontId="60" fillId="12" borderId="10" xfId="0" applyNumberFormat="1" applyFont="1" applyFill="1" applyBorder="1" applyAlignment="1">
      <alignment horizontal="center" vertical="center" wrapText="1"/>
    </xf>
    <xf numFmtId="3" fontId="60" fillId="12" borderId="12" xfId="0" applyNumberFormat="1" applyFont="1" applyFill="1" applyBorder="1" applyAlignment="1">
      <alignment horizontal="center" vertical="center" wrapText="1"/>
    </xf>
    <xf numFmtId="3" fontId="60" fillId="12" borderId="11" xfId="0" applyNumberFormat="1" applyFont="1" applyFill="1" applyBorder="1" applyAlignment="1">
      <alignment horizontal="center" vertical="center" wrapText="1"/>
    </xf>
    <xf numFmtId="3" fontId="60" fillId="12" borderId="156" xfId="0" applyNumberFormat="1" applyFont="1" applyFill="1" applyBorder="1" applyAlignment="1">
      <alignment horizontal="center" vertical="center" wrapText="1"/>
    </xf>
    <xf numFmtId="3" fontId="60" fillId="12" borderId="157" xfId="0" applyNumberFormat="1" applyFont="1" applyFill="1" applyBorder="1" applyAlignment="1">
      <alignment horizontal="center" vertical="center" wrapText="1"/>
    </xf>
    <xf numFmtId="1" fontId="63" fillId="21" borderId="65" xfId="0" applyNumberFormat="1" applyFont="1" applyFill="1" applyBorder="1" applyAlignment="1">
      <alignment horizontal="center" vertical="center"/>
    </xf>
    <xf numFmtId="1" fontId="63" fillId="21" borderId="5" xfId="0" applyNumberFormat="1" applyFont="1" applyFill="1" applyBorder="1" applyAlignment="1">
      <alignment horizontal="center" vertical="center"/>
    </xf>
    <xf numFmtId="1" fontId="63" fillId="21" borderId="66" xfId="0" applyNumberFormat="1" applyFont="1" applyFill="1" applyBorder="1" applyAlignment="1">
      <alignment horizontal="center" vertical="center"/>
    </xf>
    <xf numFmtId="1" fontId="63" fillId="21" borderId="0" xfId="0" applyNumberFormat="1" applyFont="1" applyFill="1" applyBorder="1" applyAlignment="1">
      <alignment horizontal="center" vertical="center"/>
    </xf>
    <xf numFmtId="3" fontId="62" fillId="18" borderId="43" xfId="0" applyNumberFormat="1" applyFont="1" applyFill="1" applyBorder="1" applyAlignment="1">
      <alignment horizontal="center" vertical="center"/>
    </xf>
    <xf numFmtId="1" fontId="63" fillId="18" borderId="52" xfId="0" applyNumberFormat="1" applyFont="1" applyFill="1" applyBorder="1" applyAlignment="1">
      <alignment horizontal="center" vertical="center"/>
    </xf>
    <xf numFmtId="1" fontId="31" fillId="0" borderId="0" xfId="0" applyNumberFormat="1" applyFont="1" applyBorder="1" applyAlignment="1">
      <alignment horizontal="justify"/>
    </xf>
    <xf numFmtId="1" fontId="59" fillId="0" borderId="0" xfId="0" applyNumberFormat="1" applyFont="1" applyFill="1" applyBorder="1" applyAlignment="1">
      <alignment horizontal="left" vertical="center" wrapText="1"/>
    </xf>
    <xf numFmtId="1" fontId="55" fillId="12" borderId="29" xfId="0" applyNumberFormat="1" applyFont="1" applyFill="1" applyBorder="1" applyAlignment="1">
      <alignment horizontal="center" vertical="center" wrapText="1"/>
    </xf>
    <xf numFmtId="1" fontId="55" fillId="12" borderId="66" xfId="0" applyNumberFormat="1" applyFont="1" applyFill="1" applyBorder="1" applyAlignment="1">
      <alignment horizontal="center" vertical="center" wrapText="1"/>
    </xf>
    <xf numFmtId="1" fontId="55" fillId="12" borderId="25" xfId="0" applyNumberFormat="1" applyFont="1" applyFill="1" applyBorder="1" applyAlignment="1">
      <alignment horizontal="center" vertical="top" wrapText="1"/>
    </xf>
    <xf numFmtId="1" fontId="55" fillId="12" borderId="26" xfId="0" applyNumberFormat="1" applyFont="1" applyFill="1" applyBorder="1" applyAlignment="1">
      <alignment horizontal="center" vertical="top" wrapText="1"/>
    </xf>
    <xf numFmtId="1" fontId="55" fillId="12" borderId="30" xfId="0" applyNumberFormat="1" applyFont="1" applyFill="1" applyBorder="1" applyAlignment="1">
      <alignment horizontal="center" vertical="top" wrapText="1"/>
    </xf>
    <xf numFmtId="1" fontId="60" fillId="12" borderId="32" xfId="0" applyNumberFormat="1" applyFont="1" applyFill="1" applyBorder="1" applyAlignment="1">
      <alignment horizontal="center" vertical="center" wrapText="1"/>
    </xf>
    <xf numFmtId="1" fontId="60" fillId="12" borderId="36" xfId="0" applyNumberFormat="1" applyFont="1" applyFill="1" applyBorder="1" applyAlignment="1">
      <alignment horizontal="center" vertical="center" wrapText="1"/>
    </xf>
    <xf numFmtId="1" fontId="60" fillId="12" borderId="152" xfId="0" applyNumberFormat="1" applyFont="1" applyFill="1" applyBorder="1" applyAlignment="1">
      <alignment horizontal="center" vertical="center" wrapText="1"/>
    </xf>
    <xf numFmtId="1" fontId="60" fillId="12" borderId="37" xfId="0" applyNumberFormat="1" applyFont="1" applyFill="1" applyBorder="1" applyAlignment="1">
      <alignment horizontal="center" vertical="center" wrapText="1"/>
    </xf>
    <xf numFmtId="1" fontId="60" fillId="12" borderId="10" xfId="0" applyNumberFormat="1" applyFont="1" applyFill="1" applyBorder="1" applyAlignment="1">
      <alignment horizontal="center" vertical="center" wrapText="1"/>
    </xf>
    <xf numFmtId="1" fontId="60" fillId="12" borderId="12" xfId="0" applyNumberFormat="1" applyFont="1" applyFill="1" applyBorder="1" applyAlignment="1">
      <alignment horizontal="center" vertical="center" wrapText="1"/>
    </xf>
    <xf numFmtId="1" fontId="60" fillId="12" borderId="11" xfId="0" applyNumberFormat="1" applyFont="1" applyFill="1" applyBorder="1" applyAlignment="1">
      <alignment horizontal="center" vertical="center" wrapText="1"/>
    </xf>
    <xf numFmtId="1" fontId="60" fillId="12" borderId="42" xfId="0" applyNumberFormat="1" applyFont="1" applyFill="1" applyBorder="1" applyAlignment="1">
      <alignment horizontal="center" vertical="center" wrapText="1"/>
    </xf>
    <xf numFmtId="1" fontId="60" fillId="12" borderId="35" xfId="0" applyNumberFormat="1" applyFont="1" applyFill="1" applyBorder="1" applyAlignment="1">
      <alignment horizontal="center" vertical="center" wrapText="1"/>
    </xf>
    <xf numFmtId="1" fontId="60" fillId="12" borderId="31" xfId="0" applyNumberFormat="1" applyFont="1" applyFill="1" applyBorder="1" applyAlignment="1">
      <alignment horizontal="center" vertical="center" wrapText="1"/>
    </xf>
    <xf numFmtId="1" fontId="60" fillId="12" borderId="29" xfId="0" applyNumberFormat="1" applyFont="1" applyFill="1" applyBorder="1" applyAlignment="1">
      <alignment horizontal="center" vertical="center" wrapText="1"/>
    </xf>
    <xf numFmtId="1" fontId="60" fillId="12" borderId="45" xfId="0" applyNumberFormat="1" applyFont="1" applyFill="1" applyBorder="1" applyAlignment="1">
      <alignment horizontal="center" vertical="center" wrapText="1"/>
    </xf>
    <xf numFmtId="1" fontId="60" fillId="12" borderId="72" xfId="0" applyNumberFormat="1" applyFont="1" applyFill="1" applyBorder="1" applyAlignment="1">
      <alignment horizontal="center" vertical="center" wrapText="1"/>
    </xf>
    <xf numFmtId="1" fontId="60" fillId="12" borderId="41" xfId="0" applyNumberFormat="1" applyFont="1" applyFill="1" applyBorder="1" applyAlignment="1">
      <alignment horizontal="center" vertical="center" wrapText="1"/>
    </xf>
    <xf numFmtId="1" fontId="55" fillId="12" borderId="69" xfId="0" applyNumberFormat="1" applyFont="1" applyFill="1" applyBorder="1" applyAlignment="1">
      <alignment horizontal="center" vertical="center"/>
    </xf>
    <xf numFmtId="1" fontId="55" fillId="12" borderId="70" xfId="0" applyNumberFormat="1" applyFont="1" applyFill="1" applyBorder="1" applyAlignment="1">
      <alignment horizontal="center" vertical="center"/>
    </xf>
    <xf numFmtId="1" fontId="55" fillId="12" borderId="71" xfId="0" applyNumberFormat="1" applyFont="1" applyFill="1" applyBorder="1" applyAlignment="1">
      <alignment horizontal="center" vertical="center"/>
    </xf>
    <xf numFmtId="1" fontId="60" fillId="12" borderId="25" xfId="0" applyNumberFormat="1" applyFont="1" applyFill="1" applyBorder="1" applyAlignment="1">
      <alignment horizontal="center" vertical="center" wrapText="1"/>
    </xf>
    <xf numFmtId="1" fontId="60" fillId="12" borderId="30" xfId="0" applyNumberFormat="1" applyFont="1" applyFill="1" applyBorder="1" applyAlignment="1">
      <alignment horizontal="center" vertical="center" wrapText="1"/>
    </xf>
    <xf numFmtId="1" fontId="63" fillId="12" borderId="48" xfId="0" applyNumberFormat="1" applyFont="1" applyFill="1" applyBorder="1" applyAlignment="1">
      <alignment horizontal="center" vertical="center" wrapText="1"/>
    </xf>
    <xf numFmtId="1" fontId="63" fillId="12" borderId="61" xfId="0" applyNumberFormat="1" applyFont="1" applyFill="1" applyBorder="1" applyAlignment="1">
      <alignment horizontal="center" vertical="center" wrapText="1"/>
    </xf>
    <xf numFmtId="1" fontId="63" fillId="12" borderId="18" xfId="0" applyNumberFormat="1" applyFont="1" applyFill="1" applyBorder="1" applyAlignment="1">
      <alignment horizontal="center" vertical="center" wrapText="1"/>
    </xf>
    <xf numFmtId="1" fontId="12" fillId="21" borderId="56" xfId="0" applyNumberFormat="1" applyFont="1" applyFill="1" applyBorder="1" applyAlignment="1">
      <alignment horizontal="center" vertical="center"/>
    </xf>
    <xf numFmtId="1" fontId="12" fillId="21" borderId="0" xfId="0" applyNumberFormat="1" applyFont="1" applyFill="1" applyBorder="1" applyAlignment="1">
      <alignment horizontal="center" vertical="center"/>
    </xf>
    <xf numFmtId="1" fontId="12" fillId="21" borderId="61" xfId="0" applyNumberFormat="1" applyFont="1" applyFill="1" applyBorder="1" applyAlignment="1">
      <alignment horizontal="center" vertical="center"/>
    </xf>
    <xf numFmtId="1" fontId="12" fillId="21" borderId="45" xfId="0" applyNumberFormat="1" applyFont="1" applyFill="1" applyBorder="1" applyAlignment="1">
      <alignment horizontal="center" vertical="center"/>
    </xf>
    <xf numFmtId="1" fontId="12" fillId="21" borderId="34" xfId="0" applyNumberFormat="1" applyFont="1" applyFill="1" applyBorder="1" applyAlignment="1">
      <alignment horizontal="center" vertical="center"/>
    </xf>
    <xf numFmtId="1" fontId="12" fillId="21" borderId="193" xfId="0" applyNumberFormat="1" applyFont="1" applyFill="1" applyBorder="1" applyAlignment="1">
      <alignment horizontal="center" vertical="center"/>
    </xf>
    <xf numFmtId="1" fontId="60" fillId="12" borderId="56" xfId="0" applyNumberFormat="1" applyFont="1" applyFill="1" applyBorder="1" applyAlignment="1">
      <alignment horizontal="center" vertical="center" wrapText="1"/>
    </xf>
    <xf numFmtId="1" fontId="60" fillId="12" borderId="66" xfId="0" applyNumberFormat="1" applyFont="1" applyFill="1" applyBorder="1" applyAlignment="1">
      <alignment horizontal="center" vertical="center" wrapText="1"/>
    </xf>
    <xf numFmtId="1" fontId="60" fillId="12" borderId="34" xfId="0" applyNumberFormat="1" applyFont="1" applyFill="1" applyBorder="1" applyAlignment="1">
      <alignment horizontal="center" vertical="center" wrapText="1"/>
    </xf>
    <xf numFmtId="1" fontId="55" fillId="12" borderId="19" xfId="0" applyNumberFormat="1" applyFont="1" applyFill="1" applyBorder="1" applyAlignment="1">
      <alignment horizontal="center" vertical="center"/>
    </xf>
    <xf numFmtId="1" fontId="55" fillId="12" borderId="86" xfId="0" applyNumberFormat="1" applyFont="1" applyFill="1" applyBorder="1" applyAlignment="1">
      <alignment horizontal="center" vertical="center"/>
    </xf>
    <xf numFmtId="1" fontId="55" fillId="12" borderId="16" xfId="0" applyNumberFormat="1" applyFont="1" applyFill="1" applyBorder="1" applyAlignment="1">
      <alignment horizontal="center" vertical="center"/>
    </xf>
    <xf numFmtId="1" fontId="60" fillId="21" borderId="52" xfId="0" applyNumberFormat="1" applyFont="1" applyFill="1" applyBorder="1" applyAlignment="1">
      <alignment horizontal="center" vertical="center" wrapText="1"/>
    </xf>
    <xf numFmtId="1" fontId="60" fillId="21" borderId="0" xfId="0" applyNumberFormat="1" applyFont="1" applyFill="1" applyBorder="1" applyAlignment="1">
      <alignment horizontal="center" vertical="center" wrapText="1"/>
    </xf>
    <xf numFmtId="1" fontId="60" fillId="21" borderId="61" xfId="0" applyNumberFormat="1" applyFont="1" applyFill="1" applyBorder="1" applyAlignment="1">
      <alignment horizontal="center" vertical="center" wrapText="1"/>
    </xf>
    <xf numFmtId="1" fontId="12" fillId="21" borderId="101" xfId="0" applyNumberFormat="1" applyFont="1" applyFill="1" applyBorder="1" applyAlignment="1">
      <alignment horizontal="center" vertical="center"/>
    </xf>
    <xf numFmtId="1" fontId="12" fillId="21" borderId="80" xfId="0" applyNumberFormat="1" applyFont="1" applyFill="1" applyBorder="1" applyAlignment="1">
      <alignment horizontal="center" vertical="center"/>
    </xf>
    <xf numFmtId="1" fontId="12" fillId="21" borderId="18" xfId="0" applyNumberFormat="1" applyFont="1" applyFill="1" applyBorder="1" applyAlignment="1">
      <alignment horizontal="center" vertical="center"/>
    </xf>
    <xf numFmtId="1" fontId="12" fillId="21" borderId="79" xfId="0" applyNumberFormat="1" applyFont="1" applyFill="1" applyBorder="1" applyAlignment="1">
      <alignment horizontal="center" vertical="center"/>
    </xf>
    <xf numFmtId="1" fontId="12" fillId="21" borderId="21" xfId="0" applyNumberFormat="1" applyFont="1" applyFill="1" applyBorder="1" applyAlignment="1">
      <alignment horizontal="center" vertical="center"/>
    </xf>
    <xf numFmtId="1" fontId="12" fillId="21" borderId="103" xfId="0" applyNumberFormat="1" applyFont="1" applyFill="1" applyBorder="1" applyAlignment="1">
      <alignment horizontal="center" vertical="center"/>
    </xf>
    <xf numFmtId="1" fontId="12" fillId="21" borderId="102" xfId="0" applyNumberFormat="1" applyFont="1" applyFill="1" applyBorder="1" applyAlignment="1">
      <alignment horizontal="center" vertical="center"/>
    </xf>
    <xf numFmtId="1" fontId="12" fillId="21" borderId="52" xfId="0" applyNumberFormat="1" applyFont="1" applyFill="1" applyBorder="1" applyAlignment="1">
      <alignment horizontal="center" vertical="center"/>
    </xf>
    <xf numFmtId="1" fontId="12" fillId="21" borderId="42" xfId="0" applyNumberFormat="1" applyFont="1" applyFill="1" applyBorder="1" applyAlignment="1">
      <alignment horizontal="center" vertical="center"/>
    </xf>
    <xf numFmtId="1" fontId="12" fillId="21" borderId="31" xfId="0" applyNumberFormat="1" applyFont="1" applyFill="1" applyBorder="1" applyAlignment="1">
      <alignment horizontal="center" vertical="center"/>
    </xf>
    <xf numFmtId="1" fontId="12" fillId="21" borderId="35" xfId="0" applyNumberFormat="1" applyFont="1" applyFill="1" applyBorder="1" applyAlignment="1">
      <alignment horizontal="center" vertical="center"/>
    </xf>
    <xf numFmtId="1" fontId="63" fillId="12" borderId="49" xfId="0" applyNumberFormat="1" applyFont="1" applyFill="1" applyBorder="1" applyAlignment="1">
      <alignment horizontal="center" vertical="center" wrapText="1"/>
    </xf>
    <xf numFmtId="1" fontId="63" fillId="12" borderId="86" xfId="0" applyNumberFormat="1" applyFont="1" applyFill="1" applyBorder="1" applyAlignment="1">
      <alignment horizontal="center" vertical="center" wrapText="1"/>
    </xf>
    <xf numFmtId="1" fontId="63" fillId="12" borderId="16" xfId="0" applyNumberFormat="1" applyFont="1" applyFill="1" applyBorder="1" applyAlignment="1">
      <alignment horizontal="center" vertical="center" wrapText="1"/>
    </xf>
    <xf numFmtId="1" fontId="60" fillId="12" borderId="195" xfId="0" applyNumberFormat="1" applyFont="1" applyFill="1" applyBorder="1" applyAlignment="1">
      <alignment horizontal="center" vertical="center" wrapText="1"/>
    </xf>
    <xf numFmtId="1" fontId="60" fillId="12" borderId="196" xfId="0" applyNumberFormat="1" applyFont="1" applyFill="1" applyBorder="1" applyAlignment="1">
      <alignment horizontal="center" vertical="center" wrapText="1"/>
    </xf>
    <xf numFmtId="1" fontId="60" fillId="12" borderId="38" xfId="0" applyNumberFormat="1" applyFont="1" applyFill="1" applyBorder="1" applyAlignment="1">
      <alignment horizontal="center" vertical="center" wrapText="1"/>
    </xf>
    <xf numFmtId="1" fontId="60" fillId="12" borderId="60" xfId="0" applyNumberFormat="1" applyFont="1" applyFill="1" applyBorder="1" applyAlignment="1">
      <alignment horizontal="center" vertical="center" wrapText="1"/>
    </xf>
    <xf numFmtId="1" fontId="60" fillId="12" borderId="59" xfId="0" applyNumberFormat="1" applyFont="1" applyFill="1" applyBorder="1" applyAlignment="1">
      <alignment horizontal="center" vertical="center" wrapText="1"/>
    </xf>
    <xf numFmtId="1" fontId="60" fillId="12" borderId="68" xfId="0" applyNumberFormat="1" applyFont="1" applyFill="1" applyBorder="1" applyAlignment="1">
      <alignment horizontal="center" vertical="center" wrapText="1"/>
    </xf>
    <xf numFmtId="1" fontId="60" fillId="12" borderId="63" xfId="0" applyNumberFormat="1" applyFont="1" applyFill="1" applyBorder="1" applyAlignment="1">
      <alignment horizontal="center" vertical="center" wrapText="1"/>
    </xf>
    <xf numFmtId="1" fontId="72" fillId="12" borderId="76" xfId="0" applyNumberFormat="1" applyFont="1" applyFill="1" applyBorder="1" applyAlignment="1">
      <alignment horizontal="center" vertical="center" wrapText="1"/>
    </xf>
    <xf numFmtId="3" fontId="40" fillId="12" borderId="180" xfId="0" applyNumberFormat="1" applyFont="1" applyFill="1" applyBorder="1" applyAlignment="1">
      <alignment horizontal="center" vertical="center" wrapText="1"/>
    </xf>
    <xf numFmtId="3" fontId="40" fillId="12" borderId="181" xfId="0" applyNumberFormat="1" applyFont="1" applyFill="1" applyBorder="1" applyAlignment="1">
      <alignment horizontal="center" vertical="top" wrapText="1"/>
    </xf>
    <xf numFmtId="3" fontId="40" fillId="12" borderId="182" xfId="0" applyNumberFormat="1" applyFont="1" applyFill="1" applyBorder="1" applyAlignment="1">
      <alignment horizontal="center" vertical="top" wrapText="1"/>
    </xf>
    <xf numFmtId="3" fontId="41" fillId="12" borderId="8" xfId="0" applyNumberFormat="1" applyFont="1" applyFill="1" applyBorder="1" applyAlignment="1">
      <alignment horizontal="center" vertical="center" wrapText="1"/>
    </xf>
    <xf numFmtId="3" fontId="41" fillId="12" borderId="11" xfId="0" applyNumberFormat="1" applyFont="1" applyFill="1" applyBorder="1" applyAlignment="1">
      <alignment horizontal="center" vertical="center" wrapText="1"/>
    </xf>
    <xf numFmtId="3" fontId="41" fillId="12" borderId="9" xfId="0" applyNumberFormat="1" applyFont="1" applyFill="1" applyBorder="1" applyAlignment="1">
      <alignment horizontal="center" vertical="center" wrapText="1"/>
    </xf>
    <xf numFmtId="3" fontId="41" fillId="12" borderId="13" xfId="0" applyNumberFormat="1" applyFont="1" applyFill="1" applyBorder="1" applyAlignment="1">
      <alignment horizontal="center" vertical="center" wrapText="1"/>
    </xf>
    <xf numFmtId="3" fontId="41" fillId="12" borderId="10" xfId="0" applyNumberFormat="1" applyFont="1" applyFill="1" applyBorder="1" applyAlignment="1">
      <alignment horizontal="center" vertical="center" wrapText="1"/>
    </xf>
    <xf numFmtId="3" fontId="41" fillId="12" borderId="12" xfId="0" applyNumberFormat="1" applyFont="1" applyFill="1" applyBorder="1" applyAlignment="1">
      <alignment horizontal="center" vertical="center" wrapText="1"/>
    </xf>
    <xf numFmtId="3" fontId="111" fillId="12" borderId="180" xfId="0" applyNumberFormat="1" applyFont="1" applyFill="1" applyBorder="1" applyAlignment="1">
      <alignment horizontal="center" vertical="center" wrapText="1"/>
    </xf>
    <xf numFmtId="3" fontId="111" fillId="12" borderId="181" xfId="0" applyNumberFormat="1" applyFont="1" applyFill="1" applyBorder="1" applyAlignment="1">
      <alignment horizontal="center" vertical="top" wrapText="1"/>
    </xf>
    <xf numFmtId="3" fontId="111" fillId="12" borderId="182" xfId="0" applyNumberFormat="1" applyFont="1" applyFill="1" applyBorder="1" applyAlignment="1">
      <alignment horizontal="center" vertical="top" wrapText="1"/>
    </xf>
    <xf numFmtId="3" fontId="111" fillId="12" borderId="8" xfId="0" applyNumberFormat="1" applyFont="1" applyFill="1" applyBorder="1" applyAlignment="1">
      <alignment horizontal="center" vertical="center" wrapText="1"/>
    </xf>
    <xf numFmtId="3" fontId="111" fillId="12" borderId="11" xfId="0" applyNumberFormat="1" applyFont="1" applyFill="1" applyBorder="1" applyAlignment="1">
      <alignment horizontal="center" vertical="center" wrapText="1"/>
    </xf>
    <xf numFmtId="3" fontId="111" fillId="12" borderId="9" xfId="0" applyNumberFormat="1" applyFont="1" applyFill="1" applyBorder="1" applyAlignment="1">
      <alignment horizontal="center" vertical="center" wrapText="1"/>
    </xf>
    <xf numFmtId="3" fontId="111" fillId="12" borderId="13" xfId="0" applyNumberFormat="1" applyFont="1" applyFill="1" applyBorder="1" applyAlignment="1">
      <alignment horizontal="center" vertical="center" wrapText="1"/>
    </xf>
    <xf numFmtId="3" fontId="111" fillId="12" borderId="10" xfId="0" applyNumberFormat="1" applyFont="1" applyFill="1" applyBorder="1" applyAlignment="1">
      <alignment horizontal="center" vertical="center" wrapText="1"/>
    </xf>
    <xf numFmtId="3" fontId="111" fillId="12" borderId="12" xfId="0" applyNumberFormat="1" applyFont="1" applyFill="1" applyBorder="1" applyAlignment="1">
      <alignment horizontal="center" vertical="center" wrapText="1"/>
    </xf>
    <xf numFmtId="1" fontId="47" fillId="12" borderId="199" xfId="0" applyNumberFormat="1" applyFont="1" applyFill="1" applyBorder="1" applyAlignment="1">
      <alignment horizontal="left" vertical="center" wrapText="1"/>
    </xf>
    <xf numFmtId="1" fontId="47" fillId="12" borderId="199" xfId="0" applyNumberFormat="1" applyFont="1" applyFill="1" applyBorder="1" applyAlignment="1">
      <alignment horizontal="center" vertical="center" wrapText="1"/>
    </xf>
    <xf numFmtId="1" fontId="115" fillId="12" borderId="199" xfId="0" applyNumberFormat="1" applyFont="1" applyFill="1" applyBorder="1" applyAlignment="1">
      <alignment horizontal="center" vertical="center"/>
    </xf>
    <xf numFmtId="1" fontId="26" fillId="12" borderId="199" xfId="0" applyNumberFormat="1" applyFont="1" applyFill="1" applyBorder="1" applyAlignment="1">
      <alignment horizontal="center" vertical="center" wrapText="1"/>
    </xf>
    <xf numFmtId="1" fontId="119" fillId="12" borderId="199" xfId="0" applyNumberFormat="1" applyFont="1" applyFill="1" applyBorder="1" applyAlignment="1">
      <alignment horizontal="center" vertical="center" wrapText="1"/>
    </xf>
    <xf numFmtId="3" fontId="40" fillId="12" borderId="15" xfId="0" applyNumberFormat="1" applyFont="1" applyFill="1" applyBorder="1" applyAlignment="1">
      <alignment horizontal="center" vertical="center" wrapText="1"/>
    </xf>
    <xf numFmtId="3" fontId="40" fillId="12" borderId="25" xfId="0" applyNumberFormat="1" applyFont="1" applyFill="1" applyBorder="1" applyAlignment="1">
      <alignment horizontal="center" vertical="top" wrapText="1"/>
    </xf>
    <xf numFmtId="3" fontId="40" fillId="12" borderId="26" xfId="0" applyNumberFormat="1" applyFont="1" applyFill="1" applyBorder="1" applyAlignment="1">
      <alignment horizontal="center" vertical="top" wrapText="1"/>
    </xf>
    <xf numFmtId="3" fontId="41" fillId="12" borderId="6" xfId="0" applyNumberFormat="1" applyFont="1" applyFill="1" applyBorder="1" applyAlignment="1">
      <alignment horizontal="center" vertical="center" wrapText="1"/>
    </xf>
    <xf numFmtId="3" fontId="41" fillId="12" borderId="27" xfId="0" applyNumberFormat="1" applyFont="1" applyFill="1" applyBorder="1" applyAlignment="1">
      <alignment horizontal="center" vertical="center" wrapText="1"/>
    </xf>
    <xf numFmtId="3" fontId="41" fillId="12" borderId="14" xfId="0" applyNumberFormat="1" applyFont="1" applyFill="1" applyBorder="1" applyAlignment="1">
      <alignment horizontal="center" vertical="center" wrapText="1"/>
    </xf>
    <xf numFmtId="3" fontId="41" fillId="12" borderId="28" xfId="0" applyNumberFormat="1" applyFont="1" applyFill="1" applyBorder="1" applyAlignment="1">
      <alignment horizontal="center" vertical="center" wrapText="1"/>
    </xf>
    <xf numFmtId="3" fontId="90" fillId="0" borderId="0" xfId="0" applyNumberFormat="1" applyFont="1" applyBorder="1" applyAlignment="1">
      <alignment horizontal="center" vertical="top"/>
    </xf>
    <xf numFmtId="3" fontId="63" fillId="0" borderId="0" xfId="0" applyNumberFormat="1" applyFont="1" applyFill="1" applyBorder="1" applyAlignment="1">
      <alignment horizontal="center" vertical="center" wrapText="1"/>
    </xf>
    <xf numFmtId="3" fontId="101" fillId="0" borderId="0" xfId="0" applyNumberFormat="1" applyFont="1" applyFill="1" applyBorder="1" applyAlignment="1">
      <alignment horizontal="center" vertical="center" wrapText="1"/>
    </xf>
    <xf numFmtId="0" fontId="10" fillId="23" borderId="3" xfId="2" applyNumberFormat="1" applyFont="1" applyFill="1" applyBorder="1" applyAlignment="1">
      <alignment horizontal="center" vertical="center"/>
    </xf>
    <xf numFmtId="0" fontId="11" fillId="23" borderId="5" xfId="2" applyNumberFormat="1" applyFont="1" applyFill="1" applyBorder="1" applyAlignment="1">
      <alignment horizontal="center" vertical="center"/>
    </xf>
    <xf numFmtId="0" fontId="11" fillId="23" borderId="7" xfId="2" applyNumberFormat="1" applyFont="1" applyFill="1" applyBorder="1" applyAlignment="1">
      <alignment horizontal="center" vertical="center"/>
    </xf>
    <xf numFmtId="0" fontId="11" fillId="23" borderId="0" xfId="2" applyNumberFormat="1" applyFont="1" applyFill="1" applyBorder="1" applyAlignment="1">
      <alignment horizontal="center" vertical="center"/>
    </xf>
    <xf numFmtId="0" fontId="11" fillId="23" borderId="10" xfId="2" applyNumberFormat="1" applyFont="1" applyFill="1" applyBorder="1" applyAlignment="1">
      <alignment horizontal="center" vertical="center"/>
    </xf>
    <xf numFmtId="0" fontId="11" fillId="23" borderId="12" xfId="2" applyNumberFormat="1" applyFont="1" applyFill="1" applyBorder="1" applyAlignment="1">
      <alignment horizontal="center" vertical="center"/>
    </xf>
    <xf numFmtId="170" fontId="55" fillId="12" borderId="19" xfId="0" applyFont="1" applyFill="1" applyBorder="1" applyAlignment="1">
      <alignment horizontal="left" vertical="center" wrapText="1"/>
    </xf>
    <xf numFmtId="170" fontId="55" fillId="12" borderId="86" xfId="0" applyFont="1" applyFill="1" applyBorder="1" applyAlignment="1">
      <alignment horizontal="left" vertical="center" wrapText="1"/>
    </xf>
    <xf numFmtId="0" fontId="40" fillId="12" borderId="15" xfId="0" applyNumberFormat="1" applyFont="1" applyFill="1" applyBorder="1" applyAlignment="1">
      <alignment horizontal="center" vertical="center" wrapText="1"/>
    </xf>
    <xf numFmtId="0" fontId="40" fillId="12" borderId="25" xfId="0" applyNumberFormat="1" applyFont="1" applyFill="1" applyBorder="1" applyAlignment="1">
      <alignment horizontal="center" vertical="top" wrapText="1"/>
    </xf>
    <xf numFmtId="0" fontId="40" fillId="12" borderId="26" xfId="0" applyNumberFormat="1" applyFont="1" applyFill="1" applyBorder="1" applyAlignment="1">
      <alignment horizontal="center" vertical="top" wrapText="1"/>
    </xf>
    <xf numFmtId="0" fontId="41" fillId="12" borderId="6" xfId="0" applyNumberFormat="1" applyFont="1" applyFill="1" applyBorder="1" applyAlignment="1">
      <alignment horizontal="center" vertical="center" wrapText="1"/>
    </xf>
    <xf numFmtId="0" fontId="41" fillId="12" borderId="13" xfId="0" applyNumberFormat="1" applyFont="1" applyFill="1" applyBorder="1" applyAlignment="1">
      <alignment horizontal="center" vertical="center" wrapText="1"/>
    </xf>
    <xf numFmtId="0" fontId="41" fillId="12" borderId="27" xfId="0" applyNumberFormat="1" applyFont="1" applyFill="1" applyBorder="1" applyAlignment="1">
      <alignment horizontal="center" vertical="center" wrapText="1"/>
    </xf>
    <xf numFmtId="0" fontId="41" fillId="12" borderId="14" xfId="0" applyNumberFormat="1" applyFont="1" applyFill="1" applyBorder="1" applyAlignment="1">
      <alignment horizontal="center" vertical="center" wrapText="1"/>
    </xf>
    <xf numFmtId="0" fontId="41" fillId="12" borderId="28" xfId="0" applyNumberFormat="1" applyFont="1" applyFill="1" applyBorder="1" applyAlignment="1">
      <alignment horizontal="center" vertical="center" wrapText="1"/>
    </xf>
    <xf numFmtId="170" fontId="40" fillId="12" borderId="89" xfId="0" applyFont="1" applyFill="1" applyBorder="1" applyAlignment="1">
      <alignment horizontal="center" vertical="center" wrapText="1"/>
    </xf>
    <xf numFmtId="170" fontId="40" fillId="12" borderId="91" xfId="0" applyFont="1" applyFill="1" applyBorder="1" applyAlignment="1">
      <alignment horizontal="center" vertical="center" wrapText="1"/>
    </xf>
    <xf numFmtId="170" fontId="40" fillId="12" borderId="93" xfId="0" applyFont="1" applyFill="1" applyBorder="1" applyAlignment="1">
      <alignment horizontal="center" vertical="center" wrapText="1"/>
    </xf>
    <xf numFmtId="170" fontId="40" fillId="12" borderId="90" xfId="0" applyFont="1" applyFill="1" applyBorder="1" applyAlignment="1">
      <alignment horizontal="center" vertical="center" wrapText="1"/>
    </xf>
    <xf numFmtId="170" fontId="40" fillId="12" borderId="92" xfId="0" applyFont="1" applyFill="1" applyBorder="1" applyAlignment="1">
      <alignment horizontal="center" vertical="center" wrapText="1"/>
    </xf>
    <xf numFmtId="170" fontId="40" fillId="12" borderId="17" xfId="0" applyFont="1" applyFill="1" applyBorder="1" applyAlignment="1">
      <alignment horizontal="center" vertical="center" wrapText="1"/>
    </xf>
    <xf numFmtId="170" fontId="40" fillId="12" borderId="15" xfId="0" applyFont="1" applyFill="1" applyBorder="1" applyAlignment="1">
      <alignment horizontal="center" vertical="center" wrapText="1"/>
    </xf>
    <xf numFmtId="170" fontId="40" fillId="12" borderId="25" xfId="0" applyFont="1" applyFill="1" applyBorder="1" applyAlignment="1">
      <alignment horizontal="center" vertical="top" wrapText="1"/>
    </xf>
    <xf numFmtId="170" fontId="40" fillId="12" borderId="26" xfId="0" applyFont="1" applyFill="1" applyBorder="1" applyAlignment="1">
      <alignment horizontal="center" vertical="top" wrapText="1"/>
    </xf>
    <xf numFmtId="170" fontId="41" fillId="12" borderId="6" xfId="0" applyFont="1" applyFill="1" applyBorder="1" applyAlignment="1">
      <alignment horizontal="center" vertical="center" wrapText="1"/>
    </xf>
    <xf numFmtId="170" fontId="41" fillId="12" borderId="13" xfId="0" applyFont="1" applyFill="1" applyBorder="1" applyAlignment="1">
      <alignment horizontal="center" vertical="center" wrapText="1"/>
    </xf>
    <xf numFmtId="170" fontId="41" fillId="12" borderId="27" xfId="0" applyFont="1" applyFill="1" applyBorder="1" applyAlignment="1">
      <alignment horizontal="center" vertical="center" wrapText="1"/>
    </xf>
    <xf numFmtId="170" fontId="41" fillId="12" borderId="14" xfId="0" applyFont="1" applyFill="1" applyBorder="1" applyAlignment="1">
      <alignment horizontal="center" vertical="center" wrapText="1"/>
    </xf>
    <xf numFmtId="170" fontId="41" fillId="12" borderId="28" xfId="0" applyFont="1" applyFill="1" applyBorder="1" applyAlignment="1">
      <alignment horizontal="center" vertical="center" wrapText="1"/>
    </xf>
    <xf numFmtId="0" fontId="41" fillId="12" borderId="42" xfId="0" applyNumberFormat="1" applyFont="1" applyFill="1" applyBorder="1" applyAlignment="1" applyProtection="1">
      <alignment horizontal="center" vertical="center" wrapText="1"/>
    </xf>
    <xf numFmtId="0" fontId="41" fillId="12" borderId="31" xfId="0" applyNumberFormat="1" applyFont="1" applyFill="1" applyBorder="1" applyAlignment="1" applyProtection="1">
      <alignment horizontal="center" vertical="center" wrapText="1"/>
    </xf>
    <xf numFmtId="0" fontId="41" fillId="12" borderId="35" xfId="0" applyNumberFormat="1" applyFont="1" applyFill="1" applyBorder="1" applyAlignment="1" applyProtection="1">
      <alignment horizontal="center" vertical="center" wrapText="1"/>
    </xf>
    <xf numFmtId="0" fontId="41" fillId="12" borderId="29" xfId="0" applyNumberFormat="1" applyFont="1" applyFill="1" applyBorder="1" applyAlignment="1" applyProtection="1">
      <alignment horizontal="center" vertical="center" wrapText="1"/>
    </xf>
    <xf numFmtId="0" fontId="41" fillId="12" borderId="72" xfId="0" applyNumberFormat="1" applyFont="1" applyFill="1" applyBorder="1" applyAlignment="1" applyProtection="1">
      <alignment horizontal="center" vertical="center" wrapText="1"/>
    </xf>
    <xf numFmtId="170" fontId="1" fillId="12" borderId="48" xfId="0" applyFont="1" applyFill="1" applyBorder="1" applyAlignment="1" applyProtection="1">
      <alignment horizontal="center" vertical="center" wrapText="1"/>
    </xf>
    <xf numFmtId="170" fontId="1" fillId="12" borderId="61" xfId="0" applyFont="1" applyFill="1" applyBorder="1" applyAlignment="1" applyProtection="1">
      <alignment horizontal="center" vertical="center" wrapText="1"/>
    </xf>
    <xf numFmtId="170" fontId="1" fillId="12" borderId="18" xfId="0" applyFont="1" applyFill="1" applyBorder="1" applyAlignment="1" applyProtection="1">
      <alignment horizontal="center" vertical="center" wrapText="1"/>
    </xf>
    <xf numFmtId="0" fontId="41" fillId="12" borderId="8" xfId="0" applyNumberFormat="1" applyFont="1" applyFill="1" applyBorder="1" applyAlignment="1" applyProtection="1">
      <alignment horizontal="center" vertical="center" wrapText="1"/>
    </xf>
    <xf numFmtId="0" fontId="41" fillId="12" borderId="68" xfId="0" applyNumberFormat="1" applyFont="1" applyFill="1" applyBorder="1" applyAlignment="1" applyProtection="1">
      <alignment horizontal="center" vertical="center" wrapText="1"/>
    </xf>
    <xf numFmtId="0" fontId="41" fillId="12" borderId="9" xfId="0" applyNumberFormat="1" applyFont="1" applyFill="1" applyBorder="1" applyAlignment="1" applyProtection="1">
      <alignment horizontal="center" vertical="center" wrapText="1"/>
    </xf>
    <xf numFmtId="0" fontId="41" fillId="12" borderId="37" xfId="0" applyNumberFormat="1" applyFont="1" applyFill="1" applyBorder="1" applyAlignment="1" applyProtection="1">
      <alignment horizontal="center" vertical="center" wrapText="1"/>
    </xf>
    <xf numFmtId="0" fontId="40" fillId="12" borderId="19" xfId="0" applyNumberFormat="1" applyFont="1" applyFill="1" applyBorder="1" applyAlignment="1" applyProtection="1">
      <alignment horizontal="center" vertical="center"/>
    </xf>
    <xf numFmtId="0" fontId="40" fillId="12" borderId="86" xfId="0" applyNumberFormat="1" applyFont="1" applyFill="1" applyBorder="1" applyAlignment="1" applyProtection="1">
      <alignment horizontal="center" vertical="center"/>
    </xf>
    <xf numFmtId="0" fontId="40" fillId="12" borderId="16" xfId="0" applyNumberFormat="1" applyFont="1" applyFill="1" applyBorder="1" applyAlignment="1" applyProtection="1">
      <alignment horizontal="center" vertical="center"/>
    </xf>
    <xf numFmtId="0" fontId="41" fillId="12" borderId="45" xfId="0" applyNumberFormat="1" applyFont="1" applyFill="1" applyBorder="1" applyAlignment="1" applyProtection="1">
      <alignment horizontal="center" vertical="center" wrapText="1"/>
    </xf>
    <xf numFmtId="0" fontId="41" fillId="12" borderId="34" xfId="0" applyNumberFormat="1" applyFont="1" applyFill="1" applyBorder="1" applyAlignment="1" applyProtection="1">
      <alignment horizontal="center" vertical="center" wrapText="1"/>
    </xf>
    <xf numFmtId="0" fontId="41" fillId="12" borderId="41" xfId="0" applyNumberFormat="1" applyFont="1" applyFill="1" applyBorder="1" applyAlignment="1" applyProtection="1">
      <alignment horizontal="center" vertical="center" wrapText="1"/>
    </xf>
    <xf numFmtId="0" fontId="41" fillId="12" borderId="66" xfId="0" applyNumberFormat="1" applyFont="1" applyFill="1" applyBorder="1" applyAlignment="1" applyProtection="1">
      <alignment horizontal="center" vertical="center" wrapText="1"/>
    </xf>
    <xf numFmtId="170" fontId="41" fillId="19" borderId="97" xfId="0" applyFont="1" applyFill="1" applyBorder="1" applyAlignment="1" applyProtection="1">
      <alignment horizontal="center" vertical="center"/>
    </xf>
    <xf numFmtId="170" fontId="41" fillId="19" borderId="96" xfId="0" applyFont="1" applyFill="1" applyBorder="1" applyAlignment="1" applyProtection="1">
      <alignment horizontal="center" vertical="center"/>
    </xf>
    <xf numFmtId="170" fontId="41" fillId="0" borderId="0" xfId="0" applyFont="1" applyFill="1" applyBorder="1" applyAlignment="1" applyProtection="1">
      <alignment horizontal="center" vertical="center" wrapText="1"/>
    </xf>
    <xf numFmtId="170" fontId="41" fillId="19" borderId="81" xfId="0" applyFont="1" applyFill="1" applyBorder="1" applyAlignment="1" applyProtection="1">
      <alignment horizontal="center" vertical="center"/>
    </xf>
    <xf numFmtId="170" fontId="41" fillId="19" borderId="46" xfId="0" applyFont="1" applyFill="1" applyBorder="1" applyAlignment="1" applyProtection="1">
      <alignment horizontal="center" vertical="center"/>
    </xf>
    <xf numFmtId="0" fontId="41" fillId="12" borderId="63" xfId="0" applyNumberFormat="1" applyFont="1" applyFill="1" applyBorder="1" applyAlignment="1" applyProtection="1">
      <alignment horizontal="center" vertical="center" wrapText="1"/>
    </xf>
    <xf numFmtId="0" fontId="41" fillId="12" borderId="76" xfId="0" applyNumberFormat="1" applyFont="1" applyFill="1" applyBorder="1" applyAlignment="1" applyProtection="1">
      <alignment horizontal="center" vertical="center" wrapText="1"/>
    </xf>
    <xf numFmtId="2" fontId="45" fillId="21" borderId="29" xfId="0" applyNumberFormat="1" applyFont="1" applyFill="1" applyBorder="1" applyAlignment="1" applyProtection="1">
      <alignment horizontal="center" vertical="center"/>
    </xf>
    <xf numFmtId="2" fontId="45" fillId="21" borderId="66" xfId="0" applyNumberFormat="1" applyFont="1" applyFill="1" applyBorder="1" applyAlignment="1" applyProtection="1">
      <alignment horizontal="center" vertical="center"/>
    </xf>
    <xf numFmtId="2" fontId="45" fillId="21" borderId="67" xfId="0" applyNumberFormat="1" applyFont="1" applyFill="1" applyBorder="1" applyAlignment="1" applyProtection="1">
      <alignment horizontal="center" vertical="center"/>
    </xf>
    <xf numFmtId="2" fontId="45" fillId="21" borderId="56" xfId="0" applyNumberFormat="1" applyFont="1" applyFill="1" applyBorder="1" applyAlignment="1" applyProtection="1">
      <alignment horizontal="center" vertical="center"/>
    </xf>
    <xf numFmtId="2" fontId="45" fillId="21" borderId="0" xfId="0" applyNumberFormat="1" applyFont="1" applyFill="1" applyBorder="1" applyAlignment="1" applyProtection="1">
      <alignment horizontal="center" vertical="center"/>
    </xf>
    <xf numFmtId="2" fontId="45" fillId="21" borderId="12" xfId="0" applyNumberFormat="1" applyFont="1" applyFill="1" applyBorder="1" applyAlignment="1" applyProtection="1">
      <alignment horizontal="center" vertical="center"/>
    </xf>
    <xf numFmtId="2" fontId="41" fillId="21" borderId="56" xfId="0" applyNumberFormat="1" applyFont="1" applyFill="1" applyBorder="1" applyAlignment="1" applyProtection="1">
      <alignment horizontal="center" vertical="center" wrapText="1"/>
    </xf>
    <xf numFmtId="2" fontId="41" fillId="21" borderId="0" xfId="0" applyNumberFormat="1" applyFont="1" applyFill="1" applyBorder="1" applyAlignment="1" applyProtection="1">
      <alignment horizontal="center" vertical="center" wrapText="1"/>
    </xf>
    <xf numFmtId="2" fontId="41" fillId="21" borderId="12" xfId="0" applyNumberFormat="1" applyFont="1" applyFill="1" applyBorder="1" applyAlignment="1" applyProtection="1">
      <alignment horizontal="center" vertical="center" wrapText="1"/>
    </xf>
    <xf numFmtId="2" fontId="45" fillId="21" borderId="78" xfId="0" applyNumberFormat="1" applyFont="1" applyFill="1" applyBorder="1" applyAlignment="1" applyProtection="1">
      <alignment horizontal="center" vertical="center"/>
    </xf>
    <xf numFmtId="2" fontId="45" fillId="21" borderId="80" xfId="0" applyNumberFormat="1" applyFont="1" applyFill="1" applyBorder="1" applyAlignment="1" applyProtection="1">
      <alignment horizontal="center" vertical="center"/>
    </xf>
    <xf numFmtId="2" fontId="45" fillId="21" borderId="82" xfId="0" applyNumberFormat="1" applyFont="1" applyFill="1" applyBorder="1" applyAlignment="1" applyProtection="1">
      <alignment horizontal="center" vertical="center"/>
    </xf>
    <xf numFmtId="2" fontId="45" fillId="21" borderId="79" xfId="0" applyNumberFormat="1" applyFont="1" applyFill="1" applyBorder="1" applyAlignment="1" applyProtection="1">
      <alignment horizontal="center" vertical="center"/>
    </xf>
    <xf numFmtId="2" fontId="45" fillId="21" borderId="21" xfId="0" applyNumberFormat="1" applyFont="1" applyFill="1" applyBorder="1" applyAlignment="1" applyProtection="1">
      <alignment horizontal="center" vertical="center"/>
    </xf>
    <xf numFmtId="2" fontId="45" fillId="21" borderId="83" xfId="0" applyNumberFormat="1" applyFont="1" applyFill="1" applyBorder="1" applyAlignment="1" applyProtection="1">
      <alignment horizontal="center" vertical="center"/>
    </xf>
    <xf numFmtId="170" fontId="41" fillId="19" borderId="155" xfId="0" applyFont="1" applyFill="1" applyBorder="1" applyAlignment="1" applyProtection="1">
      <alignment horizontal="center" vertical="center"/>
    </xf>
    <xf numFmtId="170" fontId="41" fillId="19" borderId="44" xfId="0" applyFont="1" applyFill="1" applyBorder="1" applyAlignment="1" applyProtection="1">
      <alignment horizontal="center" vertical="center"/>
    </xf>
    <xf numFmtId="170" fontId="41" fillId="0" borderId="0" xfId="0" applyFont="1" applyFill="1" applyBorder="1" applyAlignment="1" applyProtection="1">
      <alignment horizontal="right" vertical="center"/>
    </xf>
    <xf numFmtId="0" fontId="40" fillId="12" borderId="29" xfId="0" applyNumberFormat="1" applyFont="1" applyFill="1" applyBorder="1" applyAlignment="1" applyProtection="1">
      <alignment horizontal="center" vertical="center"/>
    </xf>
    <xf numFmtId="0" fontId="40" fillId="12" borderId="56" xfId="0" applyNumberFormat="1" applyFont="1" applyFill="1" applyBorder="1" applyAlignment="1" applyProtection="1">
      <alignment horizontal="center" vertical="center"/>
    </xf>
    <xf numFmtId="0" fontId="40" fillId="12" borderId="45" xfId="0" applyNumberFormat="1" applyFont="1" applyFill="1" applyBorder="1" applyAlignment="1" applyProtection="1">
      <alignment horizontal="center" vertical="center"/>
    </xf>
    <xf numFmtId="0" fontId="1" fillId="12" borderId="49" xfId="0" applyNumberFormat="1" applyFont="1" applyFill="1" applyBorder="1" applyAlignment="1" applyProtection="1">
      <alignment horizontal="center" vertical="center" wrapText="1"/>
    </xf>
    <xf numFmtId="0" fontId="1" fillId="12" borderId="86" xfId="0" applyNumberFormat="1" applyFont="1" applyFill="1" applyBorder="1" applyAlignment="1" applyProtection="1">
      <alignment horizontal="center" vertical="center" wrapText="1"/>
    </xf>
    <xf numFmtId="0" fontId="1" fillId="12" borderId="16" xfId="0" applyNumberFormat="1" applyFont="1" applyFill="1" applyBorder="1" applyAlignment="1" applyProtection="1">
      <alignment horizontal="center" vertical="center" wrapText="1"/>
    </xf>
    <xf numFmtId="0" fontId="41" fillId="12" borderId="59" xfId="0" applyNumberFormat="1" applyFont="1" applyFill="1" applyBorder="1" applyAlignment="1" applyProtection="1">
      <alignment horizontal="center" vertical="center" wrapText="1"/>
    </xf>
    <xf numFmtId="170" fontId="45" fillId="0" borderId="66" xfId="0" applyFont="1" applyBorder="1" applyAlignment="1" applyProtection="1">
      <alignment horizontal="right" vertical="center"/>
    </xf>
    <xf numFmtId="170" fontId="45" fillId="0" borderId="0" xfId="0" applyFont="1" applyBorder="1" applyAlignment="1" applyProtection="1">
      <alignment horizontal="right" vertical="center"/>
    </xf>
    <xf numFmtId="170" fontId="45" fillId="0" borderId="0" xfId="0" applyFont="1" applyFill="1" applyBorder="1" applyAlignment="1" applyProtection="1">
      <alignment horizontal="right" vertical="center"/>
    </xf>
    <xf numFmtId="170" fontId="41" fillId="0" borderId="0" xfId="0" applyFont="1" applyFill="1" applyBorder="1" applyAlignment="1" applyProtection="1">
      <alignment horizontal="center" vertical="center"/>
    </xf>
    <xf numFmtId="170" fontId="41" fillId="19" borderId="182" xfId="0" applyFont="1" applyFill="1" applyBorder="1" applyAlignment="1" applyProtection="1">
      <alignment horizontal="right" vertical="center"/>
    </xf>
    <xf numFmtId="170" fontId="41" fillId="19" borderId="54" xfId="0" applyFont="1" applyFill="1" applyBorder="1" applyAlignment="1" applyProtection="1">
      <alignment horizontal="right" vertical="center"/>
    </xf>
    <xf numFmtId="170" fontId="41" fillId="19" borderId="100" xfId="0" applyFont="1" applyFill="1" applyBorder="1" applyAlignment="1" applyProtection="1">
      <alignment horizontal="right" vertical="center"/>
    </xf>
    <xf numFmtId="170" fontId="41" fillId="19" borderId="40" xfId="0" applyFont="1" applyFill="1" applyBorder="1" applyAlignment="1" applyProtection="1">
      <alignment horizontal="right" vertical="center"/>
    </xf>
    <xf numFmtId="170" fontId="41" fillId="19" borderId="11" xfId="0" applyFont="1" applyFill="1" applyBorder="1" applyAlignment="1" applyProtection="1">
      <alignment horizontal="center" vertical="center"/>
    </xf>
    <xf numFmtId="170" fontId="41" fillId="19" borderId="88" xfId="0" applyFont="1" applyFill="1" applyBorder="1" applyAlignment="1" applyProtection="1">
      <alignment horizontal="center" vertical="center"/>
    </xf>
    <xf numFmtId="0" fontId="91" fillId="23" borderId="123" xfId="245" applyFont="1" applyFill="1" applyBorder="1"/>
    <xf numFmtId="0" fontId="47" fillId="23" borderId="123" xfId="245" applyFont="1" applyFill="1" applyBorder="1"/>
    <xf numFmtId="0" fontId="47" fillId="23" borderId="131" xfId="245" applyFont="1" applyFill="1" applyBorder="1"/>
    <xf numFmtId="0" fontId="86" fillId="0" borderId="0" xfId="244" applyFont="1" applyBorder="1"/>
    <xf numFmtId="0" fontId="87" fillId="0" borderId="0" xfId="160" applyFont="1" applyBorder="1"/>
    <xf numFmtId="0" fontId="92" fillId="23" borderId="102" xfId="244" applyFont="1" applyFill="1" applyBorder="1"/>
    <xf numFmtId="0" fontId="47" fillId="23" borderId="122" xfId="245" applyFont="1" applyFill="1" applyBorder="1"/>
    <xf numFmtId="0" fontId="47" fillId="23" borderId="123" xfId="245" applyFont="1" applyFill="1" applyBorder="1" applyAlignment="1">
      <alignment horizontal="left"/>
    </xf>
    <xf numFmtId="0" fontId="26" fillId="0" borderId="111" xfId="246" applyFont="1" applyBorder="1"/>
    <xf numFmtId="180" fontId="0" fillId="0" borderId="111" xfId="3662" applyNumberFormat="1" applyFont="1" applyBorder="1"/>
    <xf numFmtId="0" fontId="47" fillId="23" borderId="124" xfId="245" applyFont="1" applyFill="1" applyBorder="1"/>
    <xf numFmtId="0" fontId="47" fillId="23" borderId="125" xfId="245" applyFont="1" applyFill="1" applyBorder="1"/>
    <xf numFmtId="0" fontId="47" fillId="23" borderId="126" xfId="245" applyFont="1" applyFill="1" applyBorder="1"/>
    <xf numFmtId="0" fontId="26" fillId="0" borderId="0" xfId="246" applyFont="1"/>
    <xf numFmtId="180" fontId="0" fillId="0" borderId="0" xfId="3662" applyNumberFormat="1" applyFont="1"/>
    <xf numFmtId="0" fontId="26" fillId="0" borderId="0" xfId="246" applyFont="1" applyBorder="1"/>
    <xf numFmtId="180" fontId="26" fillId="0" borderId="0" xfId="3662" applyNumberFormat="1" applyFont="1" applyBorder="1"/>
    <xf numFmtId="180" fontId="26" fillId="0" borderId="111" xfId="3662" applyNumberFormat="1" applyFont="1" applyBorder="1"/>
    <xf numFmtId="0" fontId="47" fillId="23" borderId="127" xfId="246" applyFont="1" applyFill="1" applyBorder="1"/>
    <xf numFmtId="0" fontId="47" fillId="23" borderId="117" xfId="246" applyFont="1" applyFill="1" applyBorder="1"/>
    <xf numFmtId="0" fontId="47" fillId="23" borderId="128" xfId="246" applyFont="1" applyFill="1" applyBorder="1"/>
    <xf numFmtId="0" fontId="47" fillId="23" borderId="124" xfId="246" applyFont="1" applyFill="1" applyBorder="1"/>
    <xf numFmtId="0" fontId="47" fillId="23" borderId="125" xfId="246" applyFont="1" applyFill="1" applyBorder="1"/>
    <xf numFmtId="0" fontId="47" fillId="23" borderId="126" xfId="246" applyFont="1" applyFill="1" applyBorder="1"/>
    <xf numFmtId="0" fontId="92" fillId="23" borderId="21" xfId="244" applyFont="1" applyFill="1" applyBorder="1"/>
    <xf numFmtId="0" fontId="47" fillId="23" borderId="125" xfId="3663" applyNumberFormat="1" applyFont="1" applyFill="1" applyBorder="1" applyAlignment="1">
      <alignment horizontal="left"/>
    </xf>
    <xf numFmtId="0" fontId="47" fillId="23" borderId="125" xfId="245" applyFont="1" applyFill="1" applyBorder="1" applyAlignment="1">
      <alignment horizontal="left"/>
    </xf>
    <xf numFmtId="0" fontId="7" fillId="0" borderId="0" xfId="241" applyNumberFormat="1"/>
    <xf numFmtId="180" fontId="0" fillId="0" borderId="0" xfId="3662" applyNumberFormat="1" applyFont="1" applyFill="1"/>
    <xf numFmtId="180" fontId="26" fillId="0" borderId="111" xfId="3662" applyNumberFormat="1" applyFont="1" applyFill="1" applyBorder="1"/>
    <xf numFmtId="3" fontId="26" fillId="0" borderId="111" xfId="246" applyNumberFormat="1" applyFont="1" applyBorder="1"/>
    <xf numFmtId="0" fontId="83" fillId="0" borderId="0" xfId="246" applyFont="1"/>
    <xf numFmtId="0" fontId="26" fillId="23" borderId="52" xfId="246" applyFont="1" applyFill="1" applyBorder="1"/>
    <xf numFmtId="0" fontId="6" fillId="0" borderId="0" xfId="246"/>
    <xf numFmtId="0" fontId="26" fillId="0" borderId="220" xfId="246" applyFont="1" applyBorder="1"/>
    <xf numFmtId="180" fontId="0" fillId="0" borderId="220" xfId="3662" applyNumberFormat="1" applyFont="1" applyBorder="1"/>
    <xf numFmtId="180" fontId="0" fillId="0" borderId="0" xfId="3662" applyNumberFormat="1" applyFont="1" applyBorder="1"/>
    <xf numFmtId="0" fontId="0" fillId="0" borderId="220" xfId="0" applyNumberFormat="1" applyBorder="1"/>
  </cellXfs>
  <cellStyles count="3664">
    <cellStyle name="20% - Accent1" xfId="199" builtinId="30" customBuiltin="1"/>
    <cellStyle name="20% - Accent1 2" xfId="163"/>
    <cellStyle name="20% - Accent2" xfId="202" builtinId="34" customBuiltin="1"/>
    <cellStyle name="20% - Accent3" xfId="205" builtinId="38" customBuiltin="1"/>
    <cellStyle name="20% - Accent4" xfId="208" builtinId="42" customBuiltin="1"/>
    <cellStyle name="20% - Accent5" xfId="211" builtinId="46" customBuiltin="1"/>
    <cellStyle name="20% - Accent6" xfId="214" builtinId="50" customBuiltin="1"/>
    <cellStyle name="2x indented GHG Textfiels" xfId="247"/>
    <cellStyle name="2x indented GHG Textfiels 10" xfId="1020"/>
    <cellStyle name="2x indented GHG Textfiels 11" xfId="527"/>
    <cellStyle name="2x indented GHG Textfiels 2" xfId="351"/>
    <cellStyle name="2x indented GHG Textfiels 2 10" xfId="834"/>
    <cellStyle name="2x indented GHG Textfiels 2 2" xfId="345"/>
    <cellStyle name="2x indented GHG Textfiels 2 2 2" xfId="525"/>
    <cellStyle name="2x indented GHG Textfiels 2 2 2 2" xfId="2216"/>
    <cellStyle name="2x indented GHG Textfiels 2 2 2 2 2" xfId="3454"/>
    <cellStyle name="2x indented GHG Textfiels 2 2 2 3" xfId="1905"/>
    <cellStyle name="2x indented GHG Textfiels 2 2 2 4" xfId="3135"/>
    <cellStyle name="2x indented GHG Textfiels 2 2 2 5" xfId="986"/>
    <cellStyle name="2x indented GHG Textfiels 2 2 3" xfId="1822"/>
    <cellStyle name="2x indented GHG Textfiels 2 2 3 2" xfId="3052"/>
    <cellStyle name="2x indented GHG Textfiels 2 2 4" xfId="1609"/>
    <cellStyle name="2x indented GHG Textfiels 2 2 4 2" xfId="2838"/>
    <cellStyle name="2x indented GHG Textfiels 2 2 5" xfId="1646"/>
    <cellStyle name="2x indented GHG Textfiels 2 2 5 2" xfId="2875"/>
    <cellStyle name="2x indented GHG Textfiels 2 2 6" xfId="1287"/>
    <cellStyle name="2x indented GHG Textfiels 2 2 7" xfId="2517"/>
    <cellStyle name="2x indented GHG Textfiels 2 2 8" xfId="889"/>
    <cellStyle name="2x indented GHG Textfiels 2 3" xfId="560"/>
    <cellStyle name="2x indented GHG Textfiels 2 3 2" xfId="2248"/>
    <cellStyle name="2x indented GHG Textfiels 2 3 2 2" xfId="3487"/>
    <cellStyle name="2x indented GHG Textfiels 2 3 3" xfId="1707"/>
    <cellStyle name="2x indented GHG Textfiels 2 3 3 2" xfId="2937"/>
    <cellStyle name="2x indented GHG Textfiels 2 3 4" xfId="1335"/>
    <cellStyle name="2x indented GHG Textfiels 2 3 5" xfId="2565"/>
    <cellStyle name="2x indented GHG Textfiels 2 3 6" xfId="1035"/>
    <cellStyle name="2x indented GHG Textfiels 2 4" xfId="624"/>
    <cellStyle name="2x indented GHG Textfiels 2 4 2" xfId="2312"/>
    <cellStyle name="2x indented GHG Textfiels 2 4 2 2" xfId="3551"/>
    <cellStyle name="2x indented GHG Textfiels 2 4 3" xfId="2004"/>
    <cellStyle name="2x indented GHG Textfiels 2 4 3 2" xfId="3234"/>
    <cellStyle name="2x indented GHG Textfiels 2 4 4" xfId="1399"/>
    <cellStyle name="2x indented GHG Textfiels 2 4 5" xfId="2629"/>
    <cellStyle name="2x indented GHG Textfiels 2 4 6" xfId="1099"/>
    <cellStyle name="2x indented GHG Textfiels 2 5" xfId="686"/>
    <cellStyle name="2x indented GHG Textfiels 2 5 2" xfId="2374"/>
    <cellStyle name="2x indented GHG Textfiels 2 5 2 2" xfId="3613"/>
    <cellStyle name="2x indented GHG Textfiels 2 5 3" xfId="2061"/>
    <cellStyle name="2x indented GHG Textfiels 2 5 3 2" xfId="3291"/>
    <cellStyle name="2x indented GHG Textfiels 2 5 4" xfId="1461"/>
    <cellStyle name="2x indented GHG Textfiels 2 5 5" xfId="2691"/>
    <cellStyle name="2x indented GHG Textfiels 2 5 6" xfId="1161"/>
    <cellStyle name="2x indented GHG Textfiels 2 6" xfId="966"/>
    <cellStyle name="2x indented GHG Textfiels 2 6 2" xfId="1886"/>
    <cellStyle name="2x indented GHG Textfiels 2 6 3" xfId="3116"/>
    <cellStyle name="2x indented GHG Textfiels 2 7" xfId="1567"/>
    <cellStyle name="2x indented GHG Textfiels 2 7 2" xfId="2797"/>
    <cellStyle name="2x indented GHG Textfiels 2 8" xfId="1264"/>
    <cellStyle name="2x indented GHG Textfiels 2 9" xfId="2494"/>
    <cellStyle name="2x indented GHG Textfiels 3" xfId="342"/>
    <cellStyle name="2x indented GHG Textfiels 3 10" xfId="2456"/>
    <cellStyle name="2x indented GHG Textfiels 3 11" xfId="786"/>
    <cellStyle name="2x indented GHG Textfiels 3 2" xfId="428"/>
    <cellStyle name="2x indented GHG Textfiels 3 2 2" xfId="1014"/>
    <cellStyle name="2x indented GHG Textfiels 3 2 2 2" xfId="1933"/>
    <cellStyle name="2x indented GHG Textfiels 3 2 2 3" xfId="3163"/>
    <cellStyle name="2x indented GHG Textfiels 3 2 3" xfId="2136"/>
    <cellStyle name="2x indented GHG Textfiels 3 2 3 2" xfId="3366"/>
    <cellStyle name="2x indented GHG Textfiels 3 2 4" xfId="1688"/>
    <cellStyle name="2x indented GHG Textfiels 3 2 4 2" xfId="2917"/>
    <cellStyle name="2x indented GHG Textfiels 3 2 5" xfId="1315"/>
    <cellStyle name="2x indented GHG Textfiels 3 2 6" xfId="2545"/>
    <cellStyle name="2x indented GHG Textfiels 3 2 7" xfId="869"/>
    <cellStyle name="2x indented GHG Textfiels 3 3" xfId="291"/>
    <cellStyle name="2x indented GHG Textfiels 3 3 2" xfId="588"/>
    <cellStyle name="2x indented GHG Textfiels 3 3 2 2" xfId="2276"/>
    <cellStyle name="2x indented GHG Textfiels 3 3 2 2 2" xfId="3515"/>
    <cellStyle name="2x indented GHG Textfiels 3 3 2 3" xfId="3201"/>
    <cellStyle name="2x indented GHG Textfiels 3 3 2 4" xfId="1971"/>
    <cellStyle name="2x indented GHG Textfiels 3 3 3" xfId="1625"/>
    <cellStyle name="2x indented GHG Textfiels 3 3 3 2" xfId="2854"/>
    <cellStyle name="2x indented GHG Textfiels 3 3 4" xfId="1745"/>
    <cellStyle name="2x indented GHG Textfiels 3 3 4 2" xfId="2975"/>
    <cellStyle name="2x indented GHG Textfiels 3 3 5" xfId="1363"/>
    <cellStyle name="2x indented GHG Textfiels 3 3 6" xfId="2593"/>
    <cellStyle name="2x indented GHG Textfiels 3 3 7" xfId="1063"/>
    <cellStyle name="2x indented GHG Textfiels 3 4" xfId="652"/>
    <cellStyle name="2x indented GHG Textfiels 3 4 2" xfId="2340"/>
    <cellStyle name="2x indented GHG Textfiels 3 4 2 2" xfId="3579"/>
    <cellStyle name="2x indented GHG Textfiels 3 4 3" xfId="2032"/>
    <cellStyle name="2x indented GHG Textfiels 3 4 3 2" xfId="3262"/>
    <cellStyle name="2x indented GHG Textfiels 3 4 4" xfId="1427"/>
    <cellStyle name="2x indented GHG Textfiels 3 4 5" xfId="2657"/>
    <cellStyle name="2x indented GHG Textfiels 3 4 6" xfId="1127"/>
    <cellStyle name="2x indented GHG Textfiels 3 5" xfId="714"/>
    <cellStyle name="2x indented GHG Textfiels 3 5 2" xfId="2402"/>
    <cellStyle name="2x indented GHG Textfiels 3 5 2 2" xfId="3641"/>
    <cellStyle name="2x indented GHG Textfiels 3 5 3" xfId="2089"/>
    <cellStyle name="2x indented GHG Textfiels 3 5 3 2" xfId="3319"/>
    <cellStyle name="2x indented GHG Textfiels 3 5 4" xfId="1489"/>
    <cellStyle name="2x indented GHG Textfiels 3 5 5" xfId="2719"/>
    <cellStyle name="2x indented GHG Textfiels 3 5 6" xfId="1189"/>
    <cellStyle name="2x indented GHG Textfiels 3 6" xfId="933"/>
    <cellStyle name="2x indented GHG Textfiels 3 6 2" xfId="1858"/>
    <cellStyle name="2x indented GHG Textfiels 3 6 3" xfId="3088"/>
    <cellStyle name="2x indented GHG Textfiels 3 7" xfId="1792"/>
    <cellStyle name="2x indented GHG Textfiels 3 7 2" xfId="3022"/>
    <cellStyle name="2x indented GHG Textfiels 3 8" xfId="1516"/>
    <cellStyle name="2x indented GHG Textfiels 3 8 2" xfId="2746"/>
    <cellStyle name="2x indented GHG Textfiels 3 9" xfId="1225"/>
    <cellStyle name="2x indented GHG Textfiels 4" xfId="407"/>
    <cellStyle name="2x indented GHG Textfiels 4 2" xfId="481"/>
    <cellStyle name="2x indented GHG Textfiels 4 2 2" xfId="2186"/>
    <cellStyle name="2x indented GHG Textfiels 4 2 2 2" xfId="3417"/>
    <cellStyle name="2x indented GHG Textfiels 4 2 3" xfId="3042"/>
    <cellStyle name="2x indented GHG Textfiels 4 2 4" xfId="1812"/>
    <cellStyle name="2x indented GHG Textfiels 4 3" xfId="2118"/>
    <cellStyle name="2x indented GHG Textfiels 4 3 2" xfId="3348"/>
    <cellStyle name="2x indented GHG Textfiels 4 4" xfId="1601"/>
    <cellStyle name="2x indented GHG Textfiels 4 4 2" xfId="2831"/>
    <cellStyle name="2x indented GHG Textfiels 4 5" xfId="1210"/>
    <cellStyle name="2x indented GHG Textfiels 4 6" xfId="2441"/>
    <cellStyle name="2x indented GHG Textfiels 4 7" xfId="865"/>
    <cellStyle name="2x indented GHG Textfiels 5" xfId="473"/>
    <cellStyle name="2x indented GHG Textfiels 5 2" xfId="2178"/>
    <cellStyle name="2x indented GHG Textfiels 5 2 2" xfId="3409"/>
    <cellStyle name="2x indented GHG Textfiels 5 3" xfId="1591"/>
    <cellStyle name="2x indented GHG Textfiels 5 3 2" xfId="2821"/>
    <cellStyle name="2x indented GHG Textfiels 5 4" xfId="810"/>
    <cellStyle name="2x indented GHG Textfiels 5 5" xfId="2431"/>
    <cellStyle name="2x indented GHG Textfiels 5 6" xfId="748"/>
    <cellStyle name="2x indented GHG Textfiels 6" xfId="471"/>
    <cellStyle name="2x indented GHG Textfiels 6 2" xfId="2176"/>
    <cellStyle name="2x indented GHG Textfiels 6 2 2" xfId="3407"/>
    <cellStyle name="2x indented GHG Textfiels 6 3" xfId="1570"/>
    <cellStyle name="2x indented GHG Textfiels 6 3 2" xfId="2800"/>
    <cellStyle name="2x indented GHG Textfiels 6 4" xfId="752"/>
    <cellStyle name="2x indented GHG Textfiels 6 5" xfId="2429"/>
    <cellStyle name="2x indented GHG Textfiels 6 6" xfId="754"/>
    <cellStyle name="2x indented GHG Textfiels 7" xfId="484"/>
    <cellStyle name="2x indented GHG Textfiels 7 2" xfId="2188"/>
    <cellStyle name="2x indented GHG Textfiels 7 2 2" xfId="3420"/>
    <cellStyle name="2x indented GHG Textfiels 7 3" xfId="1768"/>
    <cellStyle name="2x indented GHG Textfiels 7 4" xfId="2998"/>
    <cellStyle name="2x indented GHG Textfiels 7 5" xfId="792"/>
    <cellStyle name="2x indented GHG Textfiels 8" xfId="1850"/>
    <cellStyle name="2x indented GHG Textfiels 8 2" xfId="3080"/>
    <cellStyle name="2x indented GHG Textfiels 9" xfId="909"/>
    <cellStyle name="40% - Accent1" xfId="200" builtinId="31" customBuiltin="1"/>
    <cellStyle name="40% - Accent2" xfId="203" builtinId="35" customBuiltin="1"/>
    <cellStyle name="40% - Accent3" xfId="206" builtinId="39" customBuiltin="1"/>
    <cellStyle name="40% - Accent4" xfId="209" builtinId="43" customBuiltin="1"/>
    <cellStyle name="40% - Accent5" xfId="212" builtinId="47" customBuiltin="1"/>
    <cellStyle name="40% - Accent6" xfId="215" builtinId="51" customBuiltin="1"/>
    <cellStyle name="5x indented GHG Textfiels" xfId="248"/>
    <cellStyle name="60% - Accent1 2" xfId="229"/>
    <cellStyle name="60% - Accent2 2" xfId="230"/>
    <cellStyle name="60% - Accent3 2" xfId="231"/>
    <cellStyle name="60% - Accent4 2" xfId="232"/>
    <cellStyle name="60% - Accent5 2" xfId="233"/>
    <cellStyle name="60% - Accent6 2" xfId="234"/>
    <cellStyle name="Accent1" xfId="198" builtinId="29" customBuiltin="1"/>
    <cellStyle name="Accent2" xfId="201" builtinId="33" customBuiltin="1"/>
    <cellStyle name="Accent3" xfId="204" builtinId="37" customBuiltin="1"/>
    <cellStyle name="Accent4" xfId="207" builtinId="41" customBuiltin="1"/>
    <cellStyle name="Accent5" xfId="210" builtinId="45" customBuiltin="1"/>
    <cellStyle name="Accent6" xfId="213" builtinId="49" customBuiltin="1"/>
    <cellStyle name="AggCels_T(2)" xfId="6"/>
    <cellStyle name="Background table" xfId="7"/>
    <cellStyle name="Bad" xfId="188" builtinId="27" customBuiltin="1"/>
    <cellStyle name="Bad 3" xfId="8"/>
    <cellStyle name="Bold GHG Numbers (0.00)" xfId="249"/>
    <cellStyle name="Bron" xfId="9"/>
    <cellStyle name="Calc cel" xfId="10"/>
    <cellStyle name="Calc cel 2" xfId="11"/>
    <cellStyle name="Calc cel 2 2" xfId="274"/>
    <cellStyle name="Calc cel 2 2 10" xfId="951"/>
    <cellStyle name="Calc cel 2 2 11" xfId="735"/>
    <cellStyle name="Calc cel 2 2 2" xfId="366"/>
    <cellStyle name="Calc cel 2 2 2 10" xfId="843"/>
    <cellStyle name="Calc cel 2 2 2 2" xfId="292"/>
    <cellStyle name="Calc cel 2 2 2 2 2" xfId="534"/>
    <cellStyle name="Calc cel 2 2 2 2 2 2" xfId="2224"/>
    <cellStyle name="Calc cel 2 2 2 2 2 2 2" xfId="3462"/>
    <cellStyle name="Calc cel 2 2 2 2 2 3" xfId="1914"/>
    <cellStyle name="Calc cel 2 2 2 2 2 4" xfId="3144"/>
    <cellStyle name="Calc cel 2 2 2 2 2 5" xfId="995"/>
    <cellStyle name="Calc cel 2 2 2 2 3" xfId="1831"/>
    <cellStyle name="Calc cel 2 2 2 2 3 2" xfId="3061"/>
    <cellStyle name="Calc cel 2 2 2 2 4" xfId="1623"/>
    <cellStyle name="Calc cel 2 2 2 2 4 2" xfId="2852"/>
    <cellStyle name="Calc cel 2 2 2 2 5" xfId="1655"/>
    <cellStyle name="Calc cel 2 2 2 2 5 2" xfId="2884"/>
    <cellStyle name="Calc cel 2 2 2 2 6" xfId="1296"/>
    <cellStyle name="Calc cel 2 2 2 2 7" xfId="2526"/>
    <cellStyle name="Calc cel 2 2 2 2 8" xfId="898"/>
    <cellStyle name="Calc cel 2 2 2 3" xfId="569"/>
    <cellStyle name="Calc cel 2 2 2 3 2" xfId="2257"/>
    <cellStyle name="Calc cel 2 2 2 3 2 2" xfId="3496"/>
    <cellStyle name="Calc cel 2 2 2 3 3" xfId="1716"/>
    <cellStyle name="Calc cel 2 2 2 3 3 2" xfId="2946"/>
    <cellStyle name="Calc cel 2 2 2 3 4" xfId="1344"/>
    <cellStyle name="Calc cel 2 2 2 3 5" xfId="2574"/>
    <cellStyle name="Calc cel 2 2 2 3 6" xfId="1044"/>
    <cellStyle name="Calc cel 2 2 2 4" xfId="633"/>
    <cellStyle name="Calc cel 2 2 2 4 2" xfId="2321"/>
    <cellStyle name="Calc cel 2 2 2 4 2 2" xfId="3560"/>
    <cellStyle name="Calc cel 2 2 2 4 3" xfId="2013"/>
    <cellStyle name="Calc cel 2 2 2 4 3 2" xfId="3243"/>
    <cellStyle name="Calc cel 2 2 2 4 4" xfId="1408"/>
    <cellStyle name="Calc cel 2 2 2 4 5" xfId="2638"/>
    <cellStyle name="Calc cel 2 2 2 4 6" xfId="1108"/>
    <cellStyle name="Calc cel 2 2 2 5" xfId="695"/>
    <cellStyle name="Calc cel 2 2 2 5 2" xfId="2383"/>
    <cellStyle name="Calc cel 2 2 2 5 2 2" xfId="3622"/>
    <cellStyle name="Calc cel 2 2 2 5 3" xfId="2070"/>
    <cellStyle name="Calc cel 2 2 2 5 3 2" xfId="3300"/>
    <cellStyle name="Calc cel 2 2 2 5 4" xfId="1470"/>
    <cellStyle name="Calc cel 2 2 2 5 5" xfId="2700"/>
    <cellStyle name="Calc cel 2 2 2 5 6" xfId="1170"/>
    <cellStyle name="Calc cel 2 2 2 6" xfId="975"/>
    <cellStyle name="Calc cel 2 2 2 6 2" xfId="1895"/>
    <cellStyle name="Calc cel 2 2 2 6 3" xfId="3125"/>
    <cellStyle name="Calc cel 2 2 2 7" xfId="1782"/>
    <cellStyle name="Calc cel 2 2 2 7 2" xfId="3012"/>
    <cellStyle name="Calc cel 2 2 2 8" xfId="1273"/>
    <cellStyle name="Calc cel 2 2 2 9" xfId="2503"/>
    <cellStyle name="Calc cel 2 2 3" xfId="387"/>
    <cellStyle name="Calc cel 2 2 3 10" xfId="2482"/>
    <cellStyle name="Calc cel 2 2 3 11" xfId="822"/>
    <cellStyle name="Calc cel 2 2 3 2" xfId="437"/>
    <cellStyle name="Calc cel 2 2 3 2 2" xfId="1024"/>
    <cellStyle name="Calc cel 2 2 3 2 2 2" xfId="1942"/>
    <cellStyle name="Calc cel 2 2 3 2 2 3" xfId="3172"/>
    <cellStyle name="Calc cel 2 2 3 2 3" xfId="2145"/>
    <cellStyle name="Calc cel 2 2 3 2 3 2" xfId="3375"/>
    <cellStyle name="Calc cel 2 2 3 2 4" xfId="1696"/>
    <cellStyle name="Calc cel 2 2 3 2 4 2" xfId="2926"/>
    <cellStyle name="Calc cel 2 2 3 2 5" xfId="1324"/>
    <cellStyle name="Calc cel 2 2 3 2 6" xfId="2554"/>
    <cellStyle name="Calc cel 2 2 3 2 7" xfId="878"/>
    <cellStyle name="Calc cel 2 2 3 3" xfId="454"/>
    <cellStyle name="Calc cel 2 2 3 3 2" xfId="598"/>
    <cellStyle name="Calc cel 2 2 3 3 2 2" xfId="2286"/>
    <cellStyle name="Calc cel 2 2 3 3 2 2 2" xfId="3525"/>
    <cellStyle name="Calc cel 2 2 3 3 2 3" xfId="3211"/>
    <cellStyle name="Calc cel 2 2 3 3 2 4" xfId="1981"/>
    <cellStyle name="Calc cel 2 2 3 3 3" xfId="2161"/>
    <cellStyle name="Calc cel 2 2 3 3 3 2" xfId="3391"/>
    <cellStyle name="Calc cel 2 2 3 3 4" xfId="1756"/>
    <cellStyle name="Calc cel 2 2 3 3 4 2" xfId="2986"/>
    <cellStyle name="Calc cel 2 2 3 3 5" xfId="1373"/>
    <cellStyle name="Calc cel 2 2 3 3 6" xfId="2603"/>
    <cellStyle name="Calc cel 2 2 3 3 7" xfId="1073"/>
    <cellStyle name="Calc cel 2 2 3 4" xfId="662"/>
    <cellStyle name="Calc cel 2 2 3 4 2" xfId="2350"/>
    <cellStyle name="Calc cel 2 2 3 4 2 2" xfId="3589"/>
    <cellStyle name="Calc cel 2 2 3 4 3" xfId="2042"/>
    <cellStyle name="Calc cel 2 2 3 4 3 2" xfId="3272"/>
    <cellStyle name="Calc cel 2 2 3 4 4" xfId="1437"/>
    <cellStyle name="Calc cel 2 2 3 4 5" xfId="2667"/>
    <cellStyle name="Calc cel 2 2 3 4 6" xfId="1137"/>
    <cellStyle name="Calc cel 2 2 3 5" xfId="723"/>
    <cellStyle name="Calc cel 2 2 3 5 2" xfId="2411"/>
    <cellStyle name="Calc cel 2 2 3 5 2 2" xfId="3650"/>
    <cellStyle name="Calc cel 2 2 3 5 3" xfId="2098"/>
    <cellStyle name="Calc cel 2 2 3 5 3 2" xfId="3328"/>
    <cellStyle name="Calc cel 2 2 3 5 4" xfId="1498"/>
    <cellStyle name="Calc cel 2 2 3 5 5" xfId="2728"/>
    <cellStyle name="Calc cel 2 2 3 5 6" xfId="1198"/>
    <cellStyle name="Calc cel 2 2 3 6" xfId="954"/>
    <cellStyle name="Calc cel 2 2 3 6 2" xfId="1874"/>
    <cellStyle name="Calc cel 2 2 3 6 3" xfId="3104"/>
    <cellStyle name="Calc cel 2 2 3 7" xfId="1608"/>
    <cellStyle name="Calc cel 2 2 3 7 2" xfId="2837"/>
    <cellStyle name="Calc cel 2 2 3 8" xfId="1522"/>
    <cellStyle name="Calc cel 2 2 3 8 2" xfId="2752"/>
    <cellStyle name="Calc cel 2 2 3 9" xfId="1252"/>
    <cellStyle name="Calc cel 2 2 4" xfId="327"/>
    <cellStyle name="Calc cel 2 2 4 2" xfId="474"/>
    <cellStyle name="Calc cel 2 2 4 2 2" xfId="2179"/>
    <cellStyle name="Calc cel 2 2 4 2 2 2" xfId="3410"/>
    <cellStyle name="Calc cel 2 2 4 2 3" xfId="2806"/>
    <cellStyle name="Calc cel 2 2 4 2 4" xfId="1576"/>
    <cellStyle name="Calc cel 2 2 4 3" xfId="1802"/>
    <cellStyle name="Calc cel 2 2 4 3 2" xfId="3032"/>
    <cellStyle name="Calc cel 2 2 4 4" xfId="1632"/>
    <cellStyle name="Calc cel 2 2 4 4 2" xfId="2861"/>
    <cellStyle name="Calc cel 2 2 4 5" xfId="809"/>
    <cellStyle name="Calc cel 2 2 4 6" xfId="2432"/>
    <cellStyle name="Calc cel 2 2 4 7" xfId="775"/>
    <cellStyle name="Calc cel 2 2 5" xfId="612"/>
    <cellStyle name="Calc cel 2 2 5 2" xfId="2300"/>
    <cellStyle name="Calc cel 2 2 5 2 2" xfId="3539"/>
    <cellStyle name="Calc cel 2 2 5 3" xfId="1669"/>
    <cellStyle name="Calc cel 2 2 5 3 2" xfId="2898"/>
    <cellStyle name="Calc cel 2 2 5 4" xfId="1387"/>
    <cellStyle name="Calc cel 2 2 5 5" xfId="2617"/>
    <cellStyle name="Calc cel 2 2 5 6" xfId="1087"/>
    <cellStyle name="Calc cel 2 2 6" xfId="675"/>
    <cellStyle name="Calc cel 2 2 6 2" xfId="2363"/>
    <cellStyle name="Calc cel 2 2 6 2 2" xfId="3602"/>
    <cellStyle name="Calc cel 2 2 6 3" xfId="2055"/>
    <cellStyle name="Calc cel 2 2 6 3 2" xfId="3285"/>
    <cellStyle name="Calc cel 2 2 6 4" xfId="1450"/>
    <cellStyle name="Calc cel 2 2 6 5" xfId="2680"/>
    <cellStyle name="Calc cel 2 2 6 6" xfId="1150"/>
    <cellStyle name="Calc cel 2 2 7" xfId="348"/>
    <cellStyle name="Calc cel 2 2 7 2" xfId="1552"/>
    <cellStyle name="Calc cel 2 2 7 2 2" xfId="2781"/>
    <cellStyle name="Calc cel 2 2 7 3" xfId="1783"/>
    <cellStyle name="Calc cel 2 2 7 4" xfId="3013"/>
    <cellStyle name="Calc cel 2 2 7 5" xfId="811"/>
    <cellStyle name="Calc cel 2 2 8" xfId="1996"/>
    <cellStyle name="Calc cel 2 2 8 2" xfId="3226"/>
    <cellStyle name="Calc cel 2 2 9" xfId="797"/>
    <cellStyle name="Calc cel 2 3" xfId="217"/>
    <cellStyle name="Calc cel 2 3 2" xfId="320"/>
    <cellStyle name="Calc cel 2 3 2 10" xfId="2551"/>
    <cellStyle name="Calc cel 2 3 2 11" xfId="925"/>
    <cellStyle name="Calc cel 2 3 2 2" xfId="451"/>
    <cellStyle name="Calc cel 2 3 2 2 2" xfId="595"/>
    <cellStyle name="Calc cel 2 3 2 2 2 2" xfId="3522"/>
    <cellStyle name="Calc cel 2 3 2 2 2 3" xfId="2283"/>
    <cellStyle name="Calc cel 2 3 2 2 3" xfId="2158"/>
    <cellStyle name="Calc cel 2 3 2 2 3 2" xfId="3388"/>
    <cellStyle name="Calc cel 2 3 2 2 4" xfId="1978"/>
    <cellStyle name="Calc cel 2 3 2 2 4 2" xfId="3208"/>
    <cellStyle name="Calc cel 2 3 2 2 5" xfId="1370"/>
    <cellStyle name="Calc cel 2 3 2 2 6" xfId="2600"/>
    <cellStyle name="Calc cel 2 3 2 2 7" xfId="1070"/>
    <cellStyle name="Calc cel 2 3 2 3" xfId="659"/>
    <cellStyle name="Calc cel 2 3 2 3 2" xfId="2347"/>
    <cellStyle name="Calc cel 2 3 2 3 2 2" xfId="3586"/>
    <cellStyle name="Calc cel 2 3 2 3 3" xfId="2039"/>
    <cellStyle name="Calc cel 2 3 2 3 3 2" xfId="3269"/>
    <cellStyle name="Calc cel 2 3 2 3 4" xfId="1434"/>
    <cellStyle name="Calc cel 2 3 2 3 5" xfId="2664"/>
    <cellStyle name="Calc cel 2 3 2 3 6" xfId="1134"/>
    <cellStyle name="Calc cel 2 3 2 4" xfId="720"/>
    <cellStyle name="Calc cel 2 3 2 4 2" xfId="2408"/>
    <cellStyle name="Calc cel 2 3 2 4 2 2" xfId="3647"/>
    <cellStyle name="Calc cel 2 3 2 4 3" xfId="2095"/>
    <cellStyle name="Calc cel 2 3 2 4 3 2" xfId="3325"/>
    <cellStyle name="Calc cel 2 3 2 4 4" xfId="1495"/>
    <cellStyle name="Calc cel 2 3 2 4 5" xfId="2725"/>
    <cellStyle name="Calc cel 2 3 2 4 6" xfId="1195"/>
    <cellStyle name="Calc cel 2 3 2 5" xfId="552"/>
    <cellStyle name="Calc cel 2 3 2 5 2" xfId="2241"/>
    <cellStyle name="Calc cel 2 3 2 5 2 2" xfId="3480"/>
    <cellStyle name="Calc cel 2 3 2 5 3" xfId="1939"/>
    <cellStyle name="Calc cel 2 3 2 5 4" xfId="3169"/>
    <cellStyle name="Calc cel 2 3 2 5 5" xfId="1021"/>
    <cellStyle name="Calc cel 2 3 2 6" xfId="1854"/>
    <cellStyle name="Calc cel 2 3 2 6 2" xfId="3084"/>
    <cellStyle name="Calc cel 2 3 2 7" xfId="1725"/>
    <cellStyle name="Calc cel 2 3 2 7 2" xfId="2955"/>
    <cellStyle name="Calc cel 2 3 2 8" xfId="1753"/>
    <cellStyle name="Calc cel 2 3 2 8 2" xfId="2983"/>
    <cellStyle name="Calc cel 2 3 2 9" xfId="1321"/>
    <cellStyle name="Calc cel 2 3 3" xfId="523"/>
    <cellStyle name="Calc cel 2 3 3 2" xfId="2214"/>
    <cellStyle name="Calc cel 2 3 3 2 2" xfId="3452"/>
    <cellStyle name="Calc cel 2 3 3 3" xfId="1693"/>
    <cellStyle name="Calc cel 2 3 3 3 2" xfId="2922"/>
    <cellStyle name="Calc cel 2 3 3 4" xfId="1285"/>
    <cellStyle name="Calc cel 2 3 3 5" xfId="2515"/>
    <cellStyle name="Calc cel 2 3 3 6" xfId="747"/>
    <cellStyle name="Calc cel 2 3 4" xfId="496"/>
    <cellStyle name="Calc cel 2 3 4 2" xfId="3430"/>
    <cellStyle name="Calc cel 2 3 5" xfId="1959"/>
    <cellStyle name="Calc cel 2 3 5 2" xfId="3189"/>
    <cellStyle name="Calc cel 2 3 6" xfId="1604"/>
    <cellStyle name="Calc cel 2 3 6 2" xfId="2834"/>
    <cellStyle name="Calc cel 2 3 7" xfId="1234"/>
    <cellStyle name="Calc cel 2 3 8" xfId="2465"/>
    <cellStyle name="Calc cel 2 3 9" xfId="325"/>
    <cellStyle name="Calc cel 2 4" xfId="516"/>
    <cellStyle name="Calc cel 3" xfId="12"/>
    <cellStyle name="Calc cel 3 2" xfId="275"/>
    <cellStyle name="Calc cel 3 2 10" xfId="952"/>
    <cellStyle name="Calc cel 3 2 11" xfId="736"/>
    <cellStyle name="Calc cel 3 2 2" xfId="367"/>
    <cellStyle name="Calc cel 3 2 2 10" xfId="841"/>
    <cellStyle name="Calc cel 3 2 2 2" xfId="315"/>
    <cellStyle name="Calc cel 3 2 2 2 2" xfId="532"/>
    <cellStyle name="Calc cel 3 2 2 2 2 2" xfId="2222"/>
    <cellStyle name="Calc cel 3 2 2 2 2 2 2" xfId="3460"/>
    <cellStyle name="Calc cel 3 2 2 2 2 3" xfId="1912"/>
    <cellStyle name="Calc cel 3 2 2 2 2 4" xfId="3142"/>
    <cellStyle name="Calc cel 3 2 2 2 2 5" xfId="993"/>
    <cellStyle name="Calc cel 3 2 2 2 3" xfId="1829"/>
    <cellStyle name="Calc cel 3 2 2 2 3 2" xfId="3059"/>
    <cellStyle name="Calc cel 3 2 2 2 4" xfId="1772"/>
    <cellStyle name="Calc cel 3 2 2 2 4 2" xfId="3002"/>
    <cellStyle name="Calc cel 3 2 2 2 5" xfId="1653"/>
    <cellStyle name="Calc cel 3 2 2 2 5 2" xfId="2882"/>
    <cellStyle name="Calc cel 3 2 2 2 6" xfId="1294"/>
    <cellStyle name="Calc cel 3 2 2 2 7" xfId="2524"/>
    <cellStyle name="Calc cel 3 2 2 2 8" xfId="896"/>
    <cellStyle name="Calc cel 3 2 2 3" xfId="567"/>
    <cellStyle name="Calc cel 3 2 2 3 2" xfId="2255"/>
    <cellStyle name="Calc cel 3 2 2 3 2 2" xfId="3494"/>
    <cellStyle name="Calc cel 3 2 2 3 3" xfId="1714"/>
    <cellStyle name="Calc cel 3 2 2 3 3 2" xfId="2944"/>
    <cellStyle name="Calc cel 3 2 2 3 4" xfId="1342"/>
    <cellStyle name="Calc cel 3 2 2 3 5" xfId="2572"/>
    <cellStyle name="Calc cel 3 2 2 3 6" xfId="1042"/>
    <cellStyle name="Calc cel 3 2 2 4" xfId="631"/>
    <cellStyle name="Calc cel 3 2 2 4 2" xfId="2319"/>
    <cellStyle name="Calc cel 3 2 2 4 2 2" xfId="3558"/>
    <cellStyle name="Calc cel 3 2 2 4 3" xfId="2011"/>
    <cellStyle name="Calc cel 3 2 2 4 3 2" xfId="3241"/>
    <cellStyle name="Calc cel 3 2 2 4 4" xfId="1406"/>
    <cellStyle name="Calc cel 3 2 2 4 5" xfId="2636"/>
    <cellStyle name="Calc cel 3 2 2 4 6" xfId="1106"/>
    <cellStyle name="Calc cel 3 2 2 5" xfId="693"/>
    <cellStyle name="Calc cel 3 2 2 5 2" xfId="2381"/>
    <cellStyle name="Calc cel 3 2 2 5 2 2" xfId="3620"/>
    <cellStyle name="Calc cel 3 2 2 5 3" xfId="2068"/>
    <cellStyle name="Calc cel 3 2 2 5 3 2" xfId="3298"/>
    <cellStyle name="Calc cel 3 2 2 5 4" xfId="1468"/>
    <cellStyle name="Calc cel 3 2 2 5 5" xfId="2698"/>
    <cellStyle name="Calc cel 3 2 2 5 6" xfId="1168"/>
    <cellStyle name="Calc cel 3 2 2 6" xfId="973"/>
    <cellStyle name="Calc cel 3 2 2 6 2" xfId="1893"/>
    <cellStyle name="Calc cel 3 2 2 6 3" xfId="3123"/>
    <cellStyle name="Calc cel 3 2 2 7" xfId="1612"/>
    <cellStyle name="Calc cel 3 2 2 7 2" xfId="2841"/>
    <cellStyle name="Calc cel 3 2 2 8" xfId="1271"/>
    <cellStyle name="Calc cel 3 2 2 9" xfId="2501"/>
    <cellStyle name="Calc cel 3 2 3" xfId="388"/>
    <cellStyle name="Calc cel 3 2 3 10" xfId="2483"/>
    <cellStyle name="Calc cel 3 2 3 11" xfId="823"/>
    <cellStyle name="Calc cel 3 2 3 2" xfId="438"/>
    <cellStyle name="Calc cel 3 2 3 2 2" xfId="1025"/>
    <cellStyle name="Calc cel 3 2 3 2 2 2" xfId="1943"/>
    <cellStyle name="Calc cel 3 2 3 2 2 3" xfId="3173"/>
    <cellStyle name="Calc cel 3 2 3 2 3" xfId="2146"/>
    <cellStyle name="Calc cel 3 2 3 2 3 2" xfId="3376"/>
    <cellStyle name="Calc cel 3 2 3 2 4" xfId="1697"/>
    <cellStyle name="Calc cel 3 2 3 2 4 2" xfId="2927"/>
    <cellStyle name="Calc cel 3 2 3 2 5" xfId="1325"/>
    <cellStyle name="Calc cel 3 2 3 2 6" xfId="2555"/>
    <cellStyle name="Calc cel 3 2 3 2 7" xfId="879"/>
    <cellStyle name="Calc cel 3 2 3 3" xfId="455"/>
    <cellStyle name="Calc cel 3 2 3 3 2" xfId="599"/>
    <cellStyle name="Calc cel 3 2 3 3 2 2" xfId="2287"/>
    <cellStyle name="Calc cel 3 2 3 3 2 2 2" xfId="3526"/>
    <cellStyle name="Calc cel 3 2 3 3 2 3" xfId="3212"/>
    <cellStyle name="Calc cel 3 2 3 3 2 4" xfId="1982"/>
    <cellStyle name="Calc cel 3 2 3 3 3" xfId="2162"/>
    <cellStyle name="Calc cel 3 2 3 3 3 2" xfId="3392"/>
    <cellStyle name="Calc cel 3 2 3 3 4" xfId="1757"/>
    <cellStyle name="Calc cel 3 2 3 3 4 2" xfId="2987"/>
    <cellStyle name="Calc cel 3 2 3 3 5" xfId="1374"/>
    <cellStyle name="Calc cel 3 2 3 3 6" xfId="2604"/>
    <cellStyle name="Calc cel 3 2 3 3 7" xfId="1074"/>
    <cellStyle name="Calc cel 3 2 3 4" xfId="663"/>
    <cellStyle name="Calc cel 3 2 3 4 2" xfId="2351"/>
    <cellStyle name="Calc cel 3 2 3 4 2 2" xfId="3590"/>
    <cellStyle name="Calc cel 3 2 3 4 3" xfId="2043"/>
    <cellStyle name="Calc cel 3 2 3 4 3 2" xfId="3273"/>
    <cellStyle name="Calc cel 3 2 3 4 4" xfId="1438"/>
    <cellStyle name="Calc cel 3 2 3 4 5" xfId="2668"/>
    <cellStyle name="Calc cel 3 2 3 4 6" xfId="1138"/>
    <cellStyle name="Calc cel 3 2 3 5" xfId="724"/>
    <cellStyle name="Calc cel 3 2 3 5 2" xfId="2412"/>
    <cellStyle name="Calc cel 3 2 3 5 2 2" xfId="3651"/>
    <cellStyle name="Calc cel 3 2 3 5 3" xfId="2099"/>
    <cellStyle name="Calc cel 3 2 3 5 3 2" xfId="3329"/>
    <cellStyle name="Calc cel 3 2 3 5 4" xfId="1499"/>
    <cellStyle name="Calc cel 3 2 3 5 5" xfId="2729"/>
    <cellStyle name="Calc cel 3 2 3 5 6" xfId="1199"/>
    <cellStyle name="Calc cel 3 2 3 6" xfId="955"/>
    <cellStyle name="Calc cel 3 2 3 6 2" xfId="1875"/>
    <cellStyle name="Calc cel 3 2 3 6 3" xfId="3105"/>
    <cellStyle name="Calc cel 3 2 3 7" xfId="1731"/>
    <cellStyle name="Calc cel 3 2 3 7 2" xfId="2961"/>
    <cellStyle name="Calc cel 3 2 3 8" xfId="1523"/>
    <cellStyle name="Calc cel 3 2 3 8 2" xfId="2753"/>
    <cellStyle name="Calc cel 3 2 3 9" xfId="1253"/>
    <cellStyle name="Calc cel 3 2 4" xfId="382"/>
    <cellStyle name="Calc cel 3 2 4 2" xfId="503"/>
    <cellStyle name="Calc cel 3 2 4 2 2" xfId="2201"/>
    <cellStyle name="Calc cel 3 2 4 2 2 2" xfId="3436"/>
    <cellStyle name="Calc cel 3 2 4 2 3" xfId="3100"/>
    <cellStyle name="Calc cel 3 2 4 2 4" xfId="1870"/>
    <cellStyle name="Calc cel 3 2 4 3" xfId="1555"/>
    <cellStyle name="Calc cel 3 2 4 3 2" xfId="2784"/>
    <cellStyle name="Calc cel 3 2 4 4" xfId="1633"/>
    <cellStyle name="Calc cel 3 2 4 4 2" xfId="2862"/>
    <cellStyle name="Calc cel 3 2 4 5" xfId="1243"/>
    <cellStyle name="Calc cel 3 2 4 6" xfId="2474"/>
    <cellStyle name="Calc cel 3 2 4 7" xfId="946"/>
    <cellStyle name="Calc cel 3 2 5" xfId="613"/>
    <cellStyle name="Calc cel 3 2 5 2" xfId="2301"/>
    <cellStyle name="Calc cel 3 2 5 2 2" xfId="3540"/>
    <cellStyle name="Calc cel 3 2 5 3" xfId="1670"/>
    <cellStyle name="Calc cel 3 2 5 3 2" xfId="2899"/>
    <cellStyle name="Calc cel 3 2 5 4" xfId="1388"/>
    <cellStyle name="Calc cel 3 2 5 5" xfId="2618"/>
    <cellStyle name="Calc cel 3 2 5 6" xfId="1088"/>
    <cellStyle name="Calc cel 3 2 6" xfId="676"/>
    <cellStyle name="Calc cel 3 2 6 2" xfId="2364"/>
    <cellStyle name="Calc cel 3 2 6 2 2" xfId="3603"/>
    <cellStyle name="Calc cel 3 2 6 3" xfId="2056"/>
    <cellStyle name="Calc cel 3 2 6 3 2" xfId="3286"/>
    <cellStyle name="Calc cel 3 2 6 4" xfId="1451"/>
    <cellStyle name="Calc cel 3 2 6 5" xfId="2681"/>
    <cellStyle name="Calc cel 3 2 6 6" xfId="1151"/>
    <cellStyle name="Calc cel 3 2 7" xfId="329"/>
    <cellStyle name="Calc cel 3 2 7 2" xfId="1769"/>
    <cellStyle name="Calc cel 3 2 7 2 2" xfId="2999"/>
    <cellStyle name="Calc cel 3 2 7 3" xfId="1575"/>
    <cellStyle name="Calc cel 3 2 7 4" xfId="2805"/>
    <cellStyle name="Calc cel 3 2 7 5" xfId="757"/>
    <cellStyle name="Calc cel 3 2 8" xfId="1820"/>
    <cellStyle name="Calc cel 3 2 8 2" xfId="3050"/>
    <cellStyle name="Calc cel 3 2 9" xfId="780"/>
    <cellStyle name="Calc cel 3 3" xfId="218"/>
    <cellStyle name="Calc cel 3 3 2" xfId="321"/>
    <cellStyle name="Calc cel 3 3 2 10" xfId="2550"/>
    <cellStyle name="Calc cel 3 3 2 11" xfId="922"/>
    <cellStyle name="Calc cel 3 3 2 2" xfId="449"/>
    <cellStyle name="Calc cel 3 3 2 2 2" xfId="593"/>
    <cellStyle name="Calc cel 3 3 2 2 2 2" xfId="3520"/>
    <cellStyle name="Calc cel 3 3 2 2 2 3" xfId="2281"/>
    <cellStyle name="Calc cel 3 3 2 2 3" xfId="2156"/>
    <cellStyle name="Calc cel 3 3 2 2 3 2" xfId="3386"/>
    <cellStyle name="Calc cel 3 3 2 2 4" xfId="1976"/>
    <cellStyle name="Calc cel 3 3 2 2 4 2" xfId="3206"/>
    <cellStyle name="Calc cel 3 3 2 2 5" xfId="1368"/>
    <cellStyle name="Calc cel 3 3 2 2 6" xfId="2598"/>
    <cellStyle name="Calc cel 3 3 2 2 7" xfId="1068"/>
    <cellStyle name="Calc cel 3 3 2 3" xfId="657"/>
    <cellStyle name="Calc cel 3 3 2 3 2" xfId="2345"/>
    <cellStyle name="Calc cel 3 3 2 3 2 2" xfId="3584"/>
    <cellStyle name="Calc cel 3 3 2 3 3" xfId="2037"/>
    <cellStyle name="Calc cel 3 3 2 3 3 2" xfId="3267"/>
    <cellStyle name="Calc cel 3 3 2 3 4" xfId="1432"/>
    <cellStyle name="Calc cel 3 3 2 3 5" xfId="2662"/>
    <cellStyle name="Calc cel 3 3 2 3 6" xfId="1132"/>
    <cellStyle name="Calc cel 3 3 2 4" xfId="719"/>
    <cellStyle name="Calc cel 3 3 2 4 2" xfId="2407"/>
    <cellStyle name="Calc cel 3 3 2 4 2 2" xfId="3646"/>
    <cellStyle name="Calc cel 3 3 2 4 3" xfId="2094"/>
    <cellStyle name="Calc cel 3 3 2 4 3 2" xfId="3324"/>
    <cellStyle name="Calc cel 3 3 2 4 4" xfId="1494"/>
    <cellStyle name="Calc cel 3 3 2 4 5" xfId="2724"/>
    <cellStyle name="Calc cel 3 3 2 4 6" xfId="1194"/>
    <cellStyle name="Calc cel 3 3 2 5" xfId="551"/>
    <cellStyle name="Calc cel 3 3 2 5 2" xfId="2240"/>
    <cellStyle name="Calc cel 3 3 2 5 2 2" xfId="3479"/>
    <cellStyle name="Calc cel 3 3 2 5 3" xfId="1938"/>
    <cellStyle name="Calc cel 3 3 2 5 4" xfId="3168"/>
    <cellStyle name="Calc cel 3 3 2 5 5" xfId="1019"/>
    <cellStyle name="Calc cel 3 3 2 6" xfId="1851"/>
    <cellStyle name="Calc cel 3 3 2 6 2" xfId="3081"/>
    <cellStyle name="Calc cel 3 3 2 7" xfId="1540"/>
    <cellStyle name="Calc cel 3 3 2 7 2" xfId="2770"/>
    <cellStyle name="Calc cel 3 3 2 8" xfId="1750"/>
    <cellStyle name="Calc cel 3 3 2 8 2" xfId="2980"/>
    <cellStyle name="Calc cel 3 3 2 9" xfId="1320"/>
    <cellStyle name="Calc cel 3 3 3" xfId="467"/>
    <cellStyle name="Calc cel 3 3 3 2" xfId="2174"/>
    <cellStyle name="Calc cel 3 3 3 2 2" xfId="3404"/>
    <cellStyle name="Calc cel 3 3 3 3" xfId="1778"/>
    <cellStyle name="Calc cel 3 3 3 3 2" xfId="3008"/>
    <cellStyle name="Calc cel 3 3 3 4" xfId="777"/>
    <cellStyle name="Calc cel 3 3 3 5" xfId="2423"/>
    <cellStyle name="Calc cel 3 3 3 6" xfId="806"/>
    <cellStyle name="Calc cel 3 3 4" xfId="512"/>
    <cellStyle name="Calc cel 3 3 4 2" xfId="3444"/>
    <cellStyle name="Calc cel 3 3 5" xfId="1803"/>
    <cellStyle name="Calc cel 3 3 5 2" xfId="3033"/>
    <cellStyle name="Calc cel 3 3 6" xfId="1538"/>
    <cellStyle name="Calc cel 3 3 6 2" xfId="2768"/>
    <cellStyle name="Calc cel 3 3 7" xfId="1230"/>
    <cellStyle name="Calc cel 3 3 8" xfId="2461"/>
    <cellStyle name="Calc cel 3 3 9" xfId="468"/>
    <cellStyle name="Calc cel 3 4" xfId="416"/>
    <cellStyle name="Calc cel 4" xfId="273"/>
    <cellStyle name="Calc cel 4 10" xfId="833"/>
    <cellStyle name="Calc cel 4 11" xfId="734"/>
    <cellStyle name="Calc cel 4 2" xfId="365"/>
    <cellStyle name="Calc cel 4 2 10" xfId="844"/>
    <cellStyle name="Calc cel 4 2 2" xfId="330"/>
    <cellStyle name="Calc cel 4 2 2 2" xfId="535"/>
    <cellStyle name="Calc cel 4 2 2 2 2" xfId="2225"/>
    <cellStyle name="Calc cel 4 2 2 2 2 2" xfId="3463"/>
    <cellStyle name="Calc cel 4 2 2 2 3" xfId="1915"/>
    <cellStyle name="Calc cel 4 2 2 2 4" xfId="3145"/>
    <cellStyle name="Calc cel 4 2 2 2 5" xfId="996"/>
    <cellStyle name="Calc cel 4 2 2 3" xfId="1832"/>
    <cellStyle name="Calc cel 4 2 2 3 2" xfId="3062"/>
    <cellStyle name="Calc cel 4 2 2 4" xfId="1995"/>
    <cellStyle name="Calc cel 4 2 2 4 2" xfId="3225"/>
    <cellStyle name="Calc cel 4 2 2 5" xfId="1656"/>
    <cellStyle name="Calc cel 4 2 2 5 2" xfId="2885"/>
    <cellStyle name="Calc cel 4 2 2 6" xfId="1297"/>
    <cellStyle name="Calc cel 4 2 2 7" xfId="2527"/>
    <cellStyle name="Calc cel 4 2 2 8" xfId="899"/>
    <cellStyle name="Calc cel 4 2 3" xfId="570"/>
    <cellStyle name="Calc cel 4 2 3 2" xfId="2258"/>
    <cellStyle name="Calc cel 4 2 3 2 2" xfId="3497"/>
    <cellStyle name="Calc cel 4 2 3 3" xfId="1717"/>
    <cellStyle name="Calc cel 4 2 3 3 2" xfId="2947"/>
    <cellStyle name="Calc cel 4 2 3 4" xfId="1345"/>
    <cellStyle name="Calc cel 4 2 3 5" xfId="2575"/>
    <cellStyle name="Calc cel 4 2 3 6" xfId="1045"/>
    <cellStyle name="Calc cel 4 2 4" xfId="634"/>
    <cellStyle name="Calc cel 4 2 4 2" xfId="2322"/>
    <cellStyle name="Calc cel 4 2 4 2 2" xfId="3561"/>
    <cellStyle name="Calc cel 4 2 4 3" xfId="2014"/>
    <cellStyle name="Calc cel 4 2 4 3 2" xfId="3244"/>
    <cellStyle name="Calc cel 4 2 4 4" xfId="1409"/>
    <cellStyle name="Calc cel 4 2 4 5" xfId="2639"/>
    <cellStyle name="Calc cel 4 2 4 6" xfId="1109"/>
    <cellStyle name="Calc cel 4 2 5" xfId="696"/>
    <cellStyle name="Calc cel 4 2 5 2" xfId="2384"/>
    <cellStyle name="Calc cel 4 2 5 2 2" xfId="3623"/>
    <cellStyle name="Calc cel 4 2 5 3" xfId="2071"/>
    <cellStyle name="Calc cel 4 2 5 3 2" xfId="3301"/>
    <cellStyle name="Calc cel 4 2 5 4" xfId="1471"/>
    <cellStyle name="Calc cel 4 2 5 5" xfId="2701"/>
    <cellStyle name="Calc cel 4 2 5 6" xfId="1171"/>
    <cellStyle name="Calc cel 4 2 6" xfId="976"/>
    <cellStyle name="Calc cel 4 2 6 2" xfId="1896"/>
    <cellStyle name="Calc cel 4 2 6 3" xfId="3126"/>
    <cellStyle name="Calc cel 4 2 7" xfId="1593"/>
    <cellStyle name="Calc cel 4 2 7 2" xfId="2823"/>
    <cellStyle name="Calc cel 4 2 8" xfId="1274"/>
    <cellStyle name="Calc cel 4 2 9" xfId="2504"/>
    <cellStyle name="Calc cel 4 3" xfId="386"/>
    <cellStyle name="Calc cel 4 3 10" xfId="2481"/>
    <cellStyle name="Calc cel 4 3 11" xfId="821"/>
    <cellStyle name="Calc cel 4 3 2" xfId="436"/>
    <cellStyle name="Calc cel 4 3 2 2" xfId="1023"/>
    <cellStyle name="Calc cel 4 3 2 2 2" xfId="1941"/>
    <cellStyle name="Calc cel 4 3 2 2 3" xfId="3171"/>
    <cellStyle name="Calc cel 4 3 2 3" xfId="2144"/>
    <cellStyle name="Calc cel 4 3 2 3 2" xfId="3374"/>
    <cellStyle name="Calc cel 4 3 2 4" xfId="1695"/>
    <cellStyle name="Calc cel 4 3 2 4 2" xfId="2925"/>
    <cellStyle name="Calc cel 4 3 2 5" xfId="1323"/>
    <cellStyle name="Calc cel 4 3 2 6" xfId="2553"/>
    <cellStyle name="Calc cel 4 3 2 7" xfId="877"/>
    <cellStyle name="Calc cel 4 3 3" xfId="453"/>
    <cellStyle name="Calc cel 4 3 3 2" xfId="597"/>
    <cellStyle name="Calc cel 4 3 3 2 2" xfId="2285"/>
    <cellStyle name="Calc cel 4 3 3 2 2 2" xfId="3524"/>
    <cellStyle name="Calc cel 4 3 3 2 3" xfId="3210"/>
    <cellStyle name="Calc cel 4 3 3 2 4" xfId="1980"/>
    <cellStyle name="Calc cel 4 3 3 3" xfId="2160"/>
    <cellStyle name="Calc cel 4 3 3 3 2" xfId="3390"/>
    <cellStyle name="Calc cel 4 3 3 4" xfId="1755"/>
    <cellStyle name="Calc cel 4 3 3 4 2" xfId="2985"/>
    <cellStyle name="Calc cel 4 3 3 5" xfId="1372"/>
    <cellStyle name="Calc cel 4 3 3 6" xfId="2602"/>
    <cellStyle name="Calc cel 4 3 3 7" xfId="1072"/>
    <cellStyle name="Calc cel 4 3 4" xfId="661"/>
    <cellStyle name="Calc cel 4 3 4 2" xfId="2349"/>
    <cellStyle name="Calc cel 4 3 4 2 2" xfId="3588"/>
    <cellStyle name="Calc cel 4 3 4 3" xfId="2041"/>
    <cellStyle name="Calc cel 4 3 4 3 2" xfId="3271"/>
    <cellStyle name="Calc cel 4 3 4 4" xfId="1436"/>
    <cellStyle name="Calc cel 4 3 4 5" xfId="2666"/>
    <cellStyle name="Calc cel 4 3 4 6" xfId="1136"/>
    <cellStyle name="Calc cel 4 3 5" xfId="722"/>
    <cellStyle name="Calc cel 4 3 5 2" xfId="2410"/>
    <cellStyle name="Calc cel 4 3 5 2 2" xfId="3649"/>
    <cellStyle name="Calc cel 4 3 5 3" xfId="2097"/>
    <cellStyle name="Calc cel 4 3 5 3 2" xfId="3327"/>
    <cellStyle name="Calc cel 4 3 5 4" xfId="1497"/>
    <cellStyle name="Calc cel 4 3 5 5" xfId="2727"/>
    <cellStyle name="Calc cel 4 3 5 6" xfId="1197"/>
    <cellStyle name="Calc cel 4 3 6" xfId="953"/>
    <cellStyle name="Calc cel 4 3 6 2" xfId="1873"/>
    <cellStyle name="Calc cel 4 3 6 3" xfId="3103"/>
    <cellStyle name="Calc cel 4 3 7" xfId="1798"/>
    <cellStyle name="Calc cel 4 3 7 2" xfId="3028"/>
    <cellStyle name="Calc cel 4 3 8" xfId="1521"/>
    <cellStyle name="Calc cel 4 3 8 2" xfId="2751"/>
    <cellStyle name="Calc cel 4 3 9" xfId="1251"/>
    <cellStyle name="Calc cel 4 4" xfId="443"/>
    <cellStyle name="Calc cel 4 4 2" xfId="487"/>
    <cellStyle name="Calc cel 4 4 2 2" xfId="2190"/>
    <cellStyle name="Calc cel 4 4 2 2 2" xfId="3422"/>
    <cellStyle name="Calc cel 4 4 2 3" xfId="2914"/>
    <cellStyle name="Calc cel 4 4 2 4" xfId="1685"/>
    <cellStyle name="Calc cel 4 4 3" xfId="2151"/>
    <cellStyle name="Calc cel 4 4 3 2" xfId="3381"/>
    <cellStyle name="Calc cel 4 4 4" xfId="1547"/>
    <cellStyle name="Calc cel 4 4 4 2" xfId="2777"/>
    <cellStyle name="Calc cel 4 4 5" xfId="1220"/>
    <cellStyle name="Calc cel 4 4 6" xfId="2451"/>
    <cellStyle name="Calc cel 4 4 7" xfId="758"/>
    <cellStyle name="Calc cel 4 5" xfId="611"/>
    <cellStyle name="Calc cel 4 5 2" xfId="2299"/>
    <cellStyle name="Calc cel 4 5 2 2" xfId="3538"/>
    <cellStyle name="Calc cel 4 5 3" xfId="1668"/>
    <cellStyle name="Calc cel 4 5 3 2" xfId="2897"/>
    <cellStyle name="Calc cel 4 5 4" xfId="1386"/>
    <cellStyle name="Calc cel 4 5 5" xfId="2616"/>
    <cellStyle name="Calc cel 4 5 6" xfId="1086"/>
    <cellStyle name="Calc cel 4 6" xfId="674"/>
    <cellStyle name="Calc cel 4 6 2" xfId="2362"/>
    <cellStyle name="Calc cel 4 6 2 2" xfId="3601"/>
    <cellStyle name="Calc cel 4 6 3" xfId="2054"/>
    <cellStyle name="Calc cel 4 6 3 2" xfId="3284"/>
    <cellStyle name="Calc cel 4 6 4" xfId="1449"/>
    <cellStyle name="Calc cel 4 6 5" xfId="2679"/>
    <cellStyle name="Calc cel 4 6 6" xfId="1149"/>
    <cellStyle name="Calc cel 4 7" xfId="341"/>
    <cellStyle name="Calc cel 4 7 2" xfId="1818"/>
    <cellStyle name="Calc cel 4 7 2 2" xfId="3048"/>
    <cellStyle name="Calc cel 4 7 3" xfId="1853"/>
    <cellStyle name="Calc cel 4 7 4" xfId="3083"/>
    <cellStyle name="Calc cel 4 7 5" xfId="924"/>
    <cellStyle name="Calc cel 4 8" xfId="1588"/>
    <cellStyle name="Calc cel 4 8 2" xfId="2818"/>
    <cellStyle name="Calc cel 4 9" xfId="800"/>
    <cellStyle name="Calc cel 5" xfId="216"/>
    <cellStyle name="Calc cel 5 2" xfId="362"/>
    <cellStyle name="Calc cel 5 2 10" xfId="2540"/>
    <cellStyle name="Calc cel 5 2 11" xfId="916"/>
    <cellStyle name="Calc cel 5 2 2" xfId="410"/>
    <cellStyle name="Calc cel 5 2 2 2" xfId="583"/>
    <cellStyle name="Calc cel 5 2 2 2 2" xfId="3510"/>
    <cellStyle name="Calc cel 5 2 2 2 3" xfId="2271"/>
    <cellStyle name="Calc cel 5 2 2 3" xfId="2121"/>
    <cellStyle name="Calc cel 5 2 2 3 2" xfId="3351"/>
    <cellStyle name="Calc cel 5 2 2 4" xfId="1966"/>
    <cellStyle name="Calc cel 5 2 2 4 2" xfId="3196"/>
    <cellStyle name="Calc cel 5 2 2 5" xfId="1358"/>
    <cellStyle name="Calc cel 5 2 2 6" xfId="2588"/>
    <cellStyle name="Calc cel 5 2 2 7" xfId="1058"/>
    <cellStyle name="Calc cel 5 2 3" xfId="647"/>
    <cellStyle name="Calc cel 5 2 3 2" xfId="2335"/>
    <cellStyle name="Calc cel 5 2 3 2 2" xfId="3574"/>
    <cellStyle name="Calc cel 5 2 3 3" xfId="2027"/>
    <cellStyle name="Calc cel 5 2 3 3 2" xfId="3257"/>
    <cellStyle name="Calc cel 5 2 3 4" xfId="1422"/>
    <cellStyle name="Calc cel 5 2 3 5" xfId="2652"/>
    <cellStyle name="Calc cel 5 2 3 6" xfId="1122"/>
    <cellStyle name="Calc cel 5 2 4" xfId="709"/>
    <cellStyle name="Calc cel 5 2 4 2" xfId="2397"/>
    <cellStyle name="Calc cel 5 2 4 2 2" xfId="3636"/>
    <cellStyle name="Calc cel 5 2 4 3" xfId="2084"/>
    <cellStyle name="Calc cel 5 2 4 3 2" xfId="3314"/>
    <cellStyle name="Calc cel 5 2 4 4" xfId="1484"/>
    <cellStyle name="Calc cel 5 2 4 5" xfId="2714"/>
    <cellStyle name="Calc cel 5 2 4 6" xfId="1184"/>
    <cellStyle name="Calc cel 5 2 5" xfId="545"/>
    <cellStyle name="Calc cel 5 2 5 2" xfId="2234"/>
    <cellStyle name="Calc cel 5 2 5 2 2" xfId="3473"/>
    <cellStyle name="Calc cel 5 2 5 3" xfId="1928"/>
    <cellStyle name="Calc cel 5 2 5 4" xfId="3158"/>
    <cellStyle name="Calc cel 5 2 5 5" xfId="1009"/>
    <cellStyle name="Calc cel 5 2 6" xfId="1848"/>
    <cellStyle name="Calc cel 5 2 6 2" xfId="3078"/>
    <cellStyle name="Calc cel 5 2 7" xfId="1781"/>
    <cellStyle name="Calc cel 5 2 7 2" xfId="3011"/>
    <cellStyle name="Calc cel 5 2 8" xfId="1740"/>
    <cellStyle name="Calc cel 5 2 8 2" xfId="2970"/>
    <cellStyle name="Calc cel 5 2 9" xfId="1310"/>
    <cellStyle name="Calc cel 5 3" xfId="482"/>
    <cellStyle name="Calc cel 5 3 2" xfId="2187"/>
    <cellStyle name="Calc cel 5 3 2 2" xfId="3418"/>
    <cellStyle name="Calc cel 5 3 3" xfId="1806"/>
    <cellStyle name="Calc cel 5 3 3 2" xfId="3036"/>
    <cellStyle name="Calc cel 5 3 4" xfId="1211"/>
    <cellStyle name="Calc cel 5 3 5" xfId="2442"/>
    <cellStyle name="Calc cel 5 3 6" xfId="856"/>
    <cellStyle name="Calc cel 5 4" xfId="492"/>
    <cellStyle name="Calc cel 5 4 2" xfId="3426"/>
    <cellStyle name="Calc cel 5 5" xfId="1797"/>
    <cellStyle name="Calc cel 5 5 2" xfId="3027"/>
    <cellStyle name="Calc cel 5 6" xfId="1621"/>
    <cellStyle name="Calc cel 5 6 2" xfId="2850"/>
    <cellStyle name="Calc cel 5 7" xfId="1214"/>
    <cellStyle name="Calc cel 5 8" xfId="2445"/>
    <cellStyle name="Calc cel 5 9" xfId="335"/>
    <cellStyle name="Calc cel 6" xfId="498"/>
    <cellStyle name="Calculation" xfId="191" builtinId="22" customBuiltin="1"/>
    <cellStyle name="Check Cell" xfId="193" builtinId="23" customBuiltin="1"/>
    <cellStyle name="Comma" xfId="3662" builtinId="3"/>
    <cellStyle name="Comma 2" xfId="13"/>
    <cellStyle name="Comma 3" xfId="157"/>
    <cellStyle name="Comma 4" xfId="236"/>
    <cellStyle name="Comma 5" xfId="338"/>
    <cellStyle name="Comma 6" xfId="3661"/>
    <cellStyle name="Cover" xfId="14"/>
    <cellStyle name="Currency 0,0" xfId="15"/>
    <cellStyle name="Dezimal [0]_Input" xfId="16"/>
    <cellStyle name="Dezimal_Input" xfId="17"/>
    <cellStyle name="Euro" xfId="18"/>
    <cellStyle name="Explanatory Text" xfId="196" builtinId="53" customBuiltin="1"/>
    <cellStyle name="Good" xfId="187" builtinId="26" customBuiltin="1"/>
    <cellStyle name="Heading 1 2" xfId="153"/>
    <cellStyle name="Heading 1 3" xfId="176"/>
    <cellStyle name="Heading 1 4" xfId="244"/>
    <cellStyle name="Heading 2" xfId="186" builtinId="17" customBuiltin="1"/>
    <cellStyle name="Heading 2 2" xfId="161"/>
    <cellStyle name="Heading 3 2" xfId="154"/>
    <cellStyle name="Heading 3 2 2" xfId="3663"/>
    <cellStyle name="Heading 3 3" xfId="177"/>
    <cellStyle name="Heading 3 4" xfId="245"/>
    <cellStyle name="Heading 4" xfId="1" builtinId="19"/>
    <cellStyle name="Heading 4 2" xfId="155"/>
    <cellStyle name="Heading 4 3" xfId="178"/>
    <cellStyle name="Heading 4 4" xfId="246"/>
    <cellStyle name="Headline" xfId="250"/>
    <cellStyle name="Hyperlink" xfId="148" builtinId="8"/>
    <cellStyle name="Hyperlink 2" xfId="19"/>
    <cellStyle name="Hyperlink 2 2" xfId="251"/>
    <cellStyle name="Hyperlink 3" xfId="171"/>
    <cellStyle name="Input" xfId="189" builtinId="20" customBuiltin="1"/>
    <cellStyle name="Input cel" xfId="20"/>
    <cellStyle name="Input cel 2" xfId="21"/>
    <cellStyle name="Input cel 2 2" xfId="277"/>
    <cellStyle name="Input cel 2 2 10" xfId="771"/>
    <cellStyle name="Input cel 2 2 11" xfId="738"/>
    <cellStyle name="Input cel 2 2 2" xfId="369"/>
    <cellStyle name="Input cel 2 2 2 10" xfId="838"/>
    <cellStyle name="Input cel 2 2 2 2" xfId="352"/>
    <cellStyle name="Input cel 2 2 2 2 2" xfId="529"/>
    <cellStyle name="Input cel 2 2 2 2 2 2" xfId="2219"/>
    <cellStyle name="Input cel 2 2 2 2 2 2 2" xfId="3457"/>
    <cellStyle name="Input cel 2 2 2 2 2 3" xfId="1909"/>
    <cellStyle name="Input cel 2 2 2 2 2 4" xfId="3139"/>
    <cellStyle name="Input cel 2 2 2 2 2 5" xfId="990"/>
    <cellStyle name="Input cel 2 2 2 2 3" xfId="1826"/>
    <cellStyle name="Input cel 2 2 2 2 3 2" xfId="3056"/>
    <cellStyle name="Input cel 2 2 2 2 4" xfId="1597"/>
    <cellStyle name="Input cel 2 2 2 2 4 2" xfId="2827"/>
    <cellStyle name="Input cel 2 2 2 2 5" xfId="1650"/>
    <cellStyle name="Input cel 2 2 2 2 5 2" xfId="2879"/>
    <cellStyle name="Input cel 2 2 2 2 6" xfId="1291"/>
    <cellStyle name="Input cel 2 2 2 2 7" xfId="2521"/>
    <cellStyle name="Input cel 2 2 2 2 8" xfId="893"/>
    <cellStyle name="Input cel 2 2 2 3" xfId="564"/>
    <cellStyle name="Input cel 2 2 2 3 2" xfId="2252"/>
    <cellStyle name="Input cel 2 2 2 3 2 2" xfId="3491"/>
    <cellStyle name="Input cel 2 2 2 3 3" xfId="1711"/>
    <cellStyle name="Input cel 2 2 2 3 3 2" xfId="2941"/>
    <cellStyle name="Input cel 2 2 2 3 4" xfId="1339"/>
    <cellStyle name="Input cel 2 2 2 3 5" xfId="2569"/>
    <cellStyle name="Input cel 2 2 2 3 6" xfId="1039"/>
    <cellStyle name="Input cel 2 2 2 4" xfId="628"/>
    <cellStyle name="Input cel 2 2 2 4 2" xfId="2316"/>
    <cellStyle name="Input cel 2 2 2 4 2 2" xfId="3555"/>
    <cellStyle name="Input cel 2 2 2 4 3" xfId="2008"/>
    <cellStyle name="Input cel 2 2 2 4 3 2" xfId="3238"/>
    <cellStyle name="Input cel 2 2 2 4 4" xfId="1403"/>
    <cellStyle name="Input cel 2 2 2 4 5" xfId="2633"/>
    <cellStyle name="Input cel 2 2 2 4 6" xfId="1103"/>
    <cellStyle name="Input cel 2 2 2 5" xfId="690"/>
    <cellStyle name="Input cel 2 2 2 5 2" xfId="2378"/>
    <cellStyle name="Input cel 2 2 2 5 2 2" xfId="3617"/>
    <cellStyle name="Input cel 2 2 2 5 3" xfId="2065"/>
    <cellStyle name="Input cel 2 2 2 5 3 2" xfId="3295"/>
    <cellStyle name="Input cel 2 2 2 5 4" xfId="1465"/>
    <cellStyle name="Input cel 2 2 2 5 5" xfId="2695"/>
    <cellStyle name="Input cel 2 2 2 5 6" xfId="1165"/>
    <cellStyle name="Input cel 2 2 2 6" xfId="970"/>
    <cellStyle name="Input cel 2 2 2 6 2" xfId="1890"/>
    <cellStyle name="Input cel 2 2 2 6 3" xfId="3120"/>
    <cellStyle name="Input cel 2 2 2 7" xfId="1543"/>
    <cellStyle name="Input cel 2 2 2 7 2" xfId="2773"/>
    <cellStyle name="Input cel 2 2 2 8" xfId="1268"/>
    <cellStyle name="Input cel 2 2 2 9" xfId="2498"/>
    <cellStyle name="Input cel 2 2 3" xfId="390"/>
    <cellStyle name="Input cel 2 2 3 10" xfId="2485"/>
    <cellStyle name="Input cel 2 2 3 11" xfId="825"/>
    <cellStyle name="Input cel 2 2 3 2" xfId="440"/>
    <cellStyle name="Input cel 2 2 3 2 2" xfId="1027"/>
    <cellStyle name="Input cel 2 2 3 2 2 2" xfId="1945"/>
    <cellStyle name="Input cel 2 2 3 2 2 3" xfId="3175"/>
    <cellStyle name="Input cel 2 2 3 2 3" xfId="2148"/>
    <cellStyle name="Input cel 2 2 3 2 3 2" xfId="3378"/>
    <cellStyle name="Input cel 2 2 3 2 4" xfId="1699"/>
    <cellStyle name="Input cel 2 2 3 2 4 2" xfId="2929"/>
    <cellStyle name="Input cel 2 2 3 2 5" xfId="1327"/>
    <cellStyle name="Input cel 2 2 3 2 6" xfId="2557"/>
    <cellStyle name="Input cel 2 2 3 2 7" xfId="881"/>
    <cellStyle name="Input cel 2 2 3 3" xfId="457"/>
    <cellStyle name="Input cel 2 2 3 3 2" xfId="601"/>
    <cellStyle name="Input cel 2 2 3 3 2 2" xfId="2289"/>
    <cellStyle name="Input cel 2 2 3 3 2 2 2" xfId="3528"/>
    <cellStyle name="Input cel 2 2 3 3 2 3" xfId="3214"/>
    <cellStyle name="Input cel 2 2 3 3 2 4" xfId="1984"/>
    <cellStyle name="Input cel 2 2 3 3 3" xfId="2164"/>
    <cellStyle name="Input cel 2 2 3 3 3 2" xfId="3394"/>
    <cellStyle name="Input cel 2 2 3 3 4" xfId="1759"/>
    <cellStyle name="Input cel 2 2 3 3 4 2" xfId="2989"/>
    <cellStyle name="Input cel 2 2 3 3 5" xfId="1376"/>
    <cellStyle name="Input cel 2 2 3 3 6" xfId="2606"/>
    <cellStyle name="Input cel 2 2 3 3 7" xfId="1076"/>
    <cellStyle name="Input cel 2 2 3 4" xfId="665"/>
    <cellStyle name="Input cel 2 2 3 4 2" xfId="2353"/>
    <cellStyle name="Input cel 2 2 3 4 2 2" xfId="3592"/>
    <cellStyle name="Input cel 2 2 3 4 3" xfId="2045"/>
    <cellStyle name="Input cel 2 2 3 4 3 2" xfId="3275"/>
    <cellStyle name="Input cel 2 2 3 4 4" xfId="1440"/>
    <cellStyle name="Input cel 2 2 3 4 5" xfId="2670"/>
    <cellStyle name="Input cel 2 2 3 4 6" xfId="1140"/>
    <cellStyle name="Input cel 2 2 3 5" xfId="726"/>
    <cellStyle name="Input cel 2 2 3 5 2" xfId="2414"/>
    <cellStyle name="Input cel 2 2 3 5 2 2" xfId="3653"/>
    <cellStyle name="Input cel 2 2 3 5 3" xfId="2101"/>
    <cellStyle name="Input cel 2 2 3 5 3 2" xfId="3331"/>
    <cellStyle name="Input cel 2 2 3 5 4" xfId="1501"/>
    <cellStyle name="Input cel 2 2 3 5 5" xfId="2731"/>
    <cellStyle name="Input cel 2 2 3 5 6" xfId="1201"/>
    <cellStyle name="Input cel 2 2 3 6" xfId="957"/>
    <cellStyle name="Input cel 2 2 3 6 2" xfId="1877"/>
    <cellStyle name="Input cel 2 2 3 6 3" xfId="3107"/>
    <cellStyle name="Input cel 2 2 3 7" xfId="1557"/>
    <cellStyle name="Input cel 2 2 3 7 2" xfId="2786"/>
    <cellStyle name="Input cel 2 2 3 8" xfId="1525"/>
    <cellStyle name="Input cel 2 2 3 8 2" xfId="2755"/>
    <cellStyle name="Input cel 2 2 3 9" xfId="1255"/>
    <cellStyle name="Input cel 2 2 4" xfId="445"/>
    <cellStyle name="Input cel 2 2 4 2" xfId="505"/>
    <cellStyle name="Input cel 2 2 4 2 2" xfId="2203"/>
    <cellStyle name="Input cel 2 2 4 2 2 2" xfId="3438"/>
    <cellStyle name="Input cel 2 2 4 2 3" xfId="3102"/>
    <cellStyle name="Input cel 2 2 4 2 4" xfId="1872"/>
    <cellStyle name="Input cel 2 2 4 3" xfId="2152"/>
    <cellStyle name="Input cel 2 2 4 3 2" xfId="3382"/>
    <cellStyle name="Input cel 2 2 4 4" xfId="1635"/>
    <cellStyle name="Input cel 2 2 4 4 2" xfId="2864"/>
    <cellStyle name="Input cel 2 2 4 5" xfId="1246"/>
    <cellStyle name="Input cel 2 2 4 6" xfId="2476"/>
    <cellStyle name="Input cel 2 2 4 7" xfId="949"/>
    <cellStyle name="Input cel 2 2 5" xfId="615"/>
    <cellStyle name="Input cel 2 2 5 2" xfId="2303"/>
    <cellStyle name="Input cel 2 2 5 2 2" xfId="3542"/>
    <cellStyle name="Input cel 2 2 5 3" xfId="1672"/>
    <cellStyle name="Input cel 2 2 5 3 2" xfId="2901"/>
    <cellStyle name="Input cel 2 2 5 4" xfId="1390"/>
    <cellStyle name="Input cel 2 2 5 5" xfId="2620"/>
    <cellStyle name="Input cel 2 2 5 6" xfId="1090"/>
    <cellStyle name="Input cel 2 2 6" xfId="678"/>
    <cellStyle name="Input cel 2 2 6 2" xfId="2366"/>
    <cellStyle name="Input cel 2 2 6 2 2" xfId="3605"/>
    <cellStyle name="Input cel 2 2 6 3" xfId="2058"/>
    <cellStyle name="Input cel 2 2 6 3 2" xfId="3288"/>
    <cellStyle name="Input cel 2 2 6 4" xfId="1453"/>
    <cellStyle name="Input cel 2 2 6 5" xfId="2683"/>
    <cellStyle name="Input cel 2 2 6 6" xfId="1153"/>
    <cellStyle name="Input cel 2 2 7" xfId="409"/>
    <cellStyle name="Input cel 2 2 7 2" xfId="2120"/>
    <cellStyle name="Input cel 2 2 7 2 2" xfId="3350"/>
    <cellStyle name="Input cel 2 2 7 3" xfId="1574"/>
    <cellStyle name="Input cel 2 2 7 4" xfId="2804"/>
    <cellStyle name="Input cel 2 2 7 5" xfId="759"/>
    <cellStyle name="Input cel 2 2 8" xfId="1954"/>
    <cellStyle name="Input cel 2 2 8 2" xfId="3184"/>
    <cellStyle name="Input cel 2 2 9" xfId="760"/>
    <cellStyle name="Input cel 2 3" xfId="220"/>
    <cellStyle name="Input cel 2 3 2" xfId="322"/>
    <cellStyle name="Input cel 2 3 2 10" xfId="2535"/>
    <cellStyle name="Input cel 2 3 2 11" xfId="911"/>
    <cellStyle name="Input cel 2 3 2 2" xfId="319"/>
    <cellStyle name="Input cel 2 3 2 2 2" xfId="578"/>
    <cellStyle name="Input cel 2 3 2 2 2 2" xfId="3505"/>
    <cellStyle name="Input cel 2 3 2 2 2 3" xfId="2266"/>
    <cellStyle name="Input cel 2 3 2 2 3" xfId="1558"/>
    <cellStyle name="Input cel 2 3 2 2 3 2" xfId="2787"/>
    <cellStyle name="Input cel 2 3 2 2 4" xfId="1961"/>
    <cellStyle name="Input cel 2 3 2 2 4 2" xfId="3191"/>
    <cellStyle name="Input cel 2 3 2 2 5" xfId="1353"/>
    <cellStyle name="Input cel 2 3 2 2 6" xfId="2583"/>
    <cellStyle name="Input cel 2 3 2 2 7" xfId="1053"/>
    <cellStyle name="Input cel 2 3 2 3" xfId="642"/>
    <cellStyle name="Input cel 2 3 2 3 2" xfId="2330"/>
    <cellStyle name="Input cel 2 3 2 3 2 2" xfId="3569"/>
    <cellStyle name="Input cel 2 3 2 3 3" xfId="2022"/>
    <cellStyle name="Input cel 2 3 2 3 3 2" xfId="3252"/>
    <cellStyle name="Input cel 2 3 2 3 4" xfId="1417"/>
    <cellStyle name="Input cel 2 3 2 3 5" xfId="2647"/>
    <cellStyle name="Input cel 2 3 2 3 6" xfId="1117"/>
    <cellStyle name="Input cel 2 3 2 4" xfId="704"/>
    <cellStyle name="Input cel 2 3 2 4 2" xfId="2392"/>
    <cellStyle name="Input cel 2 3 2 4 2 2" xfId="3631"/>
    <cellStyle name="Input cel 2 3 2 4 3" xfId="2079"/>
    <cellStyle name="Input cel 2 3 2 4 3 2" xfId="3309"/>
    <cellStyle name="Input cel 2 3 2 4 4" xfId="1479"/>
    <cellStyle name="Input cel 2 3 2 4 5" xfId="2709"/>
    <cellStyle name="Input cel 2 3 2 4 6" xfId="1179"/>
    <cellStyle name="Input cel 2 3 2 5" xfId="540"/>
    <cellStyle name="Input cel 2 3 2 5 2" xfId="2229"/>
    <cellStyle name="Input cel 2 3 2 5 2 2" xfId="3468"/>
    <cellStyle name="Input cel 2 3 2 5 3" xfId="1923"/>
    <cellStyle name="Input cel 2 3 2 5 4" xfId="3153"/>
    <cellStyle name="Input cel 2 3 2 5 5" xfId="1004"/>
    <cellStyle name="Input cel 2 3 2 6" xfId="1843"/>
    <cellStyle name="Input cel 2 3 2 6 2" xfId="3073"/>
    <cellStyle name="Input cel 2 3 2 7" xfId="1993"/>
    <cellStyle name="Input cel 2 3 2 7 2" xfId="3223"/>
    <cellStyle name="Input cel 2 3 2 8" xfId="1735"/>
    <cellStyle name="Input cel 2 3 2 8 2" xfId="2965"/>
    <cellStyle name="Input cel 2 3 2 9" xfId="1305"/>
    <cellStyle name="Input cel 2 3 3" xfId="485"/>
    <cellStyle name="Input cel 2 3 3 2" xfId="2189"/>
    <cellStyle name="Input cel 2 3 3 2 2" xfId="3421"/>
    <cellStyle name="Input cel 2 3 3 3" xfId="1779"/>
    <cellStyle name="Input cel 2 3 3 3 2" xfId="3009"/>
    <cellStyle name="Input cel 2 3 3 4" xfId="1216"/>
    <cellStyle name="Input cel 2 3 3 5" xfId="2447"/>
    <cellStyle name="Input cel 2 3 3 6" xfId="808"/>
    <cellStyle name="Input cel 2 3 4" xfId="518"/>
    <cellStyle name="Input cel 2 3 4 2" xfId="3448"/>
    <cellStyle name="Input cel 2 3 5" xfId="1645"/>
    <cellStyle name="Input cel 2 3 5 2" xfId="2874"/>
    <cellStyle name="Input cel 2 3 6" xfId="1620"/>
    <cellStyle name="Input cel 2 3 6 2" xfId="2849"/>
    <cellStyle name="Input cel 2 3 7" xfId="947"/>
    <cellStyle name="Input cel 2 3 8" xfId="2422"/>
    <cellStyle name="Input cel 2 3 9" xfId="336"/>
    <cellStyle name="Input cel 2 4" xfId="305"/>
    <cellStyle name="Input cel 3" xfId="22"/>
    <cellStyle name="Input cel 3 2" xfId="278"/>
    <cellStyle name="Input cel 3 2 10" xfId="763"/>
    <cellStyle name="Input cel 3 2 11" xfId="739"/>
    <cellStyle name="Input cel 3 2 2" xfId="370"/>
    <cellStyle name="Input cel 3 2 2 10" xfId="845"/>
    <cellStyle name="Input cel 3 2 2 2" xfId="377"/>
    <cellStyle name="Input cel 3 2 2 2 2" xfId="536"/>
    <cellStyle name="Input cel 3 2 2 2 2 2" xfId="2226"/>
    <cellStyle name="Input cel 3 2 2 2 2 2 2" xfId="3464"/>
    <cellStyle name="Input cel 3 2 2 2 2 3" xfId="1916"/>
    <cellStyle name="Input cel 3 2 2 2 2 4" xfId="3146"/>
    <cellStyle name="Input cel 3 2 2 2 2 5" xfId="997"/>
    <cellStyle name="Input cel 3 2 2 2 3" xfId="1833"/>
    <cellStyle name="Input cel 3 2 2 2 3 2" xfId="3063"/>
    <cellStyle name="Input cel 3 2 2 2 4" xfId="1690"/>
    <cellStyle name="Input cel 3 2 2 2 4 2" xfId="2919"/>
    <cellStyle name="Input cel 3 2 2 2 5" xfId="1657"/>
    <cellStyle name="Input cel 3 2 2 2 5 2" xfId="2886"/>
    <cellStyle name="Input cel 3 2 2 2 6" xfId="1298"/>
    <cellStyle name="Input cel 3 2 2 2 7" xfId="2528"/>
    <cellStyle name="Input cel 3 2 2 2 8" xfId="900"/>
    <cellStyle name="Input cel 3 2 2 3" xfId="571"/>
    <cellStyle name="Input cel 3 2 2 3 2" xfId="2259"/>
    <cellStyle name="Input cel 3 2 2 3 2 2" xfId="3498"/>
    <cellStyle name="Input cel 3 2 2 3 3" xfId="1718"/>
    <cellStyle name="Input cel 3 2 2 3 3 2" xfId="2948"/>
    <cellStyle name="Input cel 3 2 2 3 4" xfId="1346"/>
    <cellStyle name="Input cel 3 2 2 3 5" xfId="2576"/>
    <cellStyle name="Input cel 3 2 2 3 6" xfId="1046"/>
    <cellStyle name="Input cel 3 2 2 4" xfId="635"/>
    <cellStyle name="Input cel 3 2 2 4 2" xfId="2323"/>
    <cellStyle name="Input cel 3 2 2 4 2 2" xfId="3562"/>
    <cellStyle name="Input cel 3 2 2 4 3" xfId="2015"/>
    <cellStyle name="Input cel 3 2 2 4 3 2" xfId="3245"/>
    <cellStyle name="Input cel 3 2 2 4 4" xfId="1410"/>
    <cellStyle name="Input cel 3 2 2 4 5" xfId="2640"/>
    <cellStyle name="Input cel 3 2 2 4 6" xfId="1110"/>
    <cellStyle name="Input cel 3 2 2 5" xfId="697"/>
    <cellStyle name="Input cel 3 2 2 5 2" xfId="2385"/>
    <cellStyle name="Input cel 3 2 2 5 2 2" xfId="3624"/>
    <cellStyle name="Input cel 3 2 2 5 3" xfId="2072"/>
    <cellStyle name="Input cel 3 2 2 5 3 2" xfId="3302"/>
    <cellStyle name="Input cel 3 2 2 5 4" xfId="1472"/>
    <cellStyle name="Input cel 3 2 2 5 5" xfId="2702"/>
    <cellStyle name="Input cel 3 2 2 5 6" xfId="1172"/>
    <cellStyle name="Input cel 3 2 2 6" xfId="977"/>
    <cellStyle name="Input cel 3 2 2 6 2" xfId="1897"/>
    <cellStyle name="Input cel 3 2 2 6 3" xfId="3127"/>
    <cellStyle name="Input cel 3 2 2 7" xfId="1592"/>
    <cellStyle name="Input cel 3 2 2 7 2" xfId="2822"/>
    <cellStyle name="Input cel 3 2 2 8" xfId="1275"/>
    <cellStyle name="Input cel 3 2 2 9" xfId="2505"/>
    <cellStyle name="Input cel 3 2 3" xfId="391"/>
    <cellStyle name="Input cel 3 2 3 10" xfId="2486"/>
    <cellStyle name="Input cel 3 2 3 11" xfId="826"/>
    <cellStyle name="Input cel 3 2 3 2" xfId="441"/>
    <cellStyle name="Input cel 3 2 3 2 2" xfId="1028"/>
    <cellStyle name="Input cel 3 2 3 2 2 2" xfId="1946"/>
    <cellStyle name="Input cel 3 2 3 2 2 3" xfId="3176"/>
    <cellStyle name="Input cel 3 2 3 2 3" xfId="2149"/>
    <cellStyle name="Input cel 3 2 3 2 3 2" xfId="3379"/>
    <cellStyle name="Input cel 3 2 3 2 4" xfId="1700"/>
    <cellStyle name="Input cel 3 2 3 2 4 2" xfId="2930"/>
    <cellStyle name="Input cel 3 2 3 2 5" xfId="1328"/>
    <cellStyle name="Input cel 3 2 3 2 6" xfId="2558"/>
    <cellStyle name="Input cel 3 2 3 2 7" xfId="882"/>
    <cellStyle name="Input cel 3 2 3 3" xfId="458"/>
    <cellStyle name="Input cel 3 2 3 3 2" xfId="602"/>
    <cellStyle name="Input cel 3 2 3 3 2 2" xfId="2290"/>
    <cellStyle name="Input cel 3 2 3 3 2 2 2" xfId="3529"/>
    <cellStyle name="Input cel 3 2 3 3 2 3" xfId="3215"/>
    <cellStyle name="Input cel 3 2 3 3 2 4" xfId="1985"/>
    <cellStyle name="Input cel 3 2 3 3 3" xfId="2165"/>
    <cellStyle name="Input cel 3 2 3 3 3 2" xfId="3395"/>
    <cellStyle name="Input cel 3 2 3 3 4" xfId="1760"/>
    <cellStyle name="Input cel 3 2 3 3 4 2" xfId="2990"/>
    <cellStyle name="Input cel 3 2 3 3 5" xfId="1377"/>
    <cellStyle name="Input cel 3 2 3 3 6" xfId="2607"/>
    <cellStyle name="Input cel 3 2 3 3 7" xfId="1077"/>
    <cellStyle name="Input cel 3 2 3 4" xfId="666"/>
    <cellStyle name="Input cel 3 2 3 4 2" xfId="2354"/>
    <cellStyle name="Input cel 3 2 3 4 2 2" xfId="3593"/>
    <cellStyle name="Input cel 3 2 3 4 3" xfId="2046"/>
    <cellStyle name="Input cel 3 2 3 4 3 2" xfId="3276"/>
    <cellStyle name="Input cel 3 2 3 4 4" xfId="1441"/>
    <cellStyle name="Input cel 3 2 3 4 5" xfId="2671"/>
    <cellStyle name="Input cel 3 2 3 4 6" xfId="1141"/>
    <cellStyle name="Input cel 3 2 3 5" xfId="727"/>
    <cellStyle name="Input cel 3 2 3 5 2" xfId="2415"/>
    <cellStyle name="Input cel 3 2 3 5 2 2" xfId="3654"/>
    <cellStyle name="Input cel 3 2 3 5 3" xfId="2102"/>
    <cellStyle name="Input cel 3 2 3 5 3 2" xfId="3332"/>
    <cellStyle name="Input cel 3 2 3 5 4" xfId="1502"/>
    <cellStyle name="Input cel 3 2 3 5 5" xfId="2732"/>
    <cellStyle name="Input cel 3 2 3 5 6" xfId="1202"/>
    <cellStyle name="Input cel 3 2 3 6" xfId="958"/>
    <cellStyle name="Input cel 3 2 3 6 2" xfId="1878"/>
    <cellStyle name="Input cel 3 2 3 6 3" xfId="3108"/>
    <cellStyle name="Input cel 3 2 3 7" xfId="1664"/>
    <cellStyle name="Input cel 3 2 3 7 2" xfId="2893"/>
    <cellStyle name="Input cel 3 2 3 8" xfId="1526"/>
    <cellStyle name="Input cel 3 2 3 8 2" xfId="2756"/>
    <cellStyle name="Input cel 3 2 3 9" xfId="1256"/>
    <cellStyle name="Input cel 3 2 4" xfId="293"/>
    <cellStyle name="Input cel 3 2 4 2" xfId="497"/>
    <cellStyle name="Input cel 3 2 4 2 2" xfId="2196"/>
    <cellStyle name="Input cel 3 2 4 2 2 2" xfId="3431"/>
    <cellStyle name="Input cel 3 2 4 2 3" xfId="3095"/>
    <cellStyle name="Input cel 3 2 4 2 4" xfId="1865"/>
    <cellStyle name="Input cel 3 2 4 3" xfId="1733"/>
    <cellStyle name="Input cel 3 2 4 3 2" xfId="2963"/>
    <cellStyle name="Input cel 3 2 4 4" xfId="1636"/>
    <cellStyle name="Input cel 3 2 4 4 2" xfId="2865"/>
    <cellStyle name="Input cel 3 2 4 5" xfId="1237"/>
    <cellStyle name="Input cel 3 2 4 6" xfId="2468"/>
    <cellStyle name="Input cel 3 2 4 7" xfId="941"/>
    <cellStyle name="Input cel 3 2 5" xfId="616"/>
    <cellStyle name="Input cel 3 2 5 2" xfId="2304"/>
    <cellStyle name="Input cel 3 2 5 2 2" xfId="3543"/>
    <cellStyle name="Input cel 3 2 5 3" xfId="1673"/>
    <cellStyle name="Input cel 3 2 5 3 2" xfId="2902"/>
    <cellStyle name="Input cel 3 2 5 4" xfId="1391"/>
    <cellStyle name="Input cel 3 2 5 5" xfId="2621"/>
    <cellStyle name="Input cel 3 2 5 6" xfId="1091"/>
    <cellStyle name="Input cel 3 2 6" xfId="679"/>
    <cellStyle name="Input cel 3 2 6 2" xfId="2367"/>
    <cellStyle name="Input cel 3 2 6 2 2" xfId="3606"/>
    <cellStyle name="Input cel 3 2 6 3" xfId="2059"/>
    <cellStyle name="Input cel 3 2 6 3 2" xfId="3289"/>
    <cellStyle name="Input cel 3 2 6 4" xfId="1454"/>
    <cellStyle name="Input cel 3 2 6 5" xfId="2684"/>
    <cellStyle name="Input cel 3 2 6 6" xfId="1154"/>
    <cellStyle name="Input cel 3 2 7" xfId="361"/>
    <cellStyle name="Input cel 3 2 7 2" xfId="1577"/>
    <cellStyle name="Input cel 3 2 7 2 2" xfId="2807"/>
    <cellStyle name="Input cel 3 2 7 3" xfId="1807"/>
    <cellStyle name="Input cel 3 2 7 4" xfId="3037"/>
    <cellStyle name="Input cel 3 2 7 5" xfId="857"/>
    <cellStyle name="Input cel 3 2 8" xfId="1799"/>
    <cellStyle name="Input cel 3 2 8 2" xfId="3029"/>
    <cellStyle name="Input cel 3 2 9" xfId="783"/>
    <cellStyle name="Input cel 3 3" xfId="221"/>
    <cellStyle name="Input cel 3 3 2" xfId="294"/>
    <cellStyle name="Input cel 3 3 2 10" xfId="2541"/>
    <cellStyle name="Input cel 3 3 2 11" xfId="917"/>
    <cellStyle name="Input cel 3 3 2 2" xfId="411"/>
    <cellStyle name="Input cel 3 3 2 2 2" xfId="584"/>
    <cellStyle name="Input cel 3 3 2 2 2 2" xfId="3511"/>
    <cellStyle name="Input cel 3 3 2 2 2 3" xfId="2272"/>
    <cellStyle name="Input cel 3 3 2 2 3" xfId="2122"/>
    <cellStyle name="Input cel 3 3 2 2 3 2" xfId="3352"/>
    <cellStyle name="Input cel 3 3 2 2 4" xfId="1967"/>
    <cellStyle name="Input cel 3 3 2 2 4 2" xfId="3197"/>
    <cellStyle name="Input cel 3 3 2 2 5" xfId="1359"/>
    <cellStyle name="Input cel 3 3 2 2 6" xfId="2589"/>
    <cellStyle name="Input cel 3 3 2 2 7" xfId="1059"/>
    <cellStyle name="Input cel 3 3 2 3" xfId="648"/>
    <cellStyle name="Input cel 3 3 2 3 2" xfId="2336"/>
    <cellStyle name="Input cel 3 3 2 3 2 2" xfId="3575"/>
    <cellStyle name="Input cel 3 3 2 3 3" xfId="2028"/>
    <cellStyle name="Input cel 3 3 2 3 3 2" xfId="3258"/>
    <cellStyle name="Input cel 3 3 2 3 4" xfId="1423"/>
    <cellStyle name="Input cel 3 3 2 3 5" xfId="2653"/>
    <cellStyle name="Input cel 3 3 2 3 6" xfId="1123"/>
    <cellStyle name="Input cel 3 3 2 4" xfId="710"/>
    <cellStyle name="Input cel 3 3 2 4 2" xfId="2398"/>
    <cellStyle name="Input cel 3 3 2 4 2 2" xfId="3637"/>
    <cellStyle name="Input cel 3 3 2 4 3" xfId="2085"/>
    <cellStyle name="Input cel 3 3 2 4 3 2" xfId="3315"/>
    <cellStyle name="Input cel 3 3 2 4 4" xfId="1485"/>
    <cellStyle name="Input cel 3 3 2 4 5" xfId="2715"/>
    <cellStyle name="Input cel 3 3 2 4 6" xfId="1185"/>
    <cellStyle name="Input cel 3 3 2 5" xfId="546"/>
    <cellStyle name="Input cel 3 3 2 5 2" xfId="2235"/>
    <cellStyle name="Input cel 3 3 2 5 2 2" xfId="3474"/>
    <cellStyle name="Input cel 3 3 2 5 3" xfId="1929"/>
    <cellStyle name="Input cel 3 3 2 5 4" xfId="3159"/>
    <cellStyle name="Input cel 3 3 2 5 5" xfId="1010"/>
    <cellStyle name="Input cel 3 3 2 6" xfId="1849"/>
    <cellStyle name="Input cel 3 3 2 6 2" xfId="3079"/>
    <cellStyle name="Input cel 3 3 2 7" xfId="1541"/>
    <cellStyle name="Input cel 3 3 2 7 2" xfId="2771"/>
    <cellStyle name="Input cel 3 3 2 8" xfId="1741"/>
    <cellStyle name="Input cel 3 3 2 8 2" xfId="2971"/>
    <cellStyle name="Input cel 3 3 2 9" xfId="1311"/>
    <cellStyle name="Input cel 3 3 3" xfId="480"/>
    <cellStyle name="Input cel 3 3 3 2" xfId="2185"/>
    <cellStyle name="Input cel 3 3 3 2 2" xfId="3416"/>
    <cellStyle name="Input cel 3 3 3 3" xfId="1605"/>
    <cellStyle name="Input cel 3 3 3 3 2" xfId="2835"/>
    <cellStyle name="Input cel 3 3 3 4" xfId="1209"/>
    <cellStyle name="Input cel 3 3 3 5" xfId="2440"/>
    <cellStyle name="Input cel 3 3 3 6" xfId="751"/>
    <cellStyle name="Input cel 3 3 4" xfId="364"/>
    <cellStyle name="Input cel 3 3 4 2" xfId="2789"/>
    <cellStyle name="Input cel 3 3 5" xfId="1845"/>
    <cellStyle name="Input cel 3 3 5 2" xfId="3075"/>
    <cellStyle name="Input cel 3 3 6" xfId="1600"/>
    <cellStyle name="Input cel 3 3 6 2" xfId="2830"/>
    <cellStyle name="Input cel 3 3 7" xfId="1215"/>
    <cellStyle name="Input cel 3 3 8" xfId="2446"/>
    <cellStyle name="Input cel 3 3 9" xfId="553"/>
    <cellStyle name="Input cel 3 4" xfId="444"/>
    <cellStyle name="Input cel 4" xfId="276"/>
    <cellStyle name="Input cel 4 10" xfId="934"/>
    <cellStyle name="Input cel 4 11" xfId="737"/>
    <cellStyle name="Input cel 4 2" xfId="368"/>
    <cellStyle name="Input cel 4 2 10" xfId="840"/>
    <cellStyle name="Input cel 4 2 2" xfId="435"/>
    <cellStyle name="Input cel 4 2 2 2" xfId="531"/>
    <cellStyle name="Input cel 4 2 2 2 2" xfId="2221"/>
    <cellStyle name="Input cel 4 2 2 2 2 2" xfId="3459"/>
    <cellStyle name="Input cel 4 2 2 2 3" xfId="1911"/>
    <cellStyle name="Input cel 4 2 2 2 4" xfId="3141"/>
    <cellStyle name="Input cel 4 2 2 2 5" xfId="992"/>
    <cellStyle name="Input cel 4 2 2 3" xfId="1828"/>
    <cellStyle name="Input cel 4 2 2 3 2" xfId="3058"/>
    <cellStyle name="Input cel 4 2 2 4" xfId="2143"/>
    <cellStyle name="Input cel 4 2 2 4 2" xfId="3373"/>
    <cellStyle name="Input cel 4 2 2 5" xfId="1652"/>
    <cellStyle name="Input cel 4 2 2 5 2" xfId="2881"/>
    <cellStyle name="Input cel 4 2 2 6" xfId="1293"/>
    <cellStyle name="Input cel 4 2 2 7" xfId="2523"/>
    <cellStyle name="Input cel 4 2 2 8" xfId="895"/>
    <cellStyle name="Input cel 4 2 3" xfId="566"/>
    <cellStyle name="Input cel 4 2 3 2" xfId="2254"/>
    <cellStyle name="Input cel 4 2 3 2 2" xfId="3493"/>
    <cellStyle name="Input cel 4 2 3 3" xfId="1713"/>
    <cellStyle name="Input cel 4 2 3 3 2" xfId="2943"/>
    <cellStyle name="Input cel 4 2 3 4" xfId="1341"/>
    <cellStyle name="Input cel 4 2 3 5" xfId="2571"/>
    <cellStyle name="Input cel 4 2 3 6" xfId="1041"/>
    <cellStyle name="Input cel 4 2 4" xfId="630"/>
    <cellStyle name="Input cel 4 2 4 2" xfId="2318"/>
    <cellStyle name="Input cel 4 2 4 2 2" xfId="3557"/>
    <cellStyle name="Input cel 4 2 4 3" xfId="2010"/>
    <cellStyle name="Input cel 4 2 4 3 2" xfId="3240"/>
    <cellStyle name="Input cel 4 2 4 4" xfId="1405"/>
    <cellStyle name="Input cel 4 2 4 5" xfId="2635"/>
    <cellStyle name="Input cel 4 2 4 6" xfId="1105"/>
    <cellStyle name="Input cel 4 2 5" xfId="692"/>
    <cellStyle name="Input cel 4 2 5 2" xfId="2380"/>
    <cellStyle name="Input cel 4 2 5 2 2" xfId="3619"/>
    <cellStyle name="Input cel 4 2 5 3" xfId="2067"/>
    <cellStyle name="Input cel 4 2 5 3 2" xfId="3297"/>
    <cellStyle name="Input cel 4 2 5 4" xfId="1467"/>
    <cellStyle name="Input cel 4 2 5 5" xfId="2697"/>
    <cellStyle name="Input cel 4 2 5 6" xfId="1167"/>
    <cellStyle name="Input cel 4 2 6" xfId="972"/>
    <cellStyle name="Input cel 4 2 6 2" xfId="1892"/>
    <cellStyle name="Input cel 4 2 6 3" xfId="3122"/>
    <cellStyle name="Input cel 4 2 7" xfId="1780"/>
    <cellStyle name="Input cel 4 2 7 2" xfId="3010"/>
    <cellStyle name="Input cel 4 2 8" xfId="1270"/>
    <cellStyle name="Input cel 4 2 9" xfId="2500"/>
    <cellStyle name="Input cel 4 3" xfId="389"/>
    <cellStyle name="Input cel 4 3 10" xfId="2484"/>
    <cellStyle name="Input cel 4 3 11" xfId="824"/>
    <cellStyle name="Input cel 4 3 2" xfId="439"/>
    <cellStyle name="Input cel 4 3 2 2" xfId="1026"/>
    <cellStyle name="Input cel 4 3 2 2 2" xfId="1944"/>
    <cellStyle name="Input cel 4 3 2 2 3" xfId="3174"/>
    <cellStyle name="Input cel 4 3 2 3" xfId="2147"/>
    <cellStyle name="Input cel 4 3 2 3 2" xfId="3377"/>
    <cellStyle name="Input cel 4 3 2 4" xfId="1698"/>
    <cellStyle name="Input cel 4 3 2 4 2" xfId="2928"/>
    <cellStyle name="Input cel 4 3 2 5" xfId="1326"/>
    <cellStyle name="Input cel 4 3 2 6" xfId="2556"/>
    <cellStyle name="Input cel 4 3 2 7" xfId="880"/>
    <cellStyle name="Input cel 4 3 3" xfId="456"/>
    <cellStyle name="Input cel 4 3 3 2" xfId="600"/>
    <cellStyle name="Input cel 4 3 3 2 2" xfId="2288"/>
    <cellStyle name="Input cel 4 3 3 2 2 2" xfId="3527"/>
    <cellStyle name="Input cel 4 3 3 2 3" xfId="3213"/>
    <cellStyle name="Input cel 4 3 3 2 4" xfId="1983"/>
    <cellStyle name="Input cel 4 3 3 3" xfId="2163"/>
    <cellStyle name="Input cel 4 3 3 3 2" xfId="3393"/>
    <cellStyle name="Input cel 4 3 3 4" xfId="1758"/>
    <cellStyle name="Input cel 4 3 3 4 2" xfId="2988"/>
    <cellStyle name="Input cel 4 3 3 5" xfId="1375"/>
    <cellStyle name="Input cel 4 3 3 6" xfId="2605"/>
    <cellStyle name="Input cel 4 3 3 7" xfId="1075"/>
    <cellStyle name="Input cel 4 3 4" xfId="664"/>
    <cellStyle name="Input cel 4 3 4 2" xfId="2352"/>
    <cellStyle name="Input cel 4 3 4 2 2" xfId="3591"/>
    <cellStyle name="Input cel 4 3 4 3" xfId="2044"/>
    <cellStyle name="Input cel 4 3 4 3 2" xfId="3274"/>
    <cellStyle name="Input cel 4 3 4 4" xfId="1439"/>
    <cellStyle name="Input cel 4 3 4 5" xfId="2669"/>
    <cellStyle name="Input cel 4 3 4 6" xfId="1139"/>
    <cellStyle name="Input cel 4 3 5" xfId="725"/>
    <cellStyle name="Input cel 4 3 5 2" xfId="2413"/>
    <cellStyle name="Input cel 4 3 5 2 2" xfId="3652"/>
    <cellStyle name="Input cel 4 3 5 3" xfId="2100"/>
    <cellStyle name="Input cel 4 3 5 3 2" xfId="3330"/>
    <cellStyle name="Input cel 4 3 5 4" xfId="1500"/>
    <cellStyle name="Input cel 4 3 5 5" xfId="2730"/>
    <cellStyle name="Input cel 4 3 5 6" xfId="1200"/>
    <cellStyle name="Input cel 4 3 6" xfId="956"/>
    <cellStyle name="Input cel 4 3 6 2" xfId="1876"/>
    <cellStyle name="Input cel 4 3 6 3" xfId="3106"/>
    <cellStyle name="Input cel 4 3 7" xfId="1559"/>
    <cellStyle name="Input cel 4 3 7 2" xfId="2788"/>
    <cellStyle name="Input cel 4 3 8" xfId="1524"/>
    <cellStyle name="Input cel 4 3 8 2" xfId="2754"/>
    <cellStyle name="Input cel 4 3 9" xfId="1254"/>
    <cellStyle name="Input cel 4 4" xfId="431"/>
    <cellStyle name="Input cel 4 4 2" xfId="494"/>
    <cellStyle name="Input cel 4 4 2 2" xfId="2194"/>
    <cellStyle name="Input cel 4 4 2 2 2" xfId="3428"/>
    <cellStyle name="Input cel 4 4 2 3" xfId="3091"/>
    <cellStyle name="Input cel 4 4 2 4" xfId="1861"/>
    <cellStyle name="Input cel 4 4 3" xfId="2139"/>
    <cellStyle name="Input cel 4 4 3 2" xfId="3369"/>
    <cellStyle name="Input cel 4 4 4" xfId="1634"/>
    <cellStyle name="Input cel 4 4 4 2" xfId="2863"/>
    <cellStyle name="Input cel 4 4 5" xfId="1232"/>
    <cellStyle name="Input cel 4 4 6" xfId="2463"/>
    <cellStyle name="Input cel 4 4 7" xfId="937"/>
    <cellStyle name="Input cel 4 5" xfId="614"/>
    <cellStyle name="Input cel 4 5 2" xfId="2302"/>
    <cellStyle name="Input cel 4 5 2 2" xfId="3541"/>
    <cellStyle name="Input cel 4 5 3" xfId="1671"/>
    <cellStyle name="Input cel 4 5 3 2" xfId="2900"/>
    <cellStyle name="Input cel 4 5 4" xfId="1389"/>
    <cellStyle name="Input cel 4 5 5" xfId="2619"/>
    <cellStyle name="Input cel 4 5 6" xfId="1089"/>
    <cellStyle name="Input cel 4 6" xfId="677"/>
    <cellStyle name="Input cel 4 6 2" xfId="2365"/>
    <cellStyle name="Input cel 4 6 2 2" xfId="3604"/>
    <cellStyle name="Input cel 4 6 3" xfId="2057"/>
    <cellStyle name="Input cel 4 6 3 2" xfId="3287"/>
    <cellStyle name="Input cel 4 6 4" xfId="1452"/>
    <cellStyle name="Input cel 4 6 5" xfId="2682"/>
    <cellStyle name="Input cel 4 6 6" xfId="1152"/>
    <cellStyle name="Input cel 4 7" xfId="307"/>
    <cellStyle name="Input cel 4 7 2" xfId="1578"/>
    <cellStyle name="Input cel 4 7 2 2" xfId="2808"/>
    <cellStyle name="Input cel 4 7 3" xfId="1804"/>
    <cellStyle name="Input cel 4 7 4" xfId="3034"/>
    <cellStyle name="Input cel 4 7 5" xfId="852"/>
    <cellStyle name="Input cel 4 8" xfId="1795"/>
    <cellStyle name="Input cel 4 8 2" xfId="3025"/>
    <cellStyle name="Input cel 4 9" xfId="778"/>
    <cellStyle name="Input cel 5" xfId="219"/>
    <cellStyle name="Input cel 5 2" xfId="363"/>
    <cellStyle name="Input cel 5 2 10" xfId="2539"/>
    <cellStyle name="Input cel 5 2 11" xfId="915"/>
    <cellStyle name="Input cel 5 2 2" xfId="340"/>
    <cellStyle name="Input cel 5 2 2 2" xfId="582"/>
    <cellStyle name="Input cel 5 2 2 2 2" xfId="3509"/>
    <cellStyle name="Input cel 5 2 2 2 3" xfId="2270"/>
    <cellStyle name="Input cel 5 2 2 3" xfId="1994"/>
    <cellStyle name="Input cel 5 2 2 3 2" xfId="3224"/>
    <cellStyle name="Input cel 5 2 2 4" xfId="1965"/>
    <cellStyle name="Input cel 5 2 2 4 2" xfId="3195"/>
    <cellStyle name="Input cel 5 2 2 5" xfId="1357"/>
    <cellStyle name="Input cel 5 2 2 6" xfId="2587"/>
    <cellStyle name="Input cel 5 2 2 7" xfId="1057"/>
    <cellStyle name="Input cel 5 2 3" xfId="646"/>
    <cellStyle name="Input cel 5 2 3 2" xfId="2334"/>
    <cellStyle name="Input cel 5 2 3 2 2" xfId="3573"/>
    <cellStyle name="Input cel 5 2 3 3" xfId="2026"/>
    <cellStyle name="Input cel 5 2 3 3 2" xfId="3256"/>
    <cellStyle name="Input cel 5 2 3 4" xfId="1421"/>
    <cellStyle name="Input cel 5 2 3 5" xfId="2651"/>
    <cellStyle name="Input cel 5 2 3 6" xfId="1121"/>
    <cellStyle name="Input cel 5 2 4" xfId="708"/>
    <cellStyle name="Input cel 5 2 4 2" xfId="2396"/>
    <cellStyle name="Input cel 5 2 4 2 2" xfId="3635"/>
    <cellStyle name="Input cel 5 2 4 3" xfId="2083"/>
    <cellStyle name="Input cel 5 2 4 3 2" xfId="3313"/>
    <cellStyle name="Input cel 5 2 4 4" xfId="1483"/>
    <cellStyle name="Input cel 5 2 4 5" xfId="2713"/>
    <cellStyle name="Input cel 5 2 4 6" xfId="1183"/>
    <cellStyle name="Input cel 5 2 5" xfId="544"/>
    <cellStyle name="Input cel 5 2 5 2" xfId="2233"/>
    <cellStyle name="Input cel 5 2 5 2 2" xfId="3472"/>
    <cellStyle name="Input cel 5 2 5 3" xfId="1927"/>
    <cellStyle name="Input cel 5 2 5 4" xfId="3157"/>
    <cellStyle name="Input cel 5 2 5 5" xfId="1008"/>
    <cellStyle name="Input cel 5 2 6" xfId="1847"/>
    <cellStyle name="Input cel 5 2 6 2" xfId="3077"/>
    <cellStyle name="Input cel 5 2 7" xfId="1643"/>
    <cellStyle name="Input cel 5 2 7 2" xfId="2872"/>
    <cellStyle name="Input cel 5 2 8" xfId="1739"/>
    <cellStyle name="Input cel 5 2 8 2" xfId="2969"/>
    <cellStyle name="Input cel 5 2 9" xfId="1309"/>
    <cellStyle name="Input cel 5 3" xfId="499"/>
    <cellStyle name="Input cel 5 3 2" xfId="2197"/>
    <cellStyle name="Input cel 5 3 2 2" xfId="3432"/>
    <cellStyle name="Input cel 5 3 3" xfId="1568"/>
    <cellStyle name="Input cel 5 3 3 2" xfId="2798"/>
    <cellStyle name="Input cel 5 3 4" xfId="1239"/>
    <cellStyle name="Input cel 5 3 5" xfId="2470"/>
    <cellStyle name="Input cel 5 3 6" xfId="787"/>
    <cellStyle name="Input cel 5 4" xfId="538"/>
    <cellStyle name="Input cel 5 4 2" xfId="3466"/>
    <cellStyle name="Input cel 5 5" xfId="1548"/>
    <cellStyle name="Input cel 5 5 2" xfId="2778"/>
    <cellStyle name="Input cel 5 6" xfId="1535"/>
    <cellStyle name="Input cel 5 6 2" xfId="2765"/>
    <cellStyle name="Input cel 5 7" xfId="1213"/>
    <cellStyle name="Input cel 5 8" xfId="2444"/>
    <cellStyle name="Input cel 5 9" xfId="519"/>
    <cellStyle name="Input cel 6" xfId="309"/>
    <cellStyle name="Input cel new" xfId="23"/>
    <cellStyle name="Input cel new 2" xfId="24"/>
    <cellStyle name="Input cel new 2 2" xfId="168"/>
    <cellStyle name="Input cel new 2 2 2" xfId="184"/>
    <cellStyle name="Input cel new 2 2 2 10" xfId="744"/>
    <cellStyle name="Input cel new 2 2 2 2" xfId="283"/>
    <cellStyle name="Input cel new 2 2 2 2 10" xfId="849"/>
    <cellStyle name="Input cel new 2 2 2 2 2" xfId="423"/>
    <cellStyle name="Input cel new 2 2 2 2 2 2" xfId="1001"/>
    <cellStyle name="Input cel new 2 2 2 2 2 2 2" xfId="1920"/>
    <cellStyle name="Input cel new 2 2 2 2 2 2 3" xfId="3150"/>
    <cellStyle name="Input cel new 2 2 2 2 2 3" xfId="1837"/>
    <cellStyle name="Input cel new 2 2 2 2 2 3 2" xfId="3067"/>
    <cellStyle name="Input cel new 2 2 2 2 2 4" xfId="2131"/>
    <cellStyle name="Input cel new 2 2 2 2 2 4 2" xfId="3361"/>
    <cellStyle name="Input cel new 2 2 2 2 2 5" xfId="1661"/>
    <cellStyle name="Input cel new 2 2 2 2 2 5 2" xfId="2890"/>
    <cellStyle name="Input cel new 2 2 2 2 2 6" xfId="1302"/>
    <cellStyle name="Input cel new 2 2 2 2 2 7" xfId="2532"/>
    <cellStyle name="Input cel new 2 2 2 2 2 8" xfId="904"/>
    <cellStyle name="Input cel new 2 2 2 2 3" xfId="316"/>
    <cellStyle name="Input cel new 2 2 2 2 3 2" xfId="575"/>
    <cellStyle name="Input cel new 2 2 2 2 3 2 2" xfId="3502"/>
    <cellStyle name="Input cel new 2 2 2 2 3 2 3" xfId="2263"/>
    <cellStyle name="Input cel new 2 2 2 2 3 3" xfId="1682"/>
    <cellStyle name="Input cel new 2 2 2 2 3 3 2" xfId="2911"/>
    <cellStyle name="Input cel new 2 2 2 2 3 4" xfId="1722"/>
    <cellStyle name="Input cel new 2 2 2 2 3 4 2" xfId="2952"/>
    <cellStyle name="Input cel new 2 2 2 2 3 5" xfId="1350"/>
    <cellStyle name="Input cel new 2 2 2 2 3 6" xfId="2580"/>
    <cellStyle name="Input cel new 2 2 2 2 3 7" xfId="1050"/>
    <cellStyle name="Input cel new 2 2 2 2 4" xfId="639"/>
    <cellStyle name="Input cel new 2 2 2 2 4 2" xfId="2327"/>
    <cellStyle name="Input cel new 2 2 2 2 4 2 2" xfId="3566"/>
    <cellStyle name="Input cel new 2 2 2 2 4 3" xfId="2019"/>
    <cellStyle name="Input cel new 2 2 2 2 4 3 2" xfId="3249"/>
    <cellStyle name="Input cel new 2 2 2 2 4 4" xfId="1414"/>
    <cellStyle name="Input cel new 2 2 2 2 4 5" xfId="2644"/>
    <cellStyle name="Input cel new 2 2 2 2 4 6" xfId="1114"/>
    <cellStyle name="Input cel new 2 2 2 2 5" xfId="701"/>
    <cellStyle name="Input cel new 2 2 2 2 5 2" xfId="2389"/>
    <cellStyle name="Input cel new 2 2 2 2 5 2 2" xfId="3628"/>
    <cellStyle name="Input cel new 2 2 2 2 5 3" xfId="2076"/>
    <cellStyle name="Input cel new 2 2 2 2 5 3 2" xfId="3306"/>
    <cellStyle name="Input cel new 2 2 2 2 5 4" xfId="1476"/>
    <cellStyle name="Input cel new 2 2 2 2 5 5" xfId="2706"/>
    <cellStyle name="Input cel new 2 2 2 2 5 6" xfId="1176"/>
    <cellStyle name="Input cel new 2 2 2 2 6" xfId="981"/>
    <cellStyle name="Input cel new 2 2 2 2 6 2" xfId="1901"/>
    <cellStyle name="Input cel new 2 2 2 2 6 3" xfId="3131"/>
    <cellStyle name="Input cel new 2 2 2 2 7" xfId="1603"/>
    <cellStyle name="Input cel new 2 2 2 2 7 2" xfId="2833"/>
    <cellStyle name="Input cel new 2 2 2 2 8" xfId="1279"/>
    <cellStyle name="Input cel new 2 2 2 2 9" xfId="2509"/>
    <cellStyle name="Input cel new 2 2 2 3" xfId="375"/>
    <cellStyle name="Input cel new 2 2 2 3 10" xfId="2491"/>
    <cellStyle name="Input cel new 2 2 2 3 11" xfId="831"/>
    <cellStyle name="Input cel new 2 2 2 3 2" xfId="463"/>
    <cellStyle name="Input cel new 2 2 2 3 2 2" xfId="558"/>
    <cellStyle name="Input cel new 2 2 2 3 2 2 2" xfId="2246"/>
    <cellStyle name="Input cel new 2 2 2 3 2 2 2 2" xfId="3485"/>
    <cellStyle name="Input cel new 2 2 2 3 2 2 3" xfId="1951"/>
    <cellStyle name="Input cel new 2 2 2 3 2 2 4" xfId="3181"/>
    <cellStyle name="Input cel new 2 2 2 3 2 2 5" xfId="1033"/>
    <cellStyle name="Input cel new 2 2 2 3 2 3" xfId="2170"/>
    <cellStyle name="Input cel new 2 2 2 3 2 3 2" xfId="3400"/>
    <cellStyle name="Input cel new 2 2 2 3 2 4" xfId="1705"/>
    <cellStyle name="Input cel new 2 2 2 3 2 4 2" xfId="2935"/>
    <cellStyle name="Input cel new 2 2 2 3 2 5" xfId="1333"/>
    <cellStyle name="Input cel new 2 2 2 3 2 6" xfId="2563"/>
    <cellStyle name="Input cel new 2 2 2 3 2 7" xfId="887"/>
    <cellStyle name="Input cel new 2 2 2 3 3" xfId="607"/>
    <cellStyle name="Input cel new 2 2 2 3 3 2" xfId="1990"/>
    <cellStyle name="Input cel new 2 2 2 3 3 2 2" xfId="3220"/>
    <cellStyle name="Input cel new 2 2 2 3 3 3" xfId="2295"/>
    <cellStyle name="Input cel new 2 2 2 3 3 3 2" xfId="3534"/>
    <cellStyle name="Input cel new 2 2 2 3 3 4" xfId="1765"/>
    <cellStyle name="Input cel new 2 2 2 3 3 4 2" xfId="2995"/>
    <cellStyle name="Input cel new 2 2 2 3 3 5" xfId="1382"/>
    <cellStyle name="Input cel new 2 2 2 3 3 6" xfId="2612"/>
    <cellStyle name="Input cel new 2 2 2 3 3 7" xfId="1082"/>
    <cellStyle name="Input cel new 2 2 2 3 4" xfId="671"/>
    <cellStyle name="Input cel new 2 2 2 3 4 2" xfId="2359"/>
    <cellStyle name="Input cel new 2 2 2 3 4 2 2" xfId="3598"/>
    <cellStyle name="Input cel new 2 2 2 3 4 3" xfId="2051"/>
    <cellStyle name="Input cel new 2 2 2 3 4 3 2" xfId="3281"/>
    <cellStyle name="Input cel new 2 2 2 3 4 4" xfId="1446"/>
    <cellStyle name="Input cel new 2 2 2 3 4 5" xfId="2676"/>
    <cellStyle name="Input cel new 2 2 2 3 4 6" xfId="1146"/>
    <cellStyle name="Input cel new 2 2 2 3 5" xfId="732"/>
    <cellStyle name="Input cel new 2 2 2 3 5 2" xfId="2420"/>
    <cellStyle name="Input cel new 2 2 2 3 5 2 2" xfId="3659"/>
    <cellStyle name="Input cel new 2 2 2 3 5 3" xfId="2107"/>
    <cellStyle name="Input cel new 2 2 2 3 5 3 2" xfId="3337"/>
    <cellStyle name="Input cel new 2 2 2 3 5 4" xfId="1507"/>
    <cellStyle name="Input cel new 2 2 2 3 5 5" xfId="2737"/>
    <cellStyle name="Input cel new 2 2 2 3 5 6" xfId="1207"/>
    <cellStyle name="Input cel new 2 2 2 3 6" xfId="963"/>
    <cellStyle name="Input cel new 2 2 2 3 6 2" xfId="1883"/>
    <cellStyle name="Input cel new 2 2 2 3 6 3" xfId="3113"/>
    <cellStyle name="Input cel new 2 2 2 3 7" xfId="1724"/>
    <cellStyle name="Input cel new 2 2 2 3 7 2" xfId="2954"/>
    <cellStyle name="Input cel new 2 2 2 3 8" xfId="1531"/>
    <cellStyle name="Input cel new 2 2 2 3 8 2" xfId="2761"/>
    <cellStyle name="Input cel new 2 2 2 3 9" xfId="1261"/>
    <cellStyle name="Input cel new 2 2 2 4" xfId="396"/>
    <cellStyle name="Input cel new 2 2 2 4 2" xfId="1809"/>
    <cellStyle name="Input cel new 2 2 2 4 2 2" xfId="3039"/>
    <cellStyle name="Input cel new 2 2 2 4 3" xfId="2110"/>
    <cellStyle name="Input cel new 2 2 2 4 3 2" xfId="3340"/>
    <cellStyle name="Input cel new 2 2 2 4 4" xfId="1212"/>
    <cellStyle name="Input cel new 2 2 2 4 5" xfId="2443"/>
    <cellStyle name="Input cel new 2 2 2 4 6" xfId="859"/>
    <cellStyle name="Input cel new 2 2 2 5" xfId="337"/>
    <cellStyle name="Input cel new 2 2 2 5 2" xfId="621"/>
    <cellStyle name="Input cel new 2 2 2 5 2 2" xfId="2309"/>
    <cellStyle name="Input cel new 2 2 2 5 2 2 2" xfId="3548"/>
    <cellStyle name="Input cel new 2 2 2 5 2 3" xfId="3231"/>
    <cellStyle name="Input cel new 2 2 2 5 2 4" xfId="2001"/>
    <cellStyle name="Input cel new 2 2 2 5 3" xfId="1752"/>
    <cellStyle name="Input cel new 2 2 2 5 3 2" xfId="2982"/>
    <cellStyle name="Input cel new 2 2 2 5 4" xfId="1641"/>
    <cellStyle name="Input cel new 2 2 2 5 4 2" xfId="2870"/>
    <cellStyle name="Input cel new 2 2 2 5 5" xfId="1396"/>
    <cellStyle name="Input cel new 2 2 2 5 6" xfId="2626"/>
    <cellStyle name="Input cel new 2 2 2 5 7" xfId="1096"/>
    <cellStyle name="Input cel new 2 2 2 6" xfId="684"/>
    <cellStyle name="Input cel new 2 2 2 6 2" xfId="2372"/>
    <cellStyle name="Input cel new 2 2 2 6 2 2" xfId="3611"/>
    <cellStyle name="Input cel new 2 2 2 6 3" xfId="1678"/>
    <cellStyle name="Input cel new 2 2 2 6 3 2" xfId="2907"/>
    <cellStyle name="Input cel new 2 2 2 6 4" xfId="1459"/>
    <cellStyle name="Input cel new 2 2 2 6 5" xfId="2689"/>
    <cellStyle name="Input cel new 2 2 2 6 6" xfId="1159"/>
    <cellStyle name="Input cel new 2 2 2 7" xfId="404"/>
    <cellStyle name="Input cel new 2 2 2 7 2" xfId="2115"/>
    <cellStyle name="Input cel new 2 2 2 7 2 2" xfId="3345"/>
    <cellStyle name="Input cel new 2 2 2 7 3" xfId="1856"/>
    <cellStyle name="Input cel new 2 2 2 7 4" xfId="3086"/>
    <cellStyle name="Input cel new 2 2 2 7 5" xfId="927"/>
    <cellStyle name="Input cel new 2 2 2 8" xfId="866"/>
    <cellStyle name="Input cel new 2 2 2 9" xfId="874"/>
    <cellStyle name="Input cel new 2 2 3" xfId="239"/>
    <cellStyle name="Input cel new 2 2 3 2" xfId="343"/>
    <cellStyle name="Input cel new 2 2 3 2 10" xfId="920"/>
    <cellStyle name="Input cel new 2 2 3 2 2" xfId="446"/>
    <cellStyle name="Input cel new 2 2 3 2 2 2" xfId="590"/>
    <cellStyle name="Input cel new 2 2 3 2 2 2 2" xfId="2278"/>
    <cellStyle name="Input cel new 2 2 3 2 2 2 2 2" xfId="3517"/>
    <cellStyle name="Input cel new 2 2 3 2 2 2 3" xfId="3203"/>
    <cellStyle name="Input cel new 2 2 3 2 2 2 4" xfId="1973"/>
    <cellStyle name="Input cel new 2 2 3 2 2 3" xfId="2153"/>
    <cellStyle name="Input cel new 2 2 3 2 2 3 2" xfId="3383"/>
    <cellStyle name="Input cel new 2 2 3 2 2 4" xfId="1747"/>
    <cellStyle name="Input cel new 2 2 3 2 2 4 2" xfId="2977"/>
    <cellStyle name="Input cel new 2 2 3 2 2 5" xfId="1365"/>
    <cellStyle name="Input cel new 2 2 3 2 2 6" xfId="2595"/>
    <cellStyle name="Input cel new 2 2 3 2 2 7" xfId="1065"/>
    <cellStyle name="Input cel new 2 2 3 2 3" xfId="654"/>
    <cellStyle name="Input cel new 2 2 3 2 3 2" xfId="2342"/>
    <cellStyle name="Input cel new 2 2 3 2 3 2 2" xfId="3581"/>
    <cellStyle name="Input cel new 2 2 3 2 3 3" xfId="2034"/>
    <cellStyle name="Input cel new 2 2 3 2 3 3 2" xfId="3264"/>
    <cellStyle name="Input cel new 2 2 3 2 3 4" xfId="1429"/>
    <cellStyle name="Input cel new 2 2 3 2 3 5" xfId="2659"/>
    <cellStyle name="Input cel new 2 2 3 2 3 6" xfId="1129"/>
    <cellStyle name="Input cel new 2 2 3 2 4" xfId="716"/>
    <cellStyle name="Input cel new 2 2 3 2 4 2" xfId="2404"/>
    <cellStyle name="Input cel new 2 2 3 2 4 2 2" xfId="3643"/>
    <cellStyle name="Input cel new 2 2 3 2 4 3" xfId="2091"/>
    <cellStyle name="Input cel new 2 2 3 2 4 3 2" xfId="3321"/>
    <cellStyle name="Input cel new 2 2 3 2 4 4" xfId="1491"/>
    <cellStyle name="Input cel new 2 2 3 2 4 5" xfId="2721"/>
    <cellStyle name="Input cel new 2 2 3 2 4 6" xfId="1191"/>
    <cellStyle name="Input cel new 2 2 3 2 5" xfId="549"/>
    <cellStyle name="Input cel new 2 2 3 2 5 2" xfId="2238"/>
    <cellStyle name="Input cel new 2 2 3 2 5 2 2" xfId="3477"/>
    <cellStyle name="Input cel new 2 2 3 2 5 3" xfId="1935"/>
    <cellStyle name="Input cel new 2 2 3 2 5 4" xfId="3165"/>
    <cellStyle name="Input cel new 2 2 3 2 5 5" xfId="1016"/>
    <cellStyle name="Input cel new 2 2 3 2 6" xfId="1956"/>
    <cellStyle name="Input cel new 2 2 3 2 6 2" xfId="3186"/>
    <cellStyle name="Input cel new 2 2 3 2 7" xfId="1581"/>
    <cellStyle name="Input cel new 2 2 3 2 7 2" xfId="2811"/>
    <cellStyle name="Input cel new 2 2 3 2 8" xfId="1317"/>
    <cellStyle name="Input cel new 2 2 3 2 9" xfId="2547"/>
    <cellStyle name="Input cel new 2 2 3 3" xfId="508"/>
    <cellStyle name="Input cel new 2 2 3 3 2" xfId="2206"/>
    <cellStyle name="Input cel new 2 2 3 3 2 2" xfId="3441"/>
    <cellStyle name="Input cel new 2 2 3 3 3" xfId="1789"/>
    <cellStyle name="Input cel new 2 2 3 3 3 2" xfId="3019"/>
    <cellStyle name="Input cel new 2 2 3 3 4" xfId="1249"/>
    <cellStyle name="Input cel new 2 2 3 3 5" xfId="2479"/>
    <cellStyle name="Input cel new 2 2 3 3 6" xfId="818"/>
    <cellStyle name="Input cel new 2 2 3 4" xfId="483"/>
    <cellStyle name="Input cel new 2 2 3 4 2" xfId="3419"/>
    <cellStyle name="Input cel new 2 2 3 5" xfId="1846"/>
    <cellStyle name="Input cel new 2 2 3 5 2" xfId="3076"/>
    <cellStyle name="Input cel new 2 2 3 6" xfId="1227"/>
    <cellStyle name="Input cel new 2 2 3 7" xfId="2458"/>
    <cellStyle name="Input cel new 2 2 3 8" xfId="419"/>
    <cellStyle name="Input cel new 2 2 4" xfId="1513"/>
    <cellStyle name="Input cel new 2 2 4 2" xfId="2743"/>
    <cellStyle name="Input cel new 2 2 5" xfId="750"/>
    <cellStyle name="Input cel new 2 3" xfId="180"/>
    <cellStyle name="Input cel new 2 3 10" xfId="741"/>
    <cellStyle name="Input cel new 2 3 2" xfId="280"/>
    <cellStyle name="Input cel new 2 3 2 10" xfId="846"/>
    <cellStyle name="Input cel new 2 3 2 2" xfId="420"/>
    <cellStyle name="Input cel new 2 3 2 2 2" xfId="998"/>
    <cellStyle name="Input cel new 2 3 2 2 2 2" xfId="1917"/>
    <cellStyle name="Input cel new 2 3 2 2 2 3" xfId="3147"/>
    <cellStyle name="Input cel new 2 3 2 2 3" xfId="1834"/>
    <cellStyle name="Input cel new 2 3 2 2 3 2" xfId="3064"/>
    <cellStyle name="Input cel new 2 3 2 2 4" xfId="2128"/>
    <cellStyle name="Input cel new 2 3 2 2 4 2" xfId="3358"/>
    <cellStyle name="Input cel new 2 3 2 2 5" xfId="1658"/>
    <cellStyle name="Input cel new 2 3 2 2 5 2" xfId="2887"/>
    <cellStyle name="Input cel new 2 3 2 2 6" xfId="1299"/>
    <cellStyle name="Input cel new 2 3 2 2 7" xfId="2529"/>
    <cellStyle name="Input cel new 2 3 2 2 8" xfId="901"/>
    <cellStyle name="Input cel new 2 3 2 3" xfId="334"/>
    <cellStyle name="Input cel new 2 3 2 3 2" xfId="572"/>
    <cellStyle name="Input cel new 2 3 2 3 2 2" xfId="3499"/>
    <cellStyle name="Input cel new 2 3 2 3 2 3" xfId="2260"/>
    <cellStyle name="Input cel new 2 3 2 3 3" xfId="1800"/>
    <cellStyle name="Input cel new 2 3 2 3 3 2" xfId="3030"/>
    <cellStyle name="Input cel new 2 3 2 3 4" xfId="1719"/>
    <cellStyle name="Input cel new 2 3 2 3 4 2" xfId="2949"/>
    <cellStyle name="Input cel new 2 3 2 3 5" xfId="1347"/>
    <cellStyle name="Input cel new 2 3 2 3 6" xfId="2577"/>
    <cellStyle name="Input cel new 2 3 2 3 7" xfId="1047"/>
    <cellStyle name="Input cel new 2 3 2 4" xfId="636"/>
    <cellStyle name="Input cel new 2 3 2 4 2" xfId="2324"/>
    <cellStyle name="Input cel new 2 3 2 4 2 2" xfId="3563"/>
    <cellStyle name="Input cel new 2 3 2 4 3" xfId="2016"/>
    <cellStyle name="Input cel new 2 3 2 4 3 2" xfId="3246"/>
    <cellStyle name="Input cel new 2 3 2 4 4" xfId="1411"/>
    <cellStyle name="Input cel new 2 3 2 4 5" xfId="2641"/>
    <cellStyle name="Input cel new 2 3 2 4 6" xfId="1111"/>
    <cellStyle name="Input cel new 2 3 2 5" xfId="698"/>
    <cellStyle name="Input cel new 2 3 2 5 2" xfId="2386"/>
    <cellStyle name="Input cel new 2 3 2 5 2 2" xfId="3625"/>
    <cellStyle name="Input cel new 2 3 2 5 3" xfId="2073"/>
    <cellStyle name="Input cel new 2 3 2 5 3 2" xfId="3303"/>
    <cellStyle name="Input cel new 2 3 2 5 4" xfId="1473"/>
    <cellStyle name="Input cel new 2 3 2 5 5" xfId="2703"/>
    <cellStyle name="Input cel new 2 3 2 5 6" xfId="1173"/>
    <cellStyle name="Input cel new 2 3 2 6" xfId="978"/>
    <cellStyle name="Input cel new 2 3 2 6 2" xfId="1898"/>
    <cellStyle name="Input cel new 2 3 2 6 3" xfId="3128"/>
    <cellStyle name="Input cel new 2 3 2 7" xfId="1542"/>
    <cellStyle name="Input cel new 2 3 2 7 2" xfId="2772"/>
    <cellStyle name="Input cel new 2 3 2 8" xfId="1276"/>
    <cellStyle name="Input cel new 2 3 2 9" xfId="2506"/>
    <cellStyle name="Input cel new 2 3 3" xfId="372"/>
    <cellStyle name="Input cel new 2 3 3 10" xfId="2488"/>
    <cellStyle name="Input cel new 2 3 3 11" xfId="828"/>
    <cellStyle name="Input cel new 2 3 3 2" xfId="460"/>
    <cellStyle name="Input cel new 2 3 3 2 2" xfId="555"/>
    <cellStyle name="Input cel new 2 3 3 2 2 2" xfId="2243"/>
    <cellStyle name="Input cel new 2 3 3 2 2 2 2" xfId="3482"/>
    <cellStyle name="Input cel new 2 3 3 2 2 3" xfId="1948"/>
    <cellStyle name="Input cel new 2 3 3 2 2 4" xfId="3178"/>
    <cellStyle name="Input cel new 2 3 3 2 2 5" xfId="1030"/>
    <cellStyle name="Input cel new 2 3 3 2 3" xfId="2167"/>
    <cellStyle name="Input cel new 2 3 3 2 3 2" xfId="3397"/>
    <cellStyle name="Input cel new 2 3 3 2 4" xfId="1702"/>
    <cellStyle name="Input cel new 2 3 3 2 4 2" xfId="2932"/>
    <cellStyle name="Input cel new 2 3 3 2 5" xfId="1330"/>
    <cellStyle name="Input cel new 2 3 3 2 6" xfId="2560"/>
    <cellStyle name="Input cel new 2 3 3 2 7" xfId="884"/>
    <cellStyle name="Input cel new 2 3 3 3" xfId="604"/>
    <cellStyle name="Input cel new 2 3 3 3 2" xfId="1987"/>
    <cellStyle name="Input cel new 2 3 3 3 2 2" xfId="3217"/>
    <cellStyle name="Input cel new 2 3 3 3 3" xfId="2292"/>
    <cellStyle name="Input cel new 2 3 3 3 3 2" xfId="3531"/>
    <cellStyle name="Input cel new 2 3 3 3 4" xfId="1762"/>
    <cellStyle name="Input cel new 2 3 3 3 4 2" xfId="2992"/>
    <cellStyle name="Input cel new 2 3 3 3 5" xfId="1379"/>
    <cellStyle name="Input cel new 2 3 3 3 6" xfId="2609"/>
    <cellStyle name="Input cel new 2 3 3 3 7" xfId="1079"/>
    <cellStyle name="Input cel new 2 3 3 4" xfId="668"/>
    <cellStyle name="Input cel new 2 3 3 4 2" xfId="2356"/>
    <cellStyle name="Input cel new 2 3 3 4 2 2" xfId="3595"/>
    <cellStyle name="Input cel new 2 3 3 4 3" xfId="2048"/>
    <cellStyle name="Input cel new 2 3 3 4 3 2" xfId="3278"/>
    <cellStyle name="Input cel new 2 3 3 4 4" xfId="1443"/>
    <cellStyle name="Input cel new 2 3 3 4 5" xfId="2673"/>
    <cellStyle name="Input cel new 2 3 3 4 6" xfId="1143"/>
    <cellStyle name="Input cel new 2 3 3 5" xfId="729"/>
    <cellStyle name="Input cel new 2 3 3 5 2" xfId="2417"/>
    <cellStyle name="Input cel new 2 3 3 5 2 2" xfId="3656"/>
    <cellStyle name="Input cel new 2 3 3 5 3" xfId="2104"/>
    <cellStyle name="Input cel new 2 3 3 5 3 2" xfId="3334"/>
    <cellStyle name="Input cel new 2 3 3 5 4" xfId="1504"/>
    <cellStyle name="Input cel new 2 3 3 5 5" xfId="2734"/>
    <cellStyle name="Input cel new 2 3 3 5 6" xfId="1204"/>
    <cellStyle name="Input cel new 2 3 3 6" xfId="960"/>
    <cellStyle name="Input cel new 2 3 3 6 2" xfId="1880"/>
    <cellStyle name="Input cel new 2 3 3 6 3" xfId="3110"/>
    <cellStyle name="Input cel new 2 3 3 7" xfId="1569"/>
    <cellStyle name="Input cel new 2 3 3 7 2" xfId="2799"/>
    <cellStyle name="Input cel new 2 3 3 8" xfId="1528"/>
    <cellStyle name="Input cel new 2 3 3 8 2" xfId="2758"/>
    <cellStyle name="Input cel new 2 3 3 9" xfId="1258"/>
    <cellStyle name="Input cel new 2 3 4" xfId="393"/>
    <cellStyle name="Input cel new 2 3 4 2" xfId="1786"/>
    <cellStyle name="Input cel new 2 3 4 2 2" xfId="3016"/>
    <cellStyle name="Input cel new 2 3 4 3" xfId="1732"/>
    <cellStyle name="Input cel new 2 3 4 3 2" xfId="2962"/>
    <cellStyle name="Input cel new 2 3 4 4" xfId="773"/>
    <cellStyle name="Input cel new 2 3 4 5" xfId="2424"/>
    <cellStyle name="Input cel new 2 3 4 6" xfId="814"/>
    <cellStyle name="Input cel new 2 3 5" xfId="306"/>
    <cellStyle name="Input cel new 2 3 5 2" xfId="618"/>
    <cellStyle name="Input cel new 2 3 5 2 2" xfId="2306"/>
    <cellStyle name="Input cel new 2 3 5 2 2 2" xfId="3545"/>
    <cellStyle name="Input cel new 2 3 5 2 3" xfId="3228"/>
    <cellStyle name="Input cel new 2 3 5 2 4" xfId="1998"/>
    <cellStyle name="Input cel new 2 3 5 3" xfId="1616"/>
    <cellStyle name="Input cel new 2 3 5 3 2" xfId="2845"/>
    <cellStyle name="Input cel new 2 3 5 4" xfId="1638"/>
    <cellStyle name="Input cel new 2 3 5 4 2" xfId="2867"/>
    <cellStyle name="Input cel new 2 3 5 5" xfId="1393"/>
    <cellStyle name="Input cel new 2 3 5 6" xfId="2623"/>
    <cellStyle name="Input cel new 2 3 5 7" xfId="1093"/>
    <cellStyle name="Input cel new 2 3 6" xfId="681"/>
    <cellStyle name="Input cel new 2 3 6 2" xfId="2369"/>
    <cellStyle name="Input cel new 2 3 6 2 2" xfId="3608"/>
    <cellStyle name="Input cel new 2 3 6 3" xfId="1675"/>
    <cellStyle name="Input cel new 2 3 6 3 2" xfId="2904"/>
    <cellStyle name="Input cel new 2 3 6 4" xfId="1456"/>
    <cellStyle name="Input cel new 2 3 6 5" xfId="2686"/>
    <cellStyle name="Input cel new 2 3 6 6" xfId="1156"/>
    <cellStyle name="Input cel new 2 3 7" xfId="332"/>
    <cellStyle name="Input cel new 2 3 7 2" xfId="1793"/>
    <cellStyle name="Input cel new 2 3 7 2 2" xfId="3023"/>
    <cellStyle name="Input cel new 2 3 7 3" xfId="1855"/>
    <cellStyle name="Input cel new 2 3 7 4" xfId="3085"/>
    <cellStyle name="Input cel new 2 3 7 5" xfId="926"/>
    <cellStyle name="Input cel new 2 3 8" xfId="749"/>
    <cellStyle name="Input cel new 2 3 9" xfId="807"/>
    <cellStyle name="Input cel new 2 4" xfId="223"/>
    <cellStyle name="Input cel new 2 4 2" xfId="323"/>
    <cellStyle name="Input cel new 2 4 2 10" xfId="914"/>
    <cellStyle name="Input cel new 2 4 2 2" xfId="442"/>
    <cellStyle name="Input cel new 2 4 2 2 2" xfId="581"/>
    <cellStyle name="Input cel new 2 4 2 2 2 2" xfId="2269"/>
    <cellStyle name="Input cel new 2 4 2 2 2 2 2" xfId="3508"/>
    <cellStyle name="Input cel new 2 4 2 2 2 3" xfId="3194"/>
    <cellStyle name="Input cel new 2 4 2 2 2 4" xfId="1964"/>
    <cellStyle name="Input cel new 2 4 2 2 3" xfId="2150"/>
    <cellStyle name="Input cel new 2 4 2 2 3 2" xfId="3380"/>
    <cellStyle name="Input cel new 2 4 2 2 4" xfId="1738"/>
    <cellStyle name="Input cel new 2 4 2 2 4 2" xfId="2968"/>
    <cellStyle name="Input cel new 2 4 2 2 5" xfId="1356"/>
    <cellStyle name="Input cel new 2 4 2 2 6" xfId="2586"/>
    <cellStyle name="Input cel new 2 4 2 2 7" xfId="1056"/>
    <cellStyle name="Input cel new 2 4 2 3" xfId="645"/>
    <cellStyle name="Input cel new 2 4 2 3 2" xfId="2333"/>
    <cellStyle name="Input cel new 2 4 2 3 2 2" xfId="3572"/>
    <cellStyle name="Input cel new 2 4 2 3 3" xfId="2025"/>
    <cellStyle name="Input cel new 2 4 2 3 3 2" xfId="3255"/>
    <cellStyle name="Input cel new 2 4 2 3 4" xfId="1420"/>
    <cellStyle name="Input cel new 2 4 2 3 5" xfId="2650"/>
    <cellStyle name="Input cel new 2 4 2 3 6" xfId="1120"/>
    <cellStyle name="Input cel new 2 4 2 4" xfId="707"/>
    <cellStyle name="Input cel new 2 4 2 4 2" xfId="2395"/>
    <cellStyle name="Input cel new 2 4 2 4 2 2" xfId="3634"/>
    <cellStyle name="Input cel new 2 4 2 4 3" xfId="2082"/>
    <cellStyle name="Input cel new 2 4 2 4 3 2" xfId="3312"/>
    <cellStyle name="Input cel new 2 4 2 4 4" xfId="1482"/>
    <cellStyle name="Input cel new 2 4 2 4 5" xfId="2712"/>
    <cellStyle name="Input cel new 2 4 2 4 6" xfId="1182"/>
    <cellStyle name="Input cel new 2 4 2 5" xfId="543"/>
    <cellStyle name="Input cel new 2 4 2 5 2" xfId="2232"/>
    <cellStyle name="Input cel new 2 4 2 5 2 2" xfId="3471"/>
    <cellStyle name="Input cel new 2 4 2 5 3" xfId="1926"/>
    <cellStyle name="Input cel new 2 4 2 5 4" xfId="3156"/>
    <cellStyle name="Input cel new 2 4 2 5 5" xfId="1007"/>
    <cellStyle name="Input cel new 2 4 2 6" xfId="1817"/>
    <cellStyle name="Input cel new 2 4 2 6 2" xfId="3047"/>
    <cellStyle name="Input cel new 2 4 2 7" xfId="1584"/>
    <cellStyle name="Input cel new 2 4 2 7 2" xfId="2814"/>
    <cellStyle name="Input cel new 2 4 2 8" xfId="1308"/>
    <cellStyle name="Input cel new 2 4 2 9" xfId="2538"/>
    <cellStyle name="Input cel new 2 4 3" xfId="507"/>
    <cellStyle name="Input cel new 2 4 3 2" xfId="2205"/>
    <cellStyle name="Input cel new 2 4 3 2 2" xfId="3440"/>
    <cellStyle name="Input cel new 2 4 3 3" xfId="1629"/>
    <cellStyle name="Input cel new 2 4 3 3 2" xfId="2858"/>
    <cellStyle name="Input cel new 2 4 3 4" xfId="1248"/>
    <cellStyle name="Input cel new 2 4 3 5" xfId="2478"/>
    <cellStyle name="Input cel new 2 4 3 6" xfId="785"/>
    <cellStyle name="Input cel new 2 4 4" xfId="469"/>
    <cellStyle name="Input cel new 2 4 4 2" xfId="3405"/>
    <cellStyle name="Input cel new 2 4 5" xfId="2060"/>
    <cellStyle name="Input cel new 2 4 5 2" xfId="3290"/>
    <cellStyle name="Input cel new 2 4 6" xfId="929"/>
    <cellStyle name="Input cel new 2 4 7" xfId="2427"/>
    <cellStyle name="Input cel new 2 4 8" xfId="399"/>
    <cellStyle name="Input cel new 2 5" xfId="1221"/>
    <cellStyle name="Input cel new 2 5 2" xfId="2452"/>
    <cellStyle name="Input cel new 2 6" xfId="1510"/>
    <cellStyle name="Input cel new 2 6 2" xfId="2740"/>
    <cellStyle name="Input cel new 2 7" xfId="296"/>
    <cellStyle name="Input cel new 3" xfId="25"/>
    <cellStyle name="Input cel new 3 2" xfId="169"/>
    <cellStyle name="Input cel new 3 2 2" xfId="185"/>
    <cellStyle name="Input cel new 3 2 2 10" xfId="745"/>
    <cellStyle name="Input cel new 3 2 2 2" xfId="284"/>
    <cellStyle name="Input cel new 3 2 2 2 10" xfId="850"/>
    <cellStyle name="Input cel new 3 2 2 2 2" xfId="424"/>
    <cellStyle name="Input cel new 3 2 2 2 2 2" xfId="1002"/>
    <cellStyle name="Input cel new 3 2 2 2 2 2 2" xfId="1921"/>
    <cellStyle name="Input cel new 3 2 2 2 2 2 3" xfId="3151"/>
    <cellStyle name="Input cel new 3 2 2 2 2 3" xfId="1838"/>
    <cellStyle name="Input cel new 3 2 2 2 2 3 2" xfId="3068"/>
    <cellStyle name="Input cel new 3 2 2 2 2 4" xfId="2132"/>
    <cellStyle name="Input cel new 3 2 2 2 2 4 2" xfId="3362"/>
    <cellStyle name="Input cel new 3 2 2 2 2 5" xfId="1662"/>
    <cellStyle name="Input cel new 3 2 2 2 2 5 2" xfId="2891"/>
    <cellStyle name="Input cel new 3 2 2 2 2 6" xfId="1303"/>
    <cellStyle name="Input cel new 3 2 2 2 2 7" xfId="2533"/>
    <cellStyle name="Input cel new 3 2 2 2 2 8" xfId="905"/>
    <cellStyle name="Input cel new 3 2 2 2 3" xfId="317"/>
    <cellStyle name="Input cel new 3 2 2 2 3 2" xfId="576"/>
    <cellStyle name="Input cel new 3 2 2 2 3 2 2" xfId="3503"/>
    <cellStyle name="Input cel new 3 2 2 2 3 2 3" xfId="2264"/>
    <cellStyle name="Input cel new 3 2 2 2 3 3" xfId="1617"/>
    <cellStyle name="Input cel new 3 2 2 2 3 3 2" xfId="2846"/>
    <cellStyle name="Input cel new 3 2 2 2 3 4" xfId="1723"/>
    <cellStyle name="Input cel new 3 2 2 2 3 4 2" xfId="2953"/>
    <cellStyle name="Input cel new 3 2 2 2 3 5" xfId="1351"/>
    <cellStyle name="Input cel new 3 2 2 2 3 6" xfId="2581"/>
    <cellStyle name="Input cel new 3 2 2 2 3 7" xfId="1051"/>
    <cellStyle name="Input cel new 3 2 2 2 4" xfId="640"/>
    <cellStyle name="Input cel new 3 2 2 2 4 2" xfId="2328"/>
    <cellStyle name="Input cel new 3 2 2 2 4 2 2" xfId="3567"/>
    <cellStyle name="Input cel new 3 2 2 2 4 3" xfId="2020"/>
    <cellStyle name="Input cel new 3 2 2 2 4 3 2" xfId="3250"/>
    <cellStyle name="Input cel new 3 2 2 2 4 4" xfId="1415"/>
    <cellStyle name="Input cel new 3 2 2 2 4 5" xfId="2645"/>
    <cellStyle name="Input cel new 3 2 2 2 4 6" xfId="1115"/>
    <cellStyle name="Input cel new 3 2 2 2 5" xfId="702"/>
    <cellStyle name="Input cel new 3 2 2 2 5 2" xfId="2390"/>
    <cellStyle name="Input cel new 3 2 2 2 5 2 2" xfId="3629"/>
    <cellStyle name="Input cel new 3 2 2 2 5 3" xfId="2077"/>
    <cellStyle name="Input cel new 3 2 2 2 5 3 2" xfId="3307"/>
    <cellStyle name="Input cel new 3 2 2 2 5 4" xfId="1477"/>
    <cellStyle name="Input cel new 3 2 2 2 5 5" xfId="2707"/>
    <cellStyle name="Input cel new 3 2 2 2 5 6" xfId="1177"/>
    <cellStyle name="Input cel new 3 2 2 2 6" xfId="982"/>
    <cellStyle name="Input cel new 3 2 2 2 6 2" xfId="1902"/>
    <cellStyle name="Input cel new 3 2 2 2 6 3" xfId="3132"/>
    <cellStyle name="Input cel new 3 2 2 2 7" xfId="1551"/>
    <cellStyle name="Input cel new 3 2 2 2 7 2" xfId="2780"/>
    <cellStyle name="Input cel new 3 2 2 2 8" xfId="1280"/>
    <cellStyle name="Input cel new 3 2 2 2 9" xfId="2510"/>
    <cellStyle name="Input cel new 3 2 2 3" xfId="376"/>
    <cellStyle name="Input cel new 3 2 2 3 10" xfId="2492"/>
    <cellStyle name="Input cel new 3 2 2 3 11" xfId="832"/>
    <cellStyle name="Input cel new 3 2 2 3 2" xfId="464"/>
    <cellStyle name="Input cel new 3 2 2 3 2 2" xfId="559"/>
    <cellStyle name="Input cel new 3 2 2 3 2 2 2" xfId="2247"/>
    <cellStyle name="Input cel new 3 2 2 3 2 2 2 2" xfId="3486"/>
    <cellStyle name="Input cel new 3 2 2 3 2 2 3" xfId="1952"/>
    <cellStyle name="Input cel new 3 2 2 3 2 2 4" xfId="3182"/>
    <cellStyle name="Input cel new 3 2 2 3 2 2 5" xfId="1034"/>
    <cellStyle name="Input cel new 3 2 2 3 2 3" xfId="2171"/>
    <cellStyle name="Input cel new 3 2 2 3 2 3 2" xfId="3401"/>
    <cellStyle name="Input cel new 3 2 2 3 2 4" xfId="1706"/>
    <cellStyle name="Input cel new 3 2 2 3 2 4 2" xfId="2936"/>
    <cellStyle name="Input cel new 3 2 2 3 2 5" xfId="1334"/>
    <cellStyle name="Input cel new 3 2 2 3 2 6" xfId="2564"/>
    <cellStyle name="Input cel new 3 2 2 3 2 7" xfId="888"/>
    <cellStyle name="Input cel new 3 2 2 3 3" xfId="608"/>
    <cellStyle name="Input cel new 3 2 2 3 3 2" xfId="1991"/>
    <cellStyle name="Input cel new 3 2 2 3 3 2 2" xfId="3221"/>
    <cellStyle name="Input cel new 3 2 2 3 3 3" xfId="2296"/>
    <cellStyle name="Input cel new 3 2 2 3 3 3 2" xfId="3535"/>
    <cellStyle name="Input cel new 3 2 2 3 3 4" xfId="1766"/>
    <cellStyle name="Input cel new 3 2 2 3 3 4 2" xfId="2996"/>
    <cellStyle name="Input cel new 3 2 2 3 3 5" xfId="1383"/>
    <cellStyle name="Input cel new 3 2 2 3 3 6" xfId="2613"/>
    <cellStyle name="Input cel new 3 2 2 3 3 7" xfId="1083"/>
    <cellStyle name="Input cel new 3 2 2 3 4" xfId="672"/>
    <cellStyle name="Input cel new 3 2 2 3 4 2" xfId="2360"/>
    <cellStyle name="Input cel new 3 2 2 3 4 2 2" xfId="3599"/>
    <cellStyle name="Input cel new 3 2 2 3 4 3" xfId="2052"/>
    <cellStyle name="Input cel new 3 2 2 3 4 3 2" xfId="3282"/>
    <cellStyle name="Input cel new 3 2 2 3 4 4" xfId="1447"/>
    <cellStyle name="Input cel new 3 2 2 3 4 5" xfId="2677"/>
    <cellStyle name="Input cel new 3 2 2 3 4 6" xfId="1147"/>
    <cellStyle name="Input cel new 3 2 2 3 5" xfId="733"/>
    <cellStyle name="Input cel new 3 2 2 3 5 2" xfId="2421"/>
    <cellStyle name="Input cel new 3 2 2 3 5 2 2" xfId="3660"/>
    <cellStyle name="Input cel new 3 2 2 3 5 3" xfId="2108"/>
    <cellStyle name="Input cel new 3 2 2 3 5 3 2" xfId="3338"/>
    <cellStyle name="Input cel new 3 2 2 3 5 4" xfId="1508"/>
    <cellStyle name="Input cel new 3 2 2 3 5 5" xfId="2738"/>
    <cellStyle name="Input cel new 3 2 2 3 5 6" xfId="1208"/>
    <cellStyle name="Input cel new 3 2 2 3 6" xfId="964"/>
    <cellStyle name="Input cel new 3 2 2 3 6 2" xfId="1884"/>
    <cellStyle name="Input cel new 3 2 2 3 6 3" xfId="3114"/>
    <cellStyle name="Input cel new 3 2 2 3 7" xfId="1729"/>
    <cellStyle name="Input cel new 3 2 2 3 7 2" xfId="2959"/>
    <cellStyle name="Input cel new 3 2 2 3 8" xfId="1532"/>
    <cellStyle name="Input cel new 3 2 2 3 8 2" xfId="2762"/>
    <cellStyle name="Input cel new 3 2 2 3 9" xfId="1262"/>
    <cellStyle name="Input cel new 3 2 2 4" xfId="397"/>
    <cellStyle name="Input cel new 3 2 2 4 2" xfId="1805"/>
    <cellStyle name="Input cel new 3 2 2 4 2 2" xfId="3035"/>
    <cellStyle name="Input cel new 3 2 2 4 3" xfId="2111"/>
    <cellStyle name="Input cel new 3 2 2 4 3 2" xfId="3341"/>
    <cellStyle name="Input cel new 3 2 2 4 4" xfId="1217"/>
    <cellStyle name="Input cel new 3 2 2 4 5" xfId="2448"/>
    <cellStyle name="Input cel new 3 2 2 4 6" xfId="855"/>
    <cellStyle name="Input cel new 3 2 2 5" xfId="412"/>
    <cellStyle name="Input cel new 3 2 2 5 2" xfId="622"/>
    <cellStyle name="Input cel new 3 2 2 5 2 2" xfId="2310"/>
    <cellStyle name="Input cel new 3 2 2 5 2 2 2" xfId="3549"/>
    <cellStyle name="Input cel new 3 2 2 5 2 3" xfId="3232"/>
    <cellStyle name="Input cel new 3 2 2 5 2 4" xfId="2002"/>
    <cellStyle name="Input cel new 3 2 2 5 3" xfId="2123"/>
    <cellStyle name="Input cel new 3 2 2 5 3 2" xfId="3353"/>
    <cellStyle name="Input cel new 3 2 2 5 4" xfId="1642"/>
    <cellStyle name="Input cel new 3 2 2 5 4 2" xfId="2871"/>
    <cellStyle name="Input cel new 3 2 2 5 5" xfId="1397"/>
    <cellStyle name="Input cel new 3 2 2 5 6" xfId="2627"/>
    <cellStyle name="Input cel new 3 2 2 5 7" xfId="1097"/>
    <cellStyle name="Input cel new 3 2 2 6" xfId="685"/>
    <cellStyle name="Input cel new 3 2 2 6 2" xfId="2373"/>
    <cellStyle name="Input cel new 3 2 2 6 2 2" xfId="3612"/>
    <cellStyle name="Input cel new 3 2 2 6 3" xfId="1679"/>
    <cellStyle name="Input cel new 3 2 2 6 3 2" xfId="2908"/>
    <cellStyle name="Input cel new 3 2 2 6 4" xfId="1460"/>
    <cellStyle name="Input cel new 3 2 2 6 5" xfId="2690"/>
    <cellStyle name="Input cel new 3 2 2 6 6" xfId="1160"/>
    <cellStyle name="Input cel new 3 2 2 7" xfId="405"/>
    <cellStyle name="Input cel new 3 2 2 7 2" xfId="2116"/>
    <cellStyle name="Input cel new 3 2 2 7 2 2" xfId="3346"/>
    <cellStyle name="Input cel new 3 2 2 7 3" xfId="1840"/>
    <cellStyle name="Input cel new 3 2 2 7 4" xfId="3070"/>
    <cellStyle name="Input cel new 3 2 2 7 5" xfId="907"/>
    <cellStyle name="Input cel new 3 2 2 8" xfId="765"/>
    <cellStyle name="Input cel new 3 2 2 9" xfId="764"/>
    <cellStyle name="Input cel new 3 2 3" xfId="240"/>
    <cellStyle name="Input cel new 3 2 3 2" xfId="344"/>
    <cellStyle name="Input cel new 3 2 3 2 10" xfId="919"/>
    <cellStyle name="Input cel new 3 2 3 2 2" xfId="398"/>
    <cellStyle name="Input cel new 3 2 3 2 2 2" xfId="589"/>
    <cellStyle name="Input cel new 3 2 3 2 2 2 2" xfId="2277"/>
    <cellStyle name="Input cel new 3 2 3 2 2 2 2 2" xfId="3516"/>
    <cellStyle name="Input cel new 3 2 3 2 2 2 3" xfId="3202"/>
    <cellStyle name="Input cel new 3 2 3 2 2 2 4" xfId="1972"/>
    <cellStyle name="Input cel new 3 2 3 2 2 3" xfId="2112"/>
    <cellStyle name="Input cel new 3 2 3 2 2 3 2" xfId="3342"/>
    <cellStyle name="Input cel new 3 2 3 2 2 4" xfId="1746"/>
    <cellStyle name="Input cel new 3 2 3 2 2 4 2" xfId="2976"/>
    <cellStyle name="Input cel new 3 2 3 2 2 5" xfId="1364"/>
    <cellStyle name="Input cel new 3 2 3 2 2 6" xfId="2594"/>
    <cellStyle name="Input cel new 3 2 3 2 2 7" xfId="1064"/>
    <cellStyle name="Input cel new 3 2 3 2 3" xfId="653"/>
    <cellStyle name="Input cel new 3 2 3 2 3 2" xfId="2341"/>
    <cellStyle name="Input cel new 3 2 3 2 3 2 2" xfId="3580"/>
    <cellStyle name="Input cel new 3 2 3 2 3 3" xfId="2033"/>
    <cellStyle name="Input cel new 3 2 3 2 3 3 2" xfId="3263"/>
    <cellStyle name="Input cel new 3 2 3 2 3 4" xfId="1428"/>
    <cellStyle name="Input cel new 3 2 3 2 3 5" xfId="2658"/>
    <cellStyle name="Input cel new 3 2 3 2 3 6" xfId="1128"/>
    <cellStyle name="Input cel new 3 2 3 2 4" xfId="715"/>
    <cellStyle name="Input cel new 3 2 3 2 4 2" xfId="2403"/>
    <cellStyle name="Input cel new 3 2 3 2 4 2 2" xfId="3642"/>
    <cellStyle name="Input cel new 3 2 3 2 4 3" xfId="2090"/>
    <cellStyle name="Input cel new 3 2 3 2 4 3 2" xfId="3320"/>
    <cellStyle name="Input cel new 3 2 3 2 4 4" xfId="1490"/>
    <cellStyle name="Input cel new 3 2 3 2 4 5" xfId="2720"/>
    <cellStyle name="Input cel new 3 2 3 2 4 6" xfId="1190"/>
    <cellStyle name="Input cel new 3 2 3 2 5" xfId="548"/>
    <cellStyle name="Input cel new 3 2 3 2 5 2" xfId="2237"/>
    <cellStyle name="Input cel new 3 2 3 2 5 2 2" xfId="3476"/>
    <cellStyle name="Input cel new 3 2 3 2 5 3" xfId="1934"/>
    <cellStyle name="Input cel new 3 2 3 2 5 4" xfId="3164"/>
    <cellStyle name="Input cel new 3 2 3 2 5 5" xfId="1015"/>
    <cellStyle name="Input cel new 3 2 3 2 6" xfId="1801"/>
    <cellStyle name="Input cel new 3 2 3 2 6 2" xfId="3031"/>
    <cellStyle name="Input cel new 3 2 3 2 7" xfId="1582"/>
    <cellStyle name="Input cel new 3 2 3 2 7 2" xfId="2812"/>
    <cellStyle name="Input cel new 3 2 3 2 8" xfId="1316"/>
    <cellStyle name="Input cel new 3 2 3 2 9" xfId="2546"/>
    <cellStyle name="Input cel new 3 2 3 3" xfId="509"/>
    <cellStyle name="Input cel new 3 2 3 3 2" xfId="2207"/>
    <cellStyle name="Input cel new 3 2 3 3 2 2" xfId="3442"/>
    <cellStyle name="Input cel new 3 2 3 3 3" xfId="1790"/>
    <cellStyle name="Input cel new 3 2 3 3 3 2" xfId="3020"/>
    <cellStyle name="Input cel new 3 2 3 3 4" xfId="1250"/>
    <cellStyle name="Input cel new 3 2 3 3 5" xfId="2480"/>
    <cellStyle name="Input cel new 3 2 3 3 6" xfId="819"/>
    <cellStyle name="Input cel new 3 2 3 4" xfId="513"/>
    <cellStyle name="Input cel new 3 2 3 4 2" xfId="3445"/>
    <cellStyle name="Input cel new 3 2 3 5" xfId="1611"/>
    <cellStyle name="Input cel new 3 2 3 5 2" xfId="2840"/>
    <cellStyle name="Input cel new 3 2 3 6" xfId="1226"/>
    <cellStyle name="Input cel new 3 2 3 7" xfId="2457"/>
    <cellStyle name="Input cel new 3 2 3 8" xfId="402"/>
    <cellStyle name="Input cel new 3 2 4" xfId="1514"/>
    <cellStyle name="Input cel new 3 2 4 2" xfId="2744"/>
    <cellStyle name="Input cel new 3 2 5" xfId="2208"/>
    <cellStyle name="Input cel new 3 3" xfId="181"/>
    <cellStyle name="Input cel new 3 3 10" xfId="742"/>
    <cellStyle name="Input cel new 3 3 2" xfId="281"/>
    <cellStyle name="Input cel new 3 3 2 10" xfId="847"/>
    <cellStyle name="Input cel new 3 3 2 2" xfId="421"/>
    <cellStyle name="Input cel new 3 3 2 2 2" xfId="999"/>
    <cellStyle name="Input cel new 3 3 2 2 2 2" xfId="1918"/>
    <cellStyle name="Input cel new 3 3 2 2 2 3" xfId="3148"/>
    <cellStyle name="Input cel new 3 3 2 2 3" xfId="1835"/>
    <cellStyle name="Input cel new 3 3 2 2 3 2" xfId="3065"/>
    <cellStyle name="Input cel new 3 3 2 2 4" xfId="2129"/>
    <cellStyle name="Input cel new 3 3 2 2 4 2" xfId="3359"/>
    <cellStyle name="Input cel new 3 3 2 2 5" xfId="1659"/>
    <cellStyle name="Input cel new 3 3 2 2 5 2" xfId="2888"/>
    <cellStyle name="Input cel new 3 3 2 2 6" xfId="1300"/>
    <cellStyle name="Input cel new 3 3 2 2 7" xfId="2530"/>
    <cellStyle name="Input cel new 3 3 2 2 8" xfId="902"/>
    <cellStyle name="Input cel new 3 3 2 3" xfId="326"/>
    <cellStyle name="Input cel new 3 3 2 3 2" xfId="573"/>
    <cellStyle name="Input cel new 3 3 2 3 2 2" xfId="3500"/>
    <cellStyle name="Input cel new 3 3 2 3 2 3" xfId="2261"/>
    <cellStyle name="Input cel new 3 3 2 3 3" xfId="1957"/>
    <cellStyle name="Input cel new 3 3 2 3 3 2" xfId="3187"/>
    <cellStyle name="Input cel new 3 3 2 3 4" xfId="1720"/>
    <cellStyle name="Input cel new 3 3 2 3 4 2" xfId="2950"/>
    <cellStyle name="Input cel new 3 3 2 3 5" xfId="1348"/>
    <cellStyle name="Input cel new 3 3 2 3 6" xfId="2578"/>
    <cellStyle name="Input cel new 3 3 2 3 7" xfId="1048"/>
    <cellStyle name="Input cel new 3 3 2 4" xfId="637"/>
    <cellStyle name="Input cel new 3 3 2 4 2" xfId="2325"/>
    <cellStyle name="Input cel new 3 3 2 4 2 2" xfId="3564"/>
    <cellStyle name="Input cel new 3 3 2 4 3" xfId="2017"/>
    <cellStyle name="Input cel new 3 3 2 4 3 2" xfId="3247"/>
    <cellStyle name="Input cel new 3 3 2 4 4" xfId="1412"/>
    <cellStyle name="Input cel new 3 3 2 4 5" xfId="2642"/>
    <cellStyle name="Input cel new 3 3 2 4 6" xfId="1112"/>
    <cellStyle name="Input cel new 3 3 2 5" xfId="699"/>
    <cellStyle name="Input cel new 3 3 2 5 2" xfId="2387"/>
    <cellStyle name="Input cel new 3 3 2 5 2 2" xfId="3626"/>
    <cellStyle name="Input cel new 3 3 2 5 3" xfId="2074"/>
    <cellStyle name="Input cel new 3 3 2 5 3 2" xfId="3304"/>
    <cellStyle name="Input cel new 3 3 2 5 4" xfId="1474"/>
    <cellStyle name="Input cel new 3 3 2 5 5" xfId="2704"/>
    <cellStyle name="Input cel new 3 3 2 5 6" xfId="1174"/>
    <cellStyle name="Input cel new 3 3 2 6" xfId="979"/>
    <cellStyle name="Input cel new 3 3 2 6 2" xfId="1899"/>
    <cellStyle name="Input cel new 3 3 2 6 3" xfId="3129"/>
    <cellStyle name="Input cel new 3 3 2 7" xfId="1586"/>
    <cellStyle name="Input cel new 3 3 2 7 2" xfId="2816"/>
    <cellStyle name="Input cel new 3 3 2 8" xfId="1277"/>
    <cellStyle name="Input cel new 3 3 2 9" xfId="2507"/>
    <cellStyle name="Input cel new 3 3 3" xfId="373"/>
    <cellStyle name="Input cel new 3 3 3 10" xfId="2489"/>
    <cellStyle name="Input cel new 3 3 3 11" xfId="829"/>
    <cellStyle name="Input cel new 3 3 3 2" xfId="461"/>
    <cellStyle name="Input cel new 3 3 3 2 2" xfId="556"/>
    <cellStyle name="Input cel new 3 3 3 2 2 2" xfId="2244"/>
    <cellStyle name="Input cel new 3 3 3 2 2 2 2" xfId="3483"/>
    <cellStyle name="Input cel new 3 3 3 2 2 3" xfId="1949"/>
    <cellStyle name="Input cel new 3 3 3 2 2 4" xfId="3179"/>
    <cellStyle name="Input cel new 3 3 3 2 2 5" xfId="1031"/>
    <cellStyle name="Input cel new 3 3 3 2 3" xfId="2168"/>
    <cellStyle name="Input cel new 3 3 3 2 3 2" xfId="3398"/>
    <cellStyle name="Input cel new 3 3 3 2 4" xfId="1703"/>
    <cellStyle name="Input cel new 3 3 3 2 4 2" xfId="2933"/>
    <cellStyle name="Input cel new 3 3 3 2 5" xfId="1331"/>
    <cellStyle name="Input cel new 3 3 3 2 6" xfId="2561"/>
    <cellStyle name="Input cel new 3 3 3 2 7" xfId="885"/>
    <cellStyle name="Input cel new 3 3 3 3" xfId="605"/>
    <cellStyle name="Input cel new 3 3 3 3 2" xfId="1988"/>
    <cellStyle name="Input cel new 3 3 3 3 2 2" xfId="3218"/>
    <cellStyle name="Input cel new 3 3 3 3 3" xfId="2293"/>
    <cellStyle name="Input cel new 3 3 3 3 3 2" xfId="3532"/>
    <cellStyle name="Input cel new 3 3 3 3 4" xfId="1763"/>
    <cellStyle name="Input cel new 3 3 3 3 4 2" xfId="2993"/>
    <cellStyle name="Input cel new 3 3 3 3 5" xfId="1380"/>
    <cellStyle name="Input cel new 3 3 3 3 6" xfId="2610"/>
    <cellStyle name="Input cel new 3 3 3 3 7" xfId="1080"/>
    <cellStyle name="Input cel new 3 3 3 4" xfId="669"/>
    <cellStyle name="Input cel new 3 3 3 4 2" xfId="2357"/>
    <cellStyle name="Input cel new 3 3 3 4 2 2" xfId="3596"/>
    <cellStyle name="Input cel new 3 3 3 4 3" xfId="2049"/>
    <cellStyle name="Input cel new 3 3 3 4 3 2" xfId="3279"/>
    <cellStyle name="Input cel new 3 3 3 4 4" xfId="1444"/>
    <cellStyle name="Input cel new 3 3 3 4 5" xfId="2674"/>
    <cellStyle name="Input cel new 3 3 3 4 6" xfId="1144"/>
    <cellStyle name="Input cel new 3 3 3 5" xfId="730"/>
    <cellStyle name="Input cel new 3 3 3 5 2" xfId="2418"/>
    <cellStyle name="Input cel new 3 3 3 5 2 2" xfId="3657"/>
    <cellStyle name="Input cel new 3 3 3 5 3" xfId="2105"/>
    <cellStyle name="Input cel new 3 3 3 5 3 2" xfId="3335"/>
    <cellStyle name="Input cel new 3 3 3 5 4" xfId="1505"/>
    <cellStyle name="Input cel new 3 3 3 5 5" xfId="2735"/>
    <cellStyle name="Input cel new 3 3 3 5 6" xfId="1205"/>
    <cellStyle name="Input cel new 3 3 3 6" xfId="961"/>
    <cellStyle name="Input cel new 3 3 3 6 2" xfId="1881"/>
    <cellStyle name="Input cel new 3 3 3 6 3" xfId="3111"/>
    <cellStyle name="Input cel new 3 3 3 7" xfId="1585"/>
    <cellStyle name="Input cel new 3 3 3 7 2" xfId="2815"/>
    <cellStyle name="Input cel new 3 3 3 8" xfId="1529"/>
    <cellStyle name="Input cel new 3 3 3 8 2" xfId="2759"/>
    <cellStyle name="Input cel new 3 3 3 9" xfId="1259"/>
    <cellStyle name="Input cel new 3 3 4" xfId="394"/>
    <cellStyle name="Input cel new 3 3 4 2" xfId="1862"/>
    <cellStyle name="Input cel new 3 3 4 2 2" xfId="3092"/>
    <cellStyle name="Input cel new 3 3 4 3" xfId="1545"/>
    <cellStyle name="Input cel new 3 3 4 3 2" xfId="2775"/>
    <cellStyle name="Input cel new 3 3 4 4" xfId="1233"/>
    <cellStyle name="Input cel new 3 3 4 5" xfId="2464"/>
    <cellStyle name="Input cel new 3 3 4 6" xfId="938"/>
    <cellStyle name="Input cel new 3 3 5" xfId="311"/>
    <cellStyle name="Input cel new 3 3 5 2" xfId="619"/>
    <cellStyle name="Input cel new 3 3 5 2 2" xfId="2307"/>
    <cellStyle name="Input cel new 3 3 5 2 2 2" xfId="3546"/>
    <cellStyle name="Input cel new 3 3 5 2 3" xfId="3229"/>
    <cellStyle name="Input cel new 3 3 5 2 4" xfId="1999"/>
    <cellStyle name="Input cel new 3 3 5 3" xfId="1563"/>
    <cellStyle name="Input cel new 3 3 5 3 2" xfId="2793"/>
    <cellStyle name="Input cel new 3 3 5 4" xfId="1639"/>
    <cellStyle name="Input cel new 3 3 5 4 2" xfId="2868"/>
    <cellStyle name="Input cel new 3 3 5 5" xfId="1394"/>
    <cellStyle name="Input cel new 3 3 5 6" xfId="2624"/>
    <cellStyle name="Input cel new 3 3 5 7" xfId="1094"/>
    <cellStyle name="Input cel new 3 3 6" xfId="682"/>
    <cellStyle name="Input cel new 3 3 6 2" xfId="2370"/>
    <cellStyle name="Input cel new 3 3 6 2 2" xfId="3609"/>
    <cellStyle name="Input cel new 3 3 6 3" xfId="1676"/>
    <cellStyle name="Input cel new 3 3 6 3 2" xfId="2905"/>
    <cellStyle name="Input cel new 3 3 6 4" xfId="1457"/>
    <cellStyle name="Input cel new 3 3 6 5" xfId="2687"/>
    <cellStyle name="Input cel new 3 3 6 6" xfId="1157"/>
    <cellStyle name="Input cel new 3 3 7" xfId="349"/>
    <cellStyle name="Input cel new 3 3 7 2" xfId="1589"/>
    <cellStyle name="Input cel new 3 3 7 2 2" xfId="2819"/>
    <cellStyle name="Input cel new 3 3 7 3" xfId="1841"/>
    <cellStyle name="Input cel new 3 3 7 4" xfId="3071"/>
    <cellStyle name="Input cel new 3 3 7 5" xfId="908"/>
    <cellStyle name="Input cel new 3 3 8" xfId="788"/>
    <cellStyle name="Input cel new 3 3 9" xfId="864"/>
    <cellStyle name="Input cel new 3 4" xfId="224"/>
    <cellStyle name="Input cel new 3 4 2" xfId="298"/>
    <cellStyle name="Input cel new 3 4 2 10" xfId="913"/>
    <cellStyle name="Input cel new 3 4 2 2" xfId="385"/>
    <cellStyle name="Input cel new 3 4 2 2 2" xfId="580"/>
    <cellStyle name="Input cel new 3 4 2 2 2 2" xfId="2268"/>
    <cellStyle name="Input cel new 3 4 2 2 2 2 2" xfId="3507"/>
    <cellStyle name="Input cel new 3 4 2 2 2 3" xfId="3193"/>
    <cellStyle name="Input cel new 3 4 2 2 2 4" xfId="1963"/>
    <cellStyle name="Input cel new 3 4 2 2 3" xfId="1953"/>
    <cellStyle name="Input cel new 3 4 2 2 3 2" xfId="3183"/>
    <cellStyle name="Input cel new 3 4 2 2 4" xfId="1737"/>
    <cellStyle name="Input cel new 3 4 2 2 4 2" xfId="2967"/>
    <cellStyle name="Input cel new 3 4 2 2 5" xfId="1355"/>
    <cellStyle name="Input cel new 3 4 2 2 6" xfId="2585"/>
    <cellStyle name="Input cel new 3 4 2 2 7" xfId="1055"/>
    <cellStyle name="Input cel new 3 4 2 3" xfId="644"/>
    <cellStyle name="Input cel new 3 4 2 3 2" xfId="2332"/>
    <cellStyle name="Input cel new 3 4 2 3 2 2" xfId="3571"/>
    <cellStyle name="Input cel new 3 4 2 3 3" xfId="2024"/>
    <cellStyle name="Input cel new 3 4 2 3 3 2" xfId="3254"/>
    <cellStyle name="Input cel new 3 4 2 3 4" xfId="1419"/>
    <cellStyle name="Input cel new 3 4 2 3 5" xfId="2649"/>
    <cellStyle name="Input cel new 3 4 2 3 6" xfId="1119"/>
    <cellStyle name="Input cel new 3 4 2 4" xfId="706"/>
    <cellStyle name="Input cel new 3 4 2 4 2" xfId="2394"/>
    <cellStyle name="Input cel new 3 4 2 4 2 2" xfId="3633"/>
    <cellStyle name="Input cel new 3 4 2 4 3" xfId="2081"/>
    <cellStyle name="Input cel new 3 4 2 4 3 2" xfId="3311"/>
    <cellStyle name="Input cel new 3 4 2 4 4" xfId="1481"/>
    <cellStyle name="Input cel new 3 4 2 4 5" xfId="2711"/>
    <cellStyle name="Input cel new 3 4 2 4 6" xfId="1181"/>
    <cellStyle name="Input cel new 3 4 2 5" xfId="542"/>
    <cellStyle name="Input cel new 3 4 2 5 2" xfId="2231"/>
    <cellStyle name="Input cel new 3 4 2 5 2 2" xfId="3470"/>
    <cellStyle name="Input cel new 3 4 2 5 3" xfId="1925"/>
    <cellStyle name="Input cel new 3 4 2 5 4" xfId="3155"/>
    <cellStyle name="Input cel new 3 4 2 5 5" xfId="1006"/>
    <cellStyle name="Input cel new 3 4 2 6" xfId="1590"/>
    <cellStyle name="Input cel new 3 4 2 6 2" xfId="2820"/>
    <cellStyle name="Input cel new 3 4 2 7" xfId="1539"/>
    <cellStyle name="Input cel new 3 4 2 7 2" xfId="2769"/>
    <cellStyle name="Input cel new 3 4 2 8" xfId="1307"/>
    <cellStyle name="Input cel new 3 4 2 9" xfId="2537"/>
    <cellStyle name="Input cel new 3 4 3" xfId="489"/>
    <cellStyle name="Input cel new 3 4 3 2" xfId="2192"/>
    <cellStyle name="Input cel new 3 4 3 2 2" xfId="3424"/>
    <cellStyle name="Input cel new 3 4 3 3" xfId="1776"/>
    <cellStyle name="Input cel new 3 4 3 3 2" xfId="3006"/>
    <cellStyle name="Input cel new 3 4 3 4" xfId="1224"/>
    <cellStyle name="Input cel new 3 4 3 5" xfId="2455"/>
    <cellStyle name="Input cel new 3 4 3 6" xfId="802"/>
    <cellStyle name="Input cel new 3 4 4" xfId="495"/>
    <cellStyle name="Input cel new 3 4 4 2" xfId="3429"/>
    <cellStyle name="Input cel new 3 4 5" xfId="1821"/>
    <cellStyle name="Input cel new 3 4 5 2" xfId="3051"/>
    <cellStyle name="Input cel new 3 4 6" xfId="769"/>
    <cellStyle name="Input cel new 3 4 7" xfId="2426"/>
    <cellStyle name="Input cel new 3 4 8" xfId="314"/>
    <cellStyle name="Input cel new 3 5" xfId="1283"/>
    <cellStyle name="Input cel new 3 5 2" xfId="2513"/>
    <cellStyle name="Input cel new 3 6" xfId="1511"/>
    <cellStyle name="Input cel new 3 6 2" xfId="2741"/>
    <cellStyle name="Input cel new 3 7" xfId="310"/>
    <cellStyle name="Input cel new 4" xfId="167"/>
    <cellStyle name="Input cel new 4 2" xfId="183"/>
    <cellStyle name="Input cel new 4 2 10" xfId="743"/>
    <cellStyle name="Input cel new 4 2 2" xfId="282"/>
    <cellStyle name="Input cel new 4 2 2 10" xfId="848"/>
    <cellStyle name="Input cel new 4 2 2 2" xfId="422"/>
    <cellStyle name="Input cel new 4 2 2 2 2" xfId="1000"/>
    <cellStyle name="Input cel new 4 2 2 2 2 2" xfId="1919"/>
    <cellStyle name="Input cel new 4 2 2 2 2 3" xfId="3149"/>
    <cellStyle name="Input cel new 4 2 2 2 3" xfId="1836"/>
    <cellStyle name="Input cel new 4 2 2 2 3 2" xfId="3066"/>
    <cellStyle name="Input cel new 4 2 2 2 4" xfId="2130"/>
    <cellStyle name="Input cel new 4 2 2 2 4 2" xfId="3360"/>
    <cellStyle name="Input cel new 4 2 2 2 5" xfId="1660"/>
    <cellStyle name="Input cel new 4 2 2 2 5 2" xfId="2889"/>
    <cellStyle name="Input cel new 4 2 2 2 6" xfId="1301"/>
    <cellStyle name="Input cel new 4 2 2 2 7" xfId="2531"/>
    <cellStyle name="Input cel new 4 2 2 2 8" xfId="903"/>
    <cellStyle name="Input cel new 4 2 2 3" xfId="297"/>
    <cellStyle name="Input cel new 4 2 2 3 2" xfId="574"/>
    <cellStyle name="Input cel new 4 2 2 3 2 2" xfId="3501"/>
    <cellStyle name="Input cel new 4 2 2 3 2 3" xfId="2262"/>
    <cellStyle name="Input cel new 4 2 2 3 3" xfId="1565"/>
    <cellStyle name="Input cel new 4 2 2 3 3 2" xfId="2795"/>
    <cellStyle name="Input cel new 4 2 2 3 4" xfId="1721"/>
    <cellStyle name="Input cel new 4 2 2 3 4 2" xfId="2951"/>
    <cellStyle name="Input cel new 4 2 2 3 5" xfId="1349"/>
    <cellStyle name="Input cel new 4 2 2 3 6" xfId="2579"/>
    <cellStyle name="Input cel new 4 2 2 3 7" xfId="1049"/>
    <cellStyle name="Input cel new 4 2 2 4" xfId="638"/>
    <cellStyle name="Input cel new 4 2 2 4 2" xfId="2326"/>
    <cellStyle name="Input cel new 4 2 2 4 2 2" xfId="3565"/>
    <cellStyle name="Input cel new 4 2 2 4 3" xfId="2018"/>
    <cellStyle name="Input cel new 4 2 2 4 3 2" xfId="3248"/>
    <cellStyle name="Input cel new 4 2 2 4 4" xfId="1413"/>
    <cellStyle name="Input cel new 4 2 2 4 5" xfId="2643"/>
    <cellStyle name="Input cel new 4 2 2 4 6" xfId="1113"/>
    <cellStyle name="Input cel new 4 2 2 5" xfId="700"/>
    <cellStyle name="Input cel new 4 2 2 5 2" xfId="2388"/>
    <cellStyle name="Input cel new 4 2 2 5 2 2" xfId="3627"/>
    <cellStyle name="Input cel new 4 2 2 5 3" xfId="2075"/>
    <cellStyle name="Input cel new 4 2 2 5 3 2" xfId="3305"/>
    <cellStyle name="Input cel new 4 2 2 5 4" xfId="1475"/>
    <cellStyle name="Input cel new 4 2 2 5 5" xfId="2705"/>
    <cellStyle name="Input cel new 4 2 2 5 6" xfId="1175"/>
    <cellStyle name="Input cel new 4 2 2 6" xfId="980"/>
    <cellStyle name="Input cel new 4 2 2 6 2" xfId="1900"/>
    <cellStyle name="Input cel new 4 2 2 6 3" xfId="3130"/>
    <cellStyle name="Input cel new 4 2 2 7" xfId="1614"/>
    <cellStyle name="Input cel new 4 2 2 7 2" xfId="2843"/>
    <cellStyle name="Input cel new 4 2 2 8" xfId="1278"/>
    <cellStyle name="Input cel new 4 2 2 9" xfId="2508"/>
    <cellStyle name="Input cel new 4 2 3" xfId="374"/>
    <cellStyle name="Input cel new 4 2 3 10" xfId="2490"/>
    <cellStyle name="Input cel new 4 2 3 11" xfId="830"/>
    <cellStyle name="Input cel new 4 2 3 2" xfId="462"/>
    <cellStyle name="Input cel new 4 2 3 2 2" xfId="557"/>
    <cellStyle name="Input cel new 4 2 3 2 2 2" xfId="2245"/>
    <cellStyle name="Input cel new 4 2 3 2 2 2 2" xfId="3484"/>
    <cellStyle name="Input cel new 4 2 3 2 2 3" xfId="1950"/>
    <cellStyle name="Input cel new 4 2 3 2 2 4" xfId="3180"/>
    <cellStyle name="Input cel new 4 2 3 2 2 5" xfId="1032"/>
    <cellStyle name="Input cel new 4 2 3 2 3" xfId="2169"/>
    <cellStyle name="Input cel new 4 2 3 2 3 2" xfId="3399"/>
    <cellStyle name="Input cel new 4 2 3 2 4" xfId="1704"/>
    <cellStyle name="Input cel new 4 2 3 2 4 2" xfId="2934"/>
    <cellStyle name="Input cel new 4 2 3 2 5" xfId="1332"/>
    <cellStyle name="Input cel new 4 2 3 2 6" xfId="2562"/>
    <cellStyle name="Input cel new 4 2 3 2 7" xfId="886"/>
    <cellStyle name="Input cel new 4 2 3 3" xfId="606"/>
    <cellStyle name="Input cel new 4 2 3 3 2" xfId="1989"/>
    <cellStyle name="Input cel new 4 2 3 3 2 2" xfId="3219"/>
    <cellStyle name="Input cel new 4 2 3 3 3" xfId="2294"/>
    <cellStyle name="Input cel new 4 2 3 3 3 2" xfId="3533"/>
    <cellStyle name="Input cel new 4 2 3 3 4" xfId="1764"/>
    <cellStyle name="Input cel new 4 2 3 3 4 2" xfId="2994"/>
    <cellStyle name="Input cel new 4 2 3 3 5" xfId="1381"/>
    <cellStyle name="Input cel new 4 2 3 3 6" xfId="2611"/>
    <cellStyle name="Input cel new 4 2 3 3 7" xfId="1081"/>
    <cellStyle name="Input cel new 4 2 3 4" xfId="670"/>
    <cellStyle name="Input cel new 4 2 3 4 2" xfId="2358"/>
    <cellStyle name="Input cel new 4 2 3 4 2 2" xfId="3597"/>
    <cellStyle name="Input cel new 4 2 3 4 3" xfId="2050"/>
    <cellStyle name="Input cel new 4 2 3 4 3 2" xfId="3280"/>
    <cellStyle name="Input cel new 4 2 3 4 4" xfId="1445"/>
    <cellStyle name="Input cel new 4 2 3 4 5" xfId="2675"/>
    <cellStyle name="Input cel new 4 2 3 4 6" xfId="1145"/>
    <cellStyle name="Input cel new 4 2 3 5" xfId="731"/>
    <cellStyle name="Input cel new 4 2 3 5 2" xfId="2419"/>
    <cellStyle name="Input cel new 4 2 3 5 2 2" xfId="3658"/>
    <cellStyle name="Input cel new 4 2 3 5 3" xfId="2106"/>
    <cellStyle name="Input cel new 4 2 3 5 3 2" xfId="3336"/>
    <cellStyle name="Input cel new 4 2 3 5 4" xfId="1506"/>
    <cellStyle name="Input cel new 4 2 3 5 5" xfId="2736"/>
    <cellStyle name="Input cel new 4 2 3 5 6" xfId="1206"/>
    <cellStyle name="Input cel new 4 2 3 6" xfId="962"/>
    <cellStyle name="Input cel new 4 2 3 6 2" xfId="1882"/>
    <cellStyle name="Input cel new 4 2 3 6 3" xfId="3112"/>
    <cellStyle name="Input cel new 4 2 3 7" xfId="1556"/>
    <cellStyle name="Input cel new 4 2 3 7 2" xfId="2785"/>
    <cellStyle name="Input cel new 4 2 3 8" xfId="1530"/>
    <cellStyle name="Input cel new 4 2 3 8 2" xfId="2760"/>
    <cellStyle name="Input cel new 4 2 3 9" xfId="1260"/>
    <cellStyle name="Input cel new 4 2 4" xfId="395"/>
    <cellStyle name="Input cel new 4 2 4 2" xfId="1864"/>
    <cellStyle name="Input cel new 4 2 4 2 2" xfId="3094"/>
    <cellStyle name="Input cel new 4 2 4 3" xfId="2109"/>
    <cellStyle name="Input cel new 4 2 4 3 2" xfId="3339"/>
    <cellStyle name="Input cel new 4 2 4 4" xfId="1236"/>
    <cellStyle name="Input cel new 4 2 4 5" xfId="2467"/>
    <cellStyle name="Input cel new 4 2 4 6" xfId="940"/>
    <cellStyle name="Input cel new 4 2 5" xfId="318"/>
    <cellStyle name="Input cel new 4 2 5 2" xfId="620"/>
    <cellStyle name="Input cel new 4 2 5 2 2" xfId="2308"/>
    <cellStyle name="Input cel new 4 2 5 2 2 2" xfId="3547"/>
    <cellStyle name="Input cel new 4 2 5 2 3" xfId="3230"/>
    <cellStyle name="Input cel new 4 2 5 2 4" xfId="2000"/>
    <cellStyle name="Input cel new 4 2 5 3" xfId="1767"/>
    <cellStyle name="Input cel new 4 2 5 3 2" xfId="2997"/>
    <cellStyle name="Input cel new 4 2 5 4" xfId="1640"/>
    <cellStyle name="Input cel new 4 2 5 4 2" xfId="2869"/>
    <cellStyle name="Input cel new 4 2 5 5" xfId="1395"/>
    <cellStyle name="Input cel new 4 2 5 6" xfId="2625"/>
    <cellStyle name="Input cel new 4 2 5 7" xfId="1095"/>
    <cellStyle name="Input cel new 4 2 6" xfId="683"/>
    <cellStyle name="Input cel new 4 2 6 2" xfId="2371"/>
    <cellStyle name="Input cel new 4 2 6 2 2" xfId="3610"/>
    <cellStyle name="Input cel new 4 2 6 3" xfId="1677"/>
    <cellStyle name="Input cel new 4 2 6 3 2" xfId="2906"/>
    <cellStyle name="Input cel new 4 2 6 4" xfId="1458"/>
    <cellStyle name="Input cel new 4 2 6 5" xfId="2688"/>
    <cellStyle name="Input cel new 4 2 6 6" xfId="1158"/>
    <cellStyle name="Input cel new 4 2 7" xfId="312"/>
    <cellStyle name="Input cel new 4 2 7 2" xfId="1726"/>
    <cellStyle name="Input cel new 4 2 7 2 2" xfId="2956"/>
    <cellStyle name="Input cel new 4 2 7 3" xfId="1554"/>
    <cellStyle name="Input cel new 4 2 7 4" xfId="2783"/>
    <cellStyle name="Input cel new 4 2 7 5" xfId="774"/>
    <cellStyle name="Input cel new 4 2 8" xfId="776"/>
    <cellStyle name="Input cel new 4 2 9" xfId="950"/>
    <cellStyle name="Input cel new 4 3" xfId="238"/>
    <cellStyle name="Input cel new 4 3 2" xfId="328"/>
    <cellStyle name="Input cel new 4 3 2 10" xfId="921"/>
    <cellStyle name="Input cel new 4 3 2 2" xfId="447"/>
    <cellStyle name="Input cel new 4 3 2 2 2" xfId="591"/>
    <cellStyle name="Input cel new 4 3 2 2 2 2" xfId="2279"/>
    <cellStyle name="Input cel new 4 3 2 2 2 2 2" xfId="3518"/>
    <cellStyle name="Input cel new 4 3 2 2 2 3" xfId="3204"/>
    <cellStyle name="Input cel new 4 3 2 2 2 4" xfId="1974"/>
    <cellStyle name="Input cel new 4 3 2 2 3" xfId="2154"/>
    <cellStyle name="Input cel new 4 3 2 2 3 2" xfId="3384"/>
    <cellStyle name="Input cel new 4 3 2 2 4" xfId="1748"/>
    <cellStyle name="Input cel new 4 3 2 2 4 2" xfId="2978"/>
    <cellStyle name="Input cel new 4 3 2 2 5" xfId="1366"/>
    <cellStyle name="Input cel new 4 3 2 2 6" xfId="2596"/>
    <cellStyle name="Input cel new 4 3 2 2 7" xfId="1066"/>
    <cellStyle name="Input cel new 4 3 2 3" xfId="655"/>
    <cellStyle name="Input cel new 4 3 2 3 2" xfId="2343"/>
    <cellStyle name="Input cel new 4 3 2 3 2 2" xfId="3582"/>
    <cellStyle name="Input cel new 4 3 2 3 3" xfId="2035"/>
    <cellStyle name="Input cel new 4 3 2 3 3 2" xfId="3265"/>
    <cellStyle name="Input cel new 4 3 2 3 4" xfId="1430"/>
    <cellStyle name="Input cel new 4 3 2 3 5" xfId="2660"/>
    <cellStyle name="Input cel new 4 3 2 3 6" xfId="1130"/>
    <cellStyle name="Input cel new 4 3 2 4" xfId="717"/>
    <cellStyle name="Input cel new 4 3 2 4 2" xfId="2405"/>
    <cellStyle name="Input cel new 4 3 2 4 2 2" xfId="3644"/>
    <cellStyle name="Input cel new 4 3 2 4 3" xfId="2092"/>
    <cellStyle name="Input cel new 4 3 2 4 3 2" xfId="3322"/>
    <cellStyle name="Input cel new 4 3 2 4 4" xfId="1492"/>
    <cellStyle name="Input cel new 4 3 2 4 5" xfId="2722"/>
    <cellStyle name="Input cel new 4 3 2 4 6" xfId="1192"/>
    <cellStyle name="Input cel new 4 3 2 5" xfId="550"/>
    <cellStyle name="Input cel new 4 3 2 5 2" xfId="2239"/>
    <cellStyle name="Input cel new 4 3 2 5 2 2" xfId="3478"/>
    <cellStyle name="Input cel new 4 3 2 5 3" xfId="1936"/>
    <cellStyle name="Input cel new 4 3 2 5 4" xfId="3166"/>
    <cellStyle name="Input cel new 4 3 2 5 5" xfId="1017"/>
    <cellStyle name="Input cel new 4 3 2 6" xfId="1553"/>
    <cellStyle name="Input cel new 4 3 2 6 2" xfId="2782"/>
    <cellStyle name="Input cel new 4 3 2 7" xfId="1624"/>
    <cellStyle name="Input cel new 4 3 2 7 2" xfId="2853"/>
    <cellStyle name="Input cel new 4 3 2 8" xfId="1318"/>
    <cellStyle name="Input cel new 4 3 2 9" xfId="2548"/>
    <cellStyle name="Input cel new 4 3 3" xfId="506"/>
    <cellStyle name="Input cel new 4 3 3 2" xfId="2204"/>
    <cellStyle name="Input cel new 4 3 3 2 2" xfId="3439"/>
    <cellStyle name="Input cel new 4 3 3 3" xfId="1788"/>
    <cellStyle name="Input cel new 4 3 3 3 2" xfId="3018"/>
    <cellStyle name="Input cel new 4 3 3 4" xfId="1247"/>
    <cellStyle name="Input cel new 4 3 3 5" xfId="2477"/>
    <cellStyle name="Input cel new 4 3 3 6" xfId="817"/>
    <cellStyle name="Input cel new 4 3 4" xfId="491"/>
    <cellStyle name="Input cel new 4 3 4 2" xfId="3425"/>
    <cellStyle name="Input cel new 4 3 5" xfId="1613"/>
    <cellStyle name="Input cel new 4 3 5 2" xfId="2842"/>
    <cellStyle name="Input cel new 4 3 6" xfId="1228"/>
    <cellStyle name="Input cel new 4 3 7" xfId="2459"/>
    <cellStyle name="Input cel new 4 3 8" xfId="403"/>
    <cellStyle name="Input cel new 4 4" xfId="1512"/>
    <cellStyle name="Input cel new 4 4 2" xfId="2742"/>
    <cellStyle name="Input cel new 4 5" xfId="2195"/>
    <cellStyle name="Input cel new 5" xfId="179"/>
    <cellStyle name="Input cel new 5 10" xfId="740"/>
    <cellStyle name="Input cel new 5 2" xfId="279"/>
    <cellStyle name="Input cel new 5 2 10" xfId="836"/>
    <cellStyle name="Input cel new 5 2 2" xfId="417"/>
    <cellStyle name="Input cel new 5 2 2 2" xfId="988"/>
    <cellStyle name="Input cel new 5 2 2 2 2" xfId="1907"/>
    <cellStyle name="Input cel new 5 2 2 2 3" xfId="3137"/>
    <cellStyle name="Input cel new 5 2 2 3" xfId="1824"/>
    <cellStyle name="Input cel new 5 2 2 3 2" xfId="3054"/>
    <cellStyle name="Input cel new 5 2 2 4" xfId="2127"/>
    <cellStyle name="Input cel new 5 2 2 4 2" xfId="3357"/>
    <cellStyle name="Input cel new 5 2 2 5" xfId="1648"/>
    <cellStyle name="Input cel new 5 2 2 5 2" xfId="2877"/>
    <cellStyle name="Input cel new 5 2 2 6" xfId="1289"/>
    <cellStyle name="Input cel new 5 2 2 7" xfId="2519"/>
    <cellStyle name="Input cel new 5 2 2 8" xfId="891"/>
    <cellStyle name="Input cel new 5 2 3" xfId="434"/>
    <cellStyle name="Input cel new 5 2 3 2" xfId="562"/>
    <cellStyle name="Input cel new 5 2 3 2 2" xfId="3489"/>
    <cellStyle name="Input cel new 5 2 3 2 3" xfId="2250"/>
    <cellStyle name="Input cel new 5 2 3 3" xfId="2142"/>
    <cellStyle name="Input cel new 5 2 3 3 2" xfId="3372"/>
    <cellStyle name="Input cel new 5 2 3 4" xfId="1709"/>
    <cellStyle name="Input cel new 5 2 3 4 2" xfId="2939"/>
    <cellStyle name="Input cel new 5 2 3 5" xfId="1337"/>
    <cellStyle name="Input cel new 5 2 3 6" xfId="2567"/>
    <cellStyle name="Input cel new 5 2 3 7" xfId="1037"/>
    <cellStyle name="Input cel new 5 2 4" xfId="626"/>
    <cellStyle name="Input cel new 5 2 4 2" xfId="2314"/>
    <cellStyle name="Input cel new 5 2 4 2 2" xfId="3553"/>
    <cellStyle name="Input cel new 5 2 4 3" xfId="2006"/>
    <cellStyle name="Input cel new 5 2 4 3 2" xfId="3236"/>
    <cellStyle name="Input cel new 5 2 4 4" xfId="1401"/>
    <cellStyle name="Input cel new 5 2 4 5" xfId="2631"/>
    <cellStyle name="Input cel new 5 2 4 6" xfId="1101"/>
    <cellStyle name="Input cel new 5 2 5" xfId="688"/>
    <cellStyle name="Input cel new 5 2 5 2" xfId="2376"/>
    <cellStyle name="Input cel new 5 2 5 2 2" xfId="3615"/>
    <cellStyle name="Input cel new 5 2 5 3" xfId="2063"/>
    <cellStyle name="Input cel new 5 2 5 3 2" xfId="3293"/>
    <cellStyle name="Input cel new 5 2 5 4" xfId="1463"/>
    <cellStyle name="Input cel new 5 2 5 5" xfId="2693"/>
    <cellStyle name="Input cel new 5 2 5 6" xfId="1163"/>
    <cellStyle name="Input cel new 5 2 6" xfId="968"/>
    <cellStyle name="Input cel new 5 2 6 2" xfId="1888"/>
    <cellStyle name="Input cel new 5 2 6 3" xfId="3118"/>
    <cellStyle name="Input cel new 5 2 7" xfId="1606"/>
    <cellStyle name="Input cel new 5 2 7 2" xfId="2836"/>
    <cellStyle name="Input cel new 5 2 8" xfId="1266"/>
    <cellStyle name="Input cel new 5 2 9" xfId="2496"/>
    <cellStyle name="Input cel new 5 3" xfId="371"/>
    <cellStyle name="Input cel new 5 3 10" xfId="2487"/>
    <cellStyle name="Input cel new 5 3 11" xfId="827"/>
    <cellStyle name="Input cel new 5 3 2" xfId="459"/>
    <cellStyle name="Input cel new 5 3 2 2" xfId="554"/>
    <cellStyle name="Input cel new 5 3 2 2 2" xfId="2242"/>
    <cellStyle name="Input cel new 5 3 2 2 2 2" xfId="3481"/>
    <cellStyle name="Input cel new 5 3 2 2 3" xfId="1947"/>
    <cellStyle name="Input cel new 5 3 2 2 4" xfId="3177"/>
    <cellStyle name="Input cel new 5 3 2 2 5" xfId="1029"/>
    <cellStyle name="Input cel new 5 3 2 3" xfId="2166"/>
    <cellStyle name="Input cel new 5 3 2 3 2" xfId="3396"/>
    <cellStyle name="Input cel new 5 3 2 4" xfId="1701"/>
    <cellStyle name="Input cel new 5 3 2 4 2" xfId="2931"/>
    <cellStyle name="Input cel new 5 3 2 5" xfId="1329"/>
    <cellStyle name="Input cel new 5 3 2 6" xfId="2559"/>
    <cellStyle name="Input cel new 5 3 2 7" xfId="883"/>
    <cellStyle name="Input cel new 5 3 3" xfId="603"/>
    <cellStyle name="Input cel new 5 3 3 2" xfId="1986"/>
    <cellStyle name="Input cel new 5 3 3 2 2" xfId="3216"/>
    <cellStyle name="Input cel new 5 3 3 3" xfId="2291"/>
    <cellStyle name="Input cel new 5 3 3 3 2" xfId="3530"/>
    <cellStyle name="Input cel new 5 3 3 4" xfId="1761"/>
    <cellStyle name="Input cel new 5 3 3 4 2" xfId="2991"/>
    <cellStyle name="Input cel new 5 3 3 5" xfId="1378"/>
    <cellStyle name="Input cel new 5 3 3 6" xfId="2608"/>
    <cellStyle name="Input cel new 5 3 3 7" xfId="1078"/>
    <cellStyle name="Input cel new 5 3 4" xfId="667"/>
    <cellStyle name="Input cel new 5 3 4 2" xfId="2355"/>
    <cellStyle name="Input cel new 5 3 4 2 2" xfId="3594"/>
    <cellStyle name="Input cel new 5 3 4 3" xfId="2047"/>
    <cellStyle name="Input cel new 5 3 4 3 2" xfId="3277"/>
    <cellStyle name="Input cel new 5 3 4 4" xfId="1442"/>
    <cellStyle name="Input cel new 5 3 4 5" xfId="2672"/>
    <cellStyle name="Input cel new 5 3 4 6" xfId="1142"/>
    <cellStyle name="Input cel new 5 3 5" xfId="728"/>
    <cellStyle name="Input cel new 5 3 5 2" xfId="2416"/>
    <cellStyle name="Input cel new 5 3 5 2 2" xfId="3655"/>
    <cellStyle name="Input cel new 5 3 5 3" xfId="2103"/>
    <cellStyle name="Input cel new 5 3 5 3 2" xfId="3333"/>
    <cellStyle name="Input cel new 5 3 5 4" xfId="1503"/>
    <cellStyle name="Input cel new 5 3 5 5" xfId="2733"/>
    <cellStyle name="Input cel new 5 3 5 6" xfId="1203"/>
    <cellStyle name="Input cel new 5 3 6" xfId="959"/>
    <cellStyle name="Input cel new 5 3 6 2" xfId="1879"/>
    <cellStyle name="Input cel new 5 3 6 3" xfId="3109"/>
    <cellStyle name="Input cel new 5 3 7" xfId="1628"/>
    <cellStyle name="Input cel new 5 3 7 2" xfId="2857"/>
    <cellStyle name="Input cel new 5 3 8" xfId="1527"/>
    <cellStyle name="Input cel new 5 3 8 2" xfId="2757"/>
    <cellStyle name="Input cel new 5 3 9" xfId="1257"/>
    <cellStyle name="Input cel new 5 4" xfId="392"/>
    <cellStyle name="Input cel new 5 4 2" xfId="1866"/>
    <cellStyle name="Input cel new 5 4 2 2" xfId="3096"/>
    <cellStyle name="Input cel new 5 4 3" xfId="1680"/>
    <cellStyle name="Input cel new 5 4 3 2" xfId="2909"/>
    <cellStyle name="Input cel new 5 4 4" xfId="1238"/>
    <cellStyle name="Input cel new 5 4 5" xfId="2469"/>
    <cellStyle name="Input cel new 5 4 6" xfId="942"/>
    <cellStyle name="Input cel new 5 5" xfId="413"/>
    <cellStyle name="Input cel new 5 5 2" xfId="617"/>
    <cellStyle name="Input cel new 5 5 2 2" xfId="2305"/>
    <cellStyle name="Input cel new 5 5 2 2 2" xfId="3544"/>
    <cellStyle name="Input cel new 5 5 2 3" xfId="3227"/>
    <cellStyle name="Input cel new 5 5 2 4" xfId="1997"/>
    <cellStyle name="Input cel new 5 5 3" xfId="2124"/>
    <cellStyle name="Input cel new 5 5 3 2" xfId="3354"/>
    <cellStyle name="Input cel new 5 5 4" xfId="1637"/>
    <cellStyle name="Input cel new 5 5 4 2" xfId="2866"/>
    <cellStyle name="Input cel new 5 5 5" xfId="1392"/>
    <cellStyle name="Input cel new 5 5 6" xfId="2622"/>
    <cellStyle name="Input cel new 5 5 7" xfId="1092"/>
    <cellStyle name="Input cel new 5 6" xfId="680"/>
    <cellStyle name="Input cel new 5 6 2" xfId="2368"/>
    <cellStyle name="Input cel new 5 6 2 2" xfId="3607"/>
    <cellStyle name="Input cel new 5 6 3" xfId="1674"/>
    <cellStyle name="Input cel new 5 6 3 2" xfId="2903"/>
    <cellStyle name="Input cel new 5 6 4" xfId="1455"/>
    <cellStyle name="Input cel new 5 6 5" xfId="2685"/>
    <cellStyle name="Input cel new 5 6 6" xfId="1155"/>
    <cellStyle name="Input cel new 5 7" xfId="302"/>
    <cellStyle name="Input cel new 5 7 2" xfId="1561"/>
    <cellStyle name="Input cel new 5 7 2 2" xfId="2791"/>
    <cellStyle name="Input cel new 5 7 3" xfId="1571"/>
    <cellStyle name="Input cel new 5 7 4" xfId="2801"/>
    <cellStyle name="Input cel new 5 7 5" xfId="756"/>
    <cellStyle name="Input cel new 5 8" xfId="862"/>
    <cellStyle name="Input cel new 5 9" xfId="790"/>
    <cellStyle name="Input cel new 6" xfId="222"/>
    <cellStyle name="Input cel new 6 2" xfId="346"/>
    <cellStyle name="Input cel new 6 2 10" xfId="918"/>
    <cellStyle name="Input cel new 6 2 2" xfId="408"/>
    <cellStyle name="Input cel new 6 2 2 2" xfId="585"/>
    <cellStyle name="Input cel new 6 2 2 2 2" xfId="2273"/>
    <cellStyle name="Input cel new 6 2 2 2 2 2" xfId="3512"/>
    <cellStyle name="Input cel new 6 2 2 2 3" xfId="3198"/>
    <cellStyle name="Input cel new 6 2 2 2 4" xfId="1968"/>
    <cellStyle name="Input cel new 6 2 2 3" xfId="2119"/>
    <cellStyle name="Input cel new 6 2 2 3 2" xfId="3349"/>
    <cellStyle name="Input cel new 6 2 2 4" xfId="1742"/>
    <cellStyle name="Input cel new 6 2 2 4 2" xfId="2972"/>
    <cellStyle name="Input cel new 6 2 2 5" xfId="1360"/>
    <cellStyle name="Input cel new 6 2 2 6" xfId="2590"/>
    <cellStyle name="Input cel new 6 2 2 7" xfId="1060"/>
    <cellStyle name="Input cel new 6 2 3" xfId="649"/>
    <cellStyle name="Input cel new 6 2 3 2" xfId="2337"/>
    <cellStyle name="Input cel new 6 2 3 2 2" xfId="3576"/>
    <cellStyle name="Input cel new 6 2 3 3" xfId="2029"/>
    <cellStyle name="Input cel new 6 2 3 3 2" xfId="3259"/>
    <cellStyle name="Input cel new 6 2 3 4" xfId="1424"/>
    <cellStyle name="Input cel new 6 2 3 5" xfId="2654"/>
    <cellStyle name="Input cel new 6 2 3 6" xfId="1124"/>
    <cellStyle name="Input cel new 6 2 4" xfId="711"/>
    <cellStyle name="Input cel new 6 2 4 2" xfId="2399"/>
    <cellStyle name="Input cel new 6 2 4 2 2" xfId="3638"/>
    <cellStyle name="Input cel new 6 2 4 3" xfId="2086"/>
    <cellStyle name="Input cel new 6 2 4 3 2" xfId="3316"/>
    <cellStyle name="Input cel new 6 2 4 4" xfId="1486"/>
    <cellStyle name="Input cel new 6 2 4 5" xfId="2716"/>
    <cellStyle name="Input cel new 6 2 4 6" xfId="1186"/>
    <cellStyle name="Input cel new 6 2 5" xfId="547"/>
    <cellStyle name="Input cel new 6 2 5 2" xfId="2236"/>
    <cellStyle name="Input cel new 6 2 5 2 2" xfId="3475"/>
    <cellStyle name="Input cel new 6 2 5 3" xfId="1930"/>
    <cellStyle name="Input cel new 6 2 5 4" xfId="3160"/>
    <cellStyle name="Input cel new 6 2 5 5" xfId="1011"/>
    <cellStyle name="Input cel new 6 2 6" xfId="1751"/>
    <cellStyle name="Input cel new 6 2 6 2" xfId="2981"/>
    <cellStyle name="Input cel new 6 2 7" xfId="1602"/>
    <cellStyle name="Input cel new 6 2 7 2" xfId="2832"/>
    <cellStyle name="Input cel new 6 2 8" xfId="1312"/>
    <cellStyle name="Input cel new 6 2 9" xfId="2542"/>
    <cellStyle name="Input cel new 6 3" xfId="520"/>
    <cellStyle name="Input cel new 6 3 2" xfId="2211"/>
    <cellStyle name="Input cel new 6 3 2 2" xfId="3449"/>
    <cellStyle name="Input cel new 6 3 3" xfId="1785"/>
    <cellStyle name="Input cel new 6 3 3 2" xfId="3015"/>
    <cellStyle name="Input cel new 6 3 4" xfId="1281"/>
    <cellStyle name="Input cel new 6 3 5" xfId="2511"/>
    <cellStyle name="Input cel new 6 3 6" xfId="813"/>
    <cellStyle name="Input cel new 6 4" xfId="301"/>
    <cellStyle name="Input cel new 6 4 2" xfId="2923"/>
    <cellStyle name="Input cel new 6 5" xfId="1596"/>
    <cellStyle name="Input cel new 6 5 2" xfId="2826"/>
    <cellStyle name="Input cel new 6 6" xfId="1218"/>
    <cellStyle name="Input cel new 6 7" xfId="2449"/>
    <cellStyle name="Input cel new 6 8" xfId="380"/>
    <cellStyle name="Input cel new 7" xfId="770"/>
    <cellStyle name="Input cel new 7 2" xfId="2436"/>
    <cellStyle name="Input cel new 8" xfId="1509"/>
    <cellStyle name="Input cel new 8 2" xfId="2739"/>
    <cellStyle name="Input cel new 9" xfId="418"/>
    <cellStyle name="Komma 2" xfId="26"/>
    <cellStyle name="KP_thin_border_dark_grey" xfId="252"/>
    <cellStyle name="Linked Cell" xfId="192" builtinId="24" customBuiltin="1"/>
    <cellStyle name="Menu" xfId="27"/>
    <cellStyle name="Milliers [0]_Oilques" xfId="28"/>
    <cellStyle name="Milliers_Oilques" xfId="29"/>
    <cellStyle name="Monétaire [0]_Oilques" xfId="30"/>
    <cellStyle name="Monétaire_Oilques" xfId="31"/>
    <cellStyle name="Neutral 2" xfId="162"/>
    <cellStyle name="Neutral 3" xfId="228"/>
    <cellStyle name="Normal" xfId="0" builtinId="0"/>
    <cellStyle name="Normal 10" xfId="150"/>
    <cellStyle name="Normal 10 2" xfId="165"/>
    <cellStyle name="Normal 10 3" xfId="253"/>
    <cellStyle name="Normal 11" xfId="156"/>
    <cellStyle name="Normal 12" xfId="158"/>
    <cellStyle name="Normal 13" xfId="159"/>
    <cellStyle name="Normal 13 2" xfId="237"/>
    <cellStyle name="Normal 13 3" xfId="227"/>
    <cellStyle name="Normal 14" xfId="174"/>
    <cellStyle name="Normal 15" xfId="173"/>
    <cellStyle name="Normal 15 2" xfId="241"/>
    <cellStyle name="Normal 15 3" xfId="1607"/>
    <cellStyle name="Normal 16" xfId="182"/>
    <cellStyle name="Normal 16 2" xfId="242"/>
    <cellStyle name="Normal 16 3" xfId="1550"/>
    <cellStyle name="Normal 17" xfId="235"/>
    <cellStyle name="Normal 18" xfId="285"/>
    <cellStyle name="Normal 19" xfId="287"/>
    <cellStyle name="Normal 2" xfId="3"/>
    <cellStyle name="Normal 2 2" xfId="32"/>
    <cellStyle name="Normal 2 3" xfId="254"/>
    <cellStyle name="Normal 20" xfId="288"/>
    <cellStyle name="Normal 21" xfId="289"/>
    <cellStyle name="Normal 22" xfId="290"/>
    <cellStyle name="Normal 23" xfId="255"/>
    <cellStyle name="Normal 3" xfId="4"/>
    <cellStyle name="Normal 3 2" xfId="33"/>
    <cellStyle name="Normal 3 2 2" xfId="53"/>
    <cellStyle name="Normal 3 3" xfId="54"/>
    <cellStyle name="Normal 4" xfId="34"/>
    <cellStyle name="Normal 4 2" xfId="55"/>
    <cellStyle name="Normal 5" xfId="35"/>
    <cellStyle name="Normal 5 10" xfId="56"/>
    <cellStyle name="Normal 5 10 2" xfId="57"/>
    <cellStyle name="Normal 5 11" xfId="58"/>
    <cellStyle name="Normal 5 11 2" xfId="59"/>
    <cellStyle name="Normal 5 12" xfId="60"/>
    <cellStyle name="Normal 5 12 2" xfId="61"/>
    <cellStyle name="Normal 5 13" xfId="62"/>
    <cellStyle name="Normal 5 13 2" xfId="63"/>
    <cellStyle name="Normal 5 14" xfId="64"/>
    <cellStyle name="Normal 5 14 2" xfId="65"/>
    <cellStyle name="Normal 5 15" xfId="66"/>
    <cellStyle name="Normal 5 15 2" xfId="67"/>
    <cellStyle name="Normal 5 16" xfId="68"/>
    <cellStyle name="Normal 5 16 2" xfId="69"/>
    <cellStyle name="Normal 5 17" xfId="70"/>
    <cellStyle name="Normal 5 17 2" xfId="71"/>
    <cellStyle name="Normal 5 18" xfId="72"/>
    <cellStyle name="Normal 5 18 2" xfId="73"/>
    <cellStyle name="Normal 5 19" xfId="74"/>
    <cellStyle name="Normal 5 19 2" xfId="75"/>
    <cellStyle name="Normal 5 2" xfId="76"/>
    <cellStyle name="Normal 5 2 2" xfId="77"/>
    <cellStyle name="Normal 5 20" xfId="78"/>
    <cellStyle name="Normal 5 20 2" xfId="79"/>
    <cellStyle name="Normal 5 21" xfId="80"/>
    <cellStyle name="Normal 5 21 2" xfId="81"/>
    <cellStyle name="Normal 5 22" xfId="82"/>
    <cellStyle name="Normal 5 22 2" xfId="83"/>
    <cellStyle name="Normal 5 23" xfId="84"/>
    <cellStyle name="Normal 5 3" xfId="85"/>
    <cellStyle name="Normal 5 3 2" xfId="86"/>
    <cellStyle name="Normal 5 4" xfId="87"/>
    <cellStyle name="Normal 5 4 2" xfId="88"/>
    <cellStyle name="Normal 5 5" xfId="89"/>
    <cellStyle name="Normal 5 5 2" xfId="90"/>
    <cellStyle name="Normal 5 6" xfId="91"/>
    <cellStyle name="Normal 5 6 2" xfId="92"/>
    <cellStyle name="Normal 5 7" xfId="93"/>
    <cellStyle name="Normal 5 7 2" xfId="94"/>
    <cellStyle name="Normal 5 8" xfId="95"/>
    <cellStyle name="Normal 5 8 2" xfId="96"/>
    <cellStyle name="Normal 5 9" xfId="97"/>
    <cellStyle name="Normal 5 9 2" xfId="98"/>
    <cellStyle name="Normal 5_INTERIM BEREKENINGEN Landbouw" xfId="99"/>
    <cellStyle name="Normal 6" xfId="36"/>
    <cellStyle name="Normal 7" xfId="2"/>
    <cellStyle name="Normal 8" xfId="149"/>
    <cellStyle name="Normal 8 2" xfId="166"/>
    <cellStyle name="Normal 9" xfId="151"/>
    <cellStyle name="Normal GHG Numbers (0.00)" xfId="37"/>
    <cellStyle name="Normal GHG Numbers (0.00) 2" xfId="256"/>
    <cellStyle name="Normal GHG Numbers (0.00) 2 10" xfId="932"/>
    <cellStyle name="Normal GHG Numbers (0.00) 2 11" xfId="514"/>
    <cellStyle name="Normal GHG Numbers (0.00) 2 2" xfId="356"/>
    <cellStyle name="Normal GHG Numbers (0.00) 2 2 10" xfId="839"/>
    <cellStyle name="Normal GHG Numbers (0.00) 2 2 2" xfId="383"/>
    <cellStyle name="Normal GHG Numbers (0.00) 2 2 2 2" xfId="530"/>
    <cellStyle name="Normal GHG Numbers (0.00) 2 2 2 2 2" xfId="2220"/>
    <cellStyle name="Normal GHG Numbers (0.00) 2 2 2 2 2 2" xfId="3458"/>
    <cellStyle name="Normal GHG Numbers (0.00) 2 2 2 2 3" xfId="1910"/>
    <cellStyle name="Normal GHG Numbers (0.00) 2 2 2 2 4" xfId="3140"/>
    <cellStyle name="Normal GHG Numbers (0.00) 2 2 2 2 5" xfId="991"/>
    <cellStyle name="Normal GHG Numbers (0.00) 2 2 2 3" xfId="1827"/>
    <cellStyle name="Normal GHG Numbers (0.00) 2 2 2 3 2" xfId="3057"/>
    <cellStyle name="Normal GHG Numbers (0.00) 2 2 2 4" xfId="1813"/>
    <cellStyle name="Normal GHG Numbers (0.00) 2 2 2 4 2" xfId="3043"/>
    <cellStyle name="Normal GHG Numbers (0.00) 2 2 2 5" xfId="1651"/>
    <cellStyle name="Normal GHG Numbers (0.00) 2 2 2 5 2" xfId="2880"/>
    <cellStyle name="Normal GHG Numbers (0.00) 2 2 2 6" xfId="1292"/>
    <cellStyle name="Normal GHG Numbers (0.00) 2 2 2 7" xfId="2522"/>
    <cellStyle name="Normal GHG Numbers (0.00) 2 2 2 8" xfId="894"/>
    <cellStyle name="Normal GHG Numbers (0.00) 2 2 3" xfId="565"/>
    <cellStyle name="Normal GHG Numbers (0.00) 2 2 3 2" xfId="2253"/>
    <cellStyle name="Normal GHG Numbers (0.00) 2 2 3 2 2" xfId="3492"/>
    <cellStyle name="Normal GHG Numbers (0.00) 2 2 3 3" xfId="1712"/>
    <cellStyle name="Normal GHG Numbers (0.00) 2 2 3 3 2" xfId="2942"/>
    <cellStyle name="Normal GHG Numbers (0.00) 2 2 3 4" xfId="1340"/>
    <cellStyle name="Normal GHG Numbers (0.00) 2 2 3 5" xfId="2570"/>
    <cellStyle name="Normal GHG Numbers (0.00) 2 2 3 6" xfId="1040"/>
    <cellStyle name="Normal GHG Numbers (0.00) 2 2 4" xfId="629"/>
    <cellStyle name="Normal GHG Numbers (0.00) 2 2 4 2" xfId="2317"/>
    <cellStyle name="Normal GHG Numbers (0.00) 2 2 4 2 2" xfId="3556"/>
    <cellStyle name="Normal GHG Numbers (0.00) 2 2 4 3" xfId="2009"/>
    <cellStyle name="Normal GHG Numbers (0.00) 2 2 4 3 2" xfId="3239"/>
    <cellStyle name="Normal GHG Numbers (0.00) 2 2 4 4" xfId="1404"/>
    <cellStyle name="Normal GHG Numbers (0.00) 2 2 4 5" xfId="2634"/>
    <cellStyle name="Normal GHG Numbers (0.00) 2 2 4 6" xfId="1104"/>
    <cellStyle name="Normal GHG Numbers (0.00) 2 2 5" xfId="691"/>
    <cellStyle name="Normal GHG Numbers (0.00) 2 2 5 2" xfId="2379"/>
    <cellStyle name="Normal GHG Numbers (0.00) 2 2 5 2 2" xfId="3618"/>
    <cellStyle name="Normal GHG Numbers (0.00) 2 2 5 3" xfId="2066"/>
    <cellStyle name="Normal GHG Numbers (0.00) 2 2 5 3 2" xfId="3296"/>
    <cellStyle name="Normal GHG Numbers (0.00) 2 2 5 4" xfId="1466"/>
    <cellStyle name="Normal GHG Numbers (0.00) 2 2 5 5" xfId="2696"/>
    <cellStyle name="Normal GHG Numbers (0.00) 2 2 5 6" xfId="1166"/>
    <cellStyle name="Normal GHG Numbers (0.00) 2 2 6" xfId="971"/>
    <cellStyle name="Normal GHG Numbers (0.00) 2 2 6 2" xfId="1891"/>
    <cellStyle name="Normal GHG Numbers (0.00) 2 2 6 3" xfId="3121"/>
    <cellStyle name="Normal GHG Numbers (0.00) 2 2 7" xfId="1692"/>
    <cellStyle name="Normal GHG Numbers (0.00) 2 2 7 2" xfId="2921"/>
    <cellStyle name="Normal GHG Numbers (0.00) 2 2 8" xfId="1269"/>
    <cellStyle name="Normal GHG Numbers (0.00) 2 2 9" xfId="2499"/>
    <cellStyle name="Normal GHG Numbers (0.00) 2 3" xfId="333"/>
    <cellStyle name="Normal GHG Numbers (0.00) 2 3 10" xfId="2450"/>
    <cellStyle name="Normal GHG Numbers (0.00) 2 3 11" xfId="781"/>
    <cellStyle name="Normal GHG Numbers (0.00) 2 3 2" xfId="426"/>
    <cellStyle name="Normal GHG Numbers (0.00) 2 3 2 2" xfId="1012"/>
    <cellStyle name="Normal GHG Numbers (0.00) 2 3 2 2 2" xfId="1931"/>
    <cellStyle name="Normal GHG Numbers (0.00) 2 3 2 2 3" xfId="3161"/>
    <cellStyle name="Normal GHG Numbers (0.00) 2 3 2 3" xfId="2134"/>
    <cellStyle name="Normal GHG Numbers (0.00) 2 3 2 3 2" xfId="3364"/>
    <cellStyle name="Normal GHG Numbers (0.00) 2 3 2 4" xfId="1686"/>
    <cellStyle name="Normal GHG Numbers (0.00) 2 3 2 4 2" xfId="2915"/>
    <cellStyle name="Normal GHG Numbers (0.00) 2 3 2 5" xfId="1313"/>
    <cellStyle name="Normal GHG Numbers (0.00) 2 3 2 6" xfId="2543"/>
    <cellStyle name="Normal GHG Numbers (0.00) 2 3 2 7" xfId="867"/>
    <cellStyle name="Normal GHG Numbers (0.00) 2 3 3" xfId="384"/>
    <cellStyle name="Normal GHG Numbers (0.00) 2 3 3 2" xfId="586"/>
    <cellStyle name="Normal GHG Numbers (0.00) 2 3 3 2 2" xfId="2274"/>
    <cellStyle name="Normal GHG Numbers (0.00) 2 3 3 2 2 2" xfId="3513"/>
    <cellStyle name="Normal GHG Numbers (0.00) 2 3 3 2 3" xfId="3199"/>
    <cellStyle name="Normal GHG Numbers (0.00) 2 3 3 2 4" xfId="1969"/>
    <cellStyle name="Normal GHG Numbers (0.00) 2 3 3 3" xfId="1580"/>
    <cellStyle name="Normal GHG Numbers (0.00) 2 3 3 3 2" xfId="2810"/>
    <cellStyle name="Normal GHG Numbers (0.00) 2 3 3 4" xfId="1743"/>
    <cellStyle name="Normal GHG Numbers (0.00) 2 3 3 4 2" xfId="2973"/>
    <cellStyle name="Normal GHG Numbers (0.00) 2 3 3 5" xfId="1361"/>
    <cellStyle name="Normal GHG Numbers (0.00) 2 3 3 6" xfId="2591"/>
    <cellStyle name="Normal GHG Numbers (0.00) 2 3 3 7" xfId="1061"/>
    <cellStyle name="Normal GHG Numbers (0.00) 2 3 4" xfId="650"/>
    <cellStyle name="Normal GHG Numbers (0.00) 2 3 4 2" xfId="2338"/>
    <cellStyle name="Normal GHG Numbers (0.00) 2 3 4 2 2" xfId="3577"/>
    <cellStyle name="Normal GHG Numbers (0.00) 2 3 4 3" xfId="2030"/>
    <cellStyle name="Normal GHG Numbers (0.00) 2 3 4 3 2" xfId="3260"/>
    <cellStyle name="Normal GHG Numbers (0.00) 2 3 4 4" xfId="1425"/>
    <cellStyle name="Normal GHG Numbers (0.00) 2 3 4 5" xfId="2655"/>
    <cellStyle name="Normal GHG Numbers (0.00) 2 3 4 6" xfId="1125"/>
    <cellStyle name="Normal GHG Numbers (0.00) 2 3 5" xfId="712"/>
    <cellStyle name="Normal GHG Numbers (0.00) 2 3 5 2" xfId="2400"/>
    <cellStyle name="Normal GHG Numbers (0.00) 2 3 5 2 2" xfId="3639"/>
    <cellStyle name="Normal GHG Numbers (0.00) 2 3 5 3" xfId="2087"/>
    <cellStyle name="Normal GHG Numbers (0.00) 2 3 5 3 2" xfId="3317"/>
    <cellStyle name="Normal GHG Numbers (0.00) 2 3 5 4" xfId="1487"/>
    <cellStyle name="Normal GHG Numbers (0.00) 2 3 5 5" xfId="2717"/>
    <cellStyle name="Normal GHG Numbers (0.00) 2 3 5 6" xfId="1187"/>
    <cellStyle name="Normal GHG Numbers (0.00) 2 3 6" xfId="871"/>
    <cellStyle name="Normal GHG Numbers (0.00) 2 3 6 2" xfId="1815"/>
    <cellStyle name="Normal GHG Numbers (0.00) 2 3 6 3" xfId="3045"/>
    <cellStyle name="Normal GHG Numbers (0.00) 2 3 7" xfId="1955"/>
    <cellStyle name="Normal GHG Numbers (0.00) 2 3 7 2" xfId="3185"/>
    <cellStyle name="Normal GHG Numbers (0.00) 2 3 8" xfId="1517"/>
    <cellStyle name="Normal GHG Numbers (0.00) 2 3 8 2" xfId="2747"/>
    <cellStyle name="Normal GHG Numbers (0.00) 2 3 9" xfId="1219"/>
    <cellStyle name="Normal GHG Numbers (0.00) 2 4" xfId="414"/>
    <cellStyle name="Normal GHG Numbers (0.00) 2 4 2" xfId="515"/>
    <cellStyle name="Normal GHG Numbers (0.00) 2 4 2 2" xfId="2209"/>
    <cellStyle name="Normal GHG Numbers (0.00) 2 4 2 2 2" xfId="3446"/>
    <cellStyle name="Normal GHG Numbers (0.00) 2 4 2 3" xfId="3115"/>
    <cellStyle name="Normal GHG Numbers (0.00) 2 4 2 4" xfId="1885"/>
    <cellStyle name="Normal GHG Numbers (0.00) 2 4 3" xfId="2125"/>
    <cellStyle name="Normal GHG Numbers (0.00) 2 4 3 2" xfId="3355"/>
    <cellStyle name="Normal GHG Numbers (0.00) 2 4 4" xfId="1610"/>
    <cellStyle name="Normal GHG Numbers (0.00) 2 4 4 2" xfId="2839"/>
    <cellStyle name="Normal GHG Numbers (0.00) 2 4 5" xfId="1263"/>
    <cellStyle name="Normal GHG Numbers (0.00) 2 4 6" xfId="2493"/>
    <cellStyle name="Normal GHG Numbers (0.00) 2 4 7" xfId="965"/>
    <cellStyle name="Normal GHG Numbers (0.00) 2 5" xfId="524"/>
    <cellStyle name="Normal GHG Numbers (0.00) 2 5 2" xfId="2215"/>
    <cellStyle name="Normal GHG Numbers (0.00) 2 5 2 2" xfId="3453"/>
    <cellStyle name="Normal GHG Numbers (0.00) 2 5 3" xfId="1615"/>
    <cellStyle name="Normal GHG Numbers (0.00) 2 5 3 2" xfId="2844"/>
    <cellStyle name="Normal GHG Numbers (0.00) 2 5 4" xfId="1286"/>
    <cellStyle name="Normal GHG Numbers (0.00) 2 5 5" xfId="2516"/>
    <cellStyle name="Normal GHG Numbers (0.00) 2 5 6" xfId="985"/>
    <cellStyle name="Normal GHG Numbers (0.00) 2 6" xfId="521"/>
    <cellStyle name="Normal GHG Numbers (0.00) 2 6 2" xfId="2212"/>
    <cellStyle name="Normal GHG Numbers (0.00) 2 6 2 2" xfId="3450"/>
    <cellStyle name="Normal GHG Numbers (0.00) 2 6 3" xfId="1903"/>
    <cellStyle name="Normal GHG Numbers (0.00) 2 6 3 2" xfId="3133"/>
    <cellStyle name="Normal GHG Numbers (0.00) 2 6 4" xfId="1282"/>
    <cellStyle name="Normal GHG Numbers (0.00) 2 6 5" xfId="2512"/>
    <cellStyle name="Normal GHG Numbers (0.00) 2 6 6" xfId="983"/>
    <cellStyle name="Normal GHG Numbers (0.00) 2 7" xfId="415"/>
    <cellStyle name="Normal GHG Numbers (0.00) 2 7 2" xfId="2126"/>
    <cellStyle name="Normal GHG Numbers (0.00) 2 7 2 2" xfId="3356"/>
    <cellStyle name="Normal GHG Numbers (0.00) 2 7 3" xfId="1771"/>
    <cellStyle name="Normal GHG Numbers (0.00) 2 7 4" xfId="3001"/>
    <cellStyle name="Normal GHG Numbers (0.00) 2 7 5" xfId="798"/>
    <cellStyle name="Normal GHG Numbers (0.00) 2 8" xfId="1537"/>
    <cellStyle name="Normal GHG Numbers (0.00) 2 8 2" xfId="2767"/>
    <cellStyle name="Normal GHG Numbers (0.00) 2 9" xfId="761"/>
    <cellStyle name="Normal GHG Numbers (0.00) 3" xfId="225"/>
    <cellStyle name="Normal GHG Numbers (0.00) 3 2" xfId="299"/>
    <cellStyle name="Normal GHG Numbers (0.00) 3 2 10" xfId="2536"/>
    <cellStyle name="Normal GHG Numbers (0.00) 3 2 11" xfId="912"/>
    <cellStyle name="Normal GHG Numbers (0.00) 3 2 2" xfId="379"/>
    <cellStyle name="Normal GHG Numbers (0.00) 3 2 2 2" xfId="579"/>
    <cellStyle name="Normal GHG Numbers (0.00) 3 2 2 2 2" xfId="3506"/>
    <cellStyle name="Normal GHG Numbers (0.00) 3 2 2 2 3" xfId="2267"/>
    <cellStyle name="Normal GHG Numbers (0.00) 3 2 2 3" xfId="1667"/>
    <cellStyle name="Normal GHG Numbers (0.00) 3 2 2 3 2" xfId="2896"/>
    <cellStyle name="Normal GHG Numbers (0.00) 3 2 2 4" xfId="1962"/>
    <cellStyle name="Normal GHG Numbers (0.00) 3 2 2 4 2" xfId="3192"/>
    <cellStyle name="Normal GHG Numbers (0.00) 3 2 2 5" xfId="1354"/>
    <cellStyle name="Normal GHG Numbers (0.00) 3 2 2 6" xfId="2584"/>
    <cellStyle name="Normal GHG Numbers (0.00) 3 2 2 7" xfId="1054"/>
    <cellStyle name="Normal GHG Numbers (0.00) 3 2 3" xfId="643"/>
    <cellStyle name="Normal GHG Numbers (0.00) 3 2 3 2" xfId="2331"/>
    <cellStyle name="Normal GHG Numbers (0.00) 3 2 3 2 2" xfId="3570"/>
    <cellStyle name="Normal GHG Numbers (0.00) 3 2 3 3" xfId="2023"/>
    <cellStyle name="Normal GHG Numbers (0.00) 3 2 3 3 2" xfId="3253"/>
    <cellStyle name="Normal GHG Numbers (0.00) 3 2 3 4" xfId="1418"/>
    <cellStyle name="Normal GHG Numbers (0.00) 3 2 3 5" xfId="2648"/>
    <cellStyle name="Normal GHG Numbers (0.00) 3 2 3 6" xfId="1118"/>
    <cellStyle name="Normal GHG Numbers (0.00) 3 2 4" xfId="705"/>
    <cellStyle name="Normal GHG Numbers (0.00) 3 2 4 2" xfId="2393"/>
    <cellStyle name="Normal GHG Numbers (0.00) 3 2 4 2 2" xfId="3632"/>
    <cellStyle name="Normal GHG Numbers (0.00) 3 2 4 3" xfId="2080"/>
    <cellStyle name="Normal GHG Numbers (0.00) 3 2 4 3 2" xfId="3310"/>
    <cellStyle name="Normal GHG Numbers (0.00) 3 2 4 4" xfId="1480"/>
    <cellStyle name="Normal GHG Numbers (0.00) 3 2 4 5" xfId="2710"/>
    <cellStyle name="Normal GHG Numbers (0.00) 3 2 4 6" xfId="1180"/>
    <cellStyle name="Normal GHG Numbers (0.00) 3 2 5" xfId="541"/>
    <cellStyle name="Normal GHG Numbers (0.00) 3 2 5 2" xfId="2230"/>
    <cellStyle name="Normal GHG Numbers (0.00) 3 2 5 2 2" xfId="3469"/>
    <cellStyle name="Normal GHG Numbers (0.00) 3 2 5 3" xfId="1924"/>
    <cellStyle name="Normal GHG Numbers (0.00) 3 2 5 4" xfId="3154"/>
    <cellStyle name="Normal GHG Numbers (0.00) 3 2 5 5" xfId="1005"/>
    <cellStyle name="Normal GHG Numbers (0.00) 3 2 6" xfId="1844"/>
    <cellStyle name="Normal GHG Numbers (0.00) 3 2 6 2" xfId="3074"/>
    <cellStyle name="Normal GHG Numbers (0.00) 3 2 7" xfId="1728"/>
    <cellStyle name="Normal GHG Numbers (0.00) 3 2 7 2" xfId="2958"/>
    <cellStyle name="Normal GHG Numbers (0.00) 3 2 8" xfId="1736"/>
    <cellStyle name="Normal GHG Numbers (0.00) 3 2 8 2" xfId="2966"/>
    <cellStyle name="Normal GHG Numbers (0.00) 3 2 9" xfId="1306"/>
    <cellStyle name="Normal GHG Numbers (0.00) 3 3" xfId="470"/>
    <cellStyle name="Normal GHG Numbers (0.00) 3 3 2" xfId="2175"/>
    <cellStyle name="Normal GHG Numbers (0.00) 3 3 2 2" xfId="3406"/>
    <cellStyle name="Normal GHG Numbers (0.00) 3 3 3" xfId="1784"/>
    <cellStyle name="Normal GHG Numbers (0.00) 3 3 3 2" xfId="3014"/>
    <cellStyle name="Normal GHG Numbers (0.00) 3 3 4" xfId="930"/>
    <cellStyle name="Normal GHG Numbers (0.00) 3 3 5" xfId="2428"/>
    <cellStyle name="Normal GHG Numbers (0.00) 3 3 6" xfId="812"/>
    <cellStyle name="Normal GHG Numbers (0.00) 3 4" xfId="511"/>
    <cellStyle name="Normal GHG Numbers (0.00) 3 4 2" xfId="3443"/>
    <cellStyle name="Normal GHG Numbers (0.00) 3 5" xfId="1796"/>
    <cellStyle name="Normal GHG Numbers (0.00) 3 5 2" xfId="3026"/>
    <cellStyle name="Normal GHG Numbers (0.00) 3 6" xfId="1583"/>
    <cellStyle name="Normal GHG Numbers (0.00) 3 6 2" xfId="2813"/>
    <cellStyle name="Normal GHG Numbers (0.00) 3 7" xfId="861"/>
    <cellStyle name="Normal GHG Numbers (0.00) 3 8" xfId="2425"/>
    <cellStyle name="Normal GHG Numbers (0.00) 3 9" xfId="295"/>
    <cellStyle name="Normal GHG Numbers (0.00) 4" xfId="350"/>
    <cellStyle name="Normal GHG Textfiels Bold" xfId="257"/>
    <cellStyle name="Normal GHG Textfiels Bold 10" xfId="816"/>
    <cellStyle name="Normal GHG Textfiels Bold 11" xfId="486"/>
    <cellStyle name="Normal GHG Textfiels Bold 2" xfId="357"/>
    <cellStyle name="Normal GHG Textfiels Bold 2 10" xfId="837"/>
    <cellStyle name="Normal GHG Textfiels Bold 2 2" xfId="354"/>
    <cellStyle name="Normal GHG Textfiels Bold 2 2 2" xfId="528"/>
    <cellStyle name="Normal GHG Textfiels Bold 2 2 2 2" xfId="2218"/>
    <cellStyle name="Normal GHG Textfiels Bold 2 2 2 2 2" xfId="3456"/>
    <cellStyle name="Normal GHG Textfiels Bold 2 2 2 3" xfId="1908"/>
    <cellStyle name="Normal GHG Textfiels Bold 2 2 2 4" xfId="3138"/>
    <cellStyle name="Normal GHG Textfiels Bold 2 2 2 5" xfId="989"/>
    <cellStyle name="Normal GHG Textfiels Bold 2 2 3" xfId="1825"/>
    <cellStyle name="Normal GHG Textfiels Bold 2 2 3 2" xfId="3055"/>
    <cellStyle name="Normal GHG Textfiels Bold 2 2 4" xfId="1681"/>
    <cellStyle name="Normal GHG Textfiels Bold 2 2 4 2" xfId="2910"/>
    <cellStyle name="Normal GHG Textfiels Bold 2 2 5" xfId="1649"/>
    <cellStyle name="Normal GHG Textfiels Bold 2 2 5 2" xfId="2878"/>
    <cellStyle name="Normal GHG Textfiels Bold 2 2 6" xfId="1290"/>
    <cellStyle name="Normal GHG Textfiels Bold 2 2 7" xfId="2520"/>
    <cellStyle name="Normal GHG Textfiels Bold 2 2 8" xfId="892"/>
    <cellStyle name="Normal GHG Textfiels Bold 2 3" xfId="563"/>
    <cellStyle name="Normal GHG Textfiels Bold 2 3 2" xfId="2251"/>
    <cellStyle name="Normal GHG Textfiels Bold 2 3 2 2" xfId="3490"/>
    <cellStyle name="Normal GHG Textfiels Bold 2 3 3" xfId="1710"/>
    <cellStyle name="Normal GHG Textfiels Bold 2 3 3 2" xfId="2940"/>
    <cellStyle name="Normal GHG Textfiels Bold 2 3 4" xfId="1338"/>
    <cellStyle name="Normal GHG Textfiels Bold 2 3 5" xfId="2568"/>
    <cellStyle name="Normal GHG Textfiels Bold 2 3 6" xfId="1038"/>
    <cellStyle name="Normal GHG Textfiels Bold 2 4" xfId="627"/>
    <cellStyle name="Normal GHG Textfiels Bold 2 4 2" xfId="2315"/>
    <cellStyle name="Normal GHG Textfiels Bold 2 4 2 2" xfId="3554"/>
    <cellStyle name="Normal GHG Textfiels Bold 2 4 3" xfId="2007"/>
    <cellStyle name="Normal GHG Textfiels Bold 2 4 3 2" xfId="3237"/>
    <cellStyle name="Normal GHG Textfiels Bold 2 4 4" xfId="1402"/>
    <cellStyle name="Normal GHG Textfiels Bold 2 4 5" xfId="2632"/>
    <cellStyle name="Normal GHG Textfiels Bold 2 4 6" xfId="1102"/>
    <cellStyle name="Normal GHG Textfiels Bold 2 5" xfId="689"/>
    <cellStyle name="Normal GHG Textfiels Bold 2 5 2" xfId="2377"/>
    <cellStyle name="Normal GHG Textfiels Bold 2 5 2 2" xfId="3616"/>
    <cellStyle name="Normal GHG Textfiels Bold 2 5 3" xfId="2064"/>
    <cellStyle name="Normal GHG Textfiels Bold 2 5 3 2" xfId="3294"/>
    <cellStyle name="Normal GHG Textfiels Bold 2 5 4" xfId="1464"/>
    <cellStyle name="Normal GHG Textfiels Bold 2 5 5" xfId="2694"/>
    <cellStyle name="Normal GHG Textfiels Bold 2 5 6" xfId="1164"/>
    <cellStyle name="Normal GHG Textfiels Bold 2 6" xfId="969"/>
    <cellStyle name="Normal GHG Textfiels Bold 2 6 2" xfId="1889"/>
    <cellStyle name="Normal GHG Textfiels Bold 2 6 3" xfId="3119"/>
    <cellStyle name="Normal GHG Textfiels Bold 2 7" xfId="1666"/>
    <cellStyle name="Normal GHG Textfiels Bold 2 7 2" xfId="2895"/>
    <cellStyle name="Normal GHG Textfiels Bold 2 8" xfId="1267"/>
    <cellStyle name="Normal GHG Textfiels Bold 2 9" xfId="2497"/>
    <cellStyle name="Normal GHG Textfiels Bold 3" xfId="331"/>
    <cellStyle name="Normal GHG Textfiels Bold 3 10" xfId="2466"/>
    <cellStyle name="Normal GHG Textfiels Bold 3 11" xfId="803"/>
    <cellStyle name="Normal GHG Textfiels Bold 3 2" xfId="432"/>
    <cellStyle name="Normal GHG Textfiels Bold 3 2 2" xfId="1022"/>
    <cellStyle name="Normal GHG Textfiels Bold 3 2 2 2" xfId="1940"/>
    <cellStyle name="Normal GHG Textfiels Bold 3 2 2 3" xfId="3170"/>
    <cellStyle name="Normal GHG Textfiels Bold 3 2 3" xfId="2140"/>
    <cellStyle name="Normal GHG Textfiels Bold 3 2 3 2" xfId="3370"/>
    <cellStyle name="Normal GHG Textfiels Bold 3 2 4" xfId="1694"/>
    <cellStyle name="Normal GHG Textfiels Bold 3 2 4 2" xfId="2924"/>
    <cellStyle name="Normal GHG Textfiels Bold 3 2 5" xfId="1322"/>
    <cellStyle name="Normal GHG Textfiels Bold 3 2 6" xfId="2552"/>
    <cellStyle name="Normal GHG Textfiels Bold 3 2 7" xfId="876"/>
    <cellStyle name="Normal GHG Textfiels Bold 3 3" xfId="452"/>
    <cellStyle name="Normal GHG Textfiels Bold 3 3 2" xfId="596"/>
    <cellStyle name="Normal GHG Textfiels Bold 3 3 2 2" xfId="2284"/>
    <cellStyle name="Normal GHG Textfiels Bold 3 3 2 2 2" xfId="3523"/>
    <cellStyle name="Normal GHG Textfiels Bold 3 3 2 3" xfId="3209"/>
    <cellStyle name="Normal GHG Textfiels Bold 3 3 2 4" xfId="1979"/>
    <cellStyle name="Normal GHG Textfiels Bold 3 3 3" xfId="2159"/>
    <cellStyle name="Normal GHG Textfiels Bold 3 3 3 2" xfId="3389"/>
    <cellStyle name="Normal GHG Textfiels Bold 3 3 4" xfId="1754"/>
    <cellStyle name="Normal GHG Textfiels Bold 3 3 4 2" xfId="2984"/>
    <cellStyle name="Normal GHG Textfiels Bold 3 3 5" xfId="1371"/>
    <cellStyle name="Normal GHG Textfiels Bold 3 3 6" xfId="2601"/>
    <cellStyle name="Normal GHG Textfiels Bold 3 3 7" xfId="1071"/>
    <cellStyle name="Normal GHG Textfiels Bold 3 4" xfId="660"/>
    <cellStyle name="Normal GHG Textfiels Bold 3 4 2" xfId="2348"/>
    <cellStyle name="Normal GHG Textfiels Bold 3 4 2 2" xfId="3587"/>
    <cellStyle name="Normal GHG Textfiels Bold 3 4 3" xfId="2040"/>
    <cellStyle name="Normal GHG Textfiels Bold 3 4 3 2" xfId="3270"/>
    <cellStyle name="Normal GHG Textfiels Bold 3 4 4" xfId="1435"/>
    <cellStyle name="Normal GHG Textfiels Bold 3 4 5" xfId="2665"/>
    <cellStyle name="Normal GHG Textfiels Bold 3 4 6" xfId="1135"/>
    <cellStyle name="Normal GHG Textfiels Bold 3 5" xfId="721"/>
    <cellStyle name="Normal GHG Textfiels Bold 3 5 2" xfId="2409"/>
    <cellStyle name="Normal GHG Textfiels Bold 3 5 2 2" xfId="3648"/>
    <cellStyle name="Normal GHG Textfiels Bold 3 5 3" xfId="2096"/>
    <cellStyle name="Normal GHG Textfiels Bold 3 5 3 2" xfId="3326"/>
    <cellStyle name="Normal GHG Textfiels Bold 3 5 4" xfId="1496"/>
    <cellStyle name="Normal GHG Textfiels Bold 3 5 5" xfId="2726"/>
    <cellStyle name="Normal GHG Textfiels Bold 3 5 6" xfId="1196"/>
    <cellStyle name="Normal GHG Textfiels Bold 3 6" xfId="939"/>
    <cellStyle name="Normal GHG Textfiels Bold 3 6 2" xfId="1863"/>
    <cellStyle name="Normal GHG Textfiels Bold 3 6 3" xfId="3093"/>
    <cellStyle name="Normal GHG Textfiels Bold 3 7" xfId="1819"/>
    <cellStyle name="Normal GHG Textfiels Bold 3 7 2" xfId="3049"/>
    <cellStyle name="Normal GHG Textfiels Bold 3 8" xfId="1518"/>
    <cellStyle name="Normal GHG Textfiels Bold 3 8 2" xfId="2748"/>
    <cellStyle name="Normal GHG Textfiels Bold 3 9" xfId="1235"/>
    <cellStyle name="Normal GHG Textfiels Bold 4" xfId="400"/>
    <cellStyle name="Normal GHG Textfiels Bold 4 2" xfId="500"/>
    <cellStyle name="Normal GHG Textfiels Bold 4 2 2" xfId="2198"/>
    <cellStyle name="Normal GHG Textfiels Bold 4 2 2 2" xfId="3433"/>
    <cellStyle name="Normal GHG Textfiels Bold 4 2 3" xfId="3097"/>
    <cellStyle name="Normal GHG Textfiels Bold 4 2 4" xfId="1867"/>
    <cellStyle name="Normal GHG Textfiels Bold 4 3" xfId="2113"/>
    <cellStyle name="Normal GHG Textfiels Bold 4 3 2" xfId="3343"/>
    <cellStyle name="Normal GHG Textfiels Bold 4 4" xfId="1546"/>
    <cellStyle name="Normal GHG Textfiels Bold 4 4 2" xfId="2776"/>
    <cellStyle name="Normal GHG Textfiels Bold 4 5" xfId="1240"/>
    <cellStyle name="Normal GHG Textfiels Bold 4 6" xfId="2471"/>
    <cellStyle name="Normal GHG Textfiels Bold 4 7" xfId="943"/>
    <cellStyle name="Normal GHG Textfiels Bold 5" xfId="479"/>
    <cellStyle name="Normal GHG Textfiels Bold 5 2" xfId="2184"/>
    <cellStyle name="Normal GHG Textfiels Bold 5 2 2" xfId="3415"/>
    <cellStyle name="Normal GHG Textfiels Bold 5 3" xfId="1626"/>
    <cellStyle name="Normal GHG Textfiels Bold 5 3 2" xfId="2855"/>
    <cellStyle name="Normal GHG Textfiels Bold 5 4" xfId="854"/>
    <cellStyle name="Normal GHG Textfiels Bold 5 5" xfId="2439"/>
    <cellStyle name="Normal GHG Textfiels Bold 5 6" xfId="853"/>
    <cellStyle name="Normal GHG Textfiels Bold 6" xfId="522"/>
    <cellStyle name="Normal GHG Textfiels Bold 6 2" xfId="2213"/>
    <cellStyle name="Normal GHG Textfiels Bold 6 2 2" xfId="3451"/>
    <cellStyle name="Normal GHG Textfiels Bold 6 3" xfId="1904"/>
    <cellStyle name="Normal GHG Textfiels Bold 6 3 2" xfId="3134"/>
    <cellStyle name="Normal GHG Textfiels Bold 6 4" xfId="1284"/>
    <cellStyle name="Normal GHG Textfiels Bold 6 5" xfId="2514"/>
    <cellStyle name="Normal GHG Textfiels Bold 6 6" xfId="984"/>
    <cellStyle name="Normal GHG Textfiels Bold 7" xfId="359"/>
    <cellStyle name="Normal GHG Textfiels Bold 7 2" xfId="1619"/>
    <cellStyle name="Normal GHG Textfiels Bold 7 2 2" xfId="2848"/>
    <cellStyle name="Normal GHG Textfiels Bold 7 3" xfId="1770"/>
    <cellStyle name="Normal GHG Textfiels Bold 7 4" xfId="3000"/>
    <cellStyle name="Normal GHG Textfiels Bold 7 5" xfId="794"/>
    <cellStyle name="Normal GHG Textfiels Bold 8" xfId="1566"/>
    <cellStyle name="Normal GHG Textfiels Bold 8 2" xfId="2796"/>
    <cellStyle name="Normal GHG Textfiels Bold 9" xfId="753"/>
    <cellStyle name="Normal GHG whole table" xfId="258"/>
    <cellStyle name="Normal GHG whole table 10" xfId="805"/>
    <cellStyle name="Normal GHG whole table 11" xfId="490"/>
    <cellStyle name="Normal GHG whole table 2" xfId="358"/>
    <cellStyle name="Normal GHG whole table 2 10" xfId="835"/>
    <cellStyle name="Normal GHG whole table 2 2" xfId="300"/>
    <cellStyle name="Normal GHG whole table 2 2 2" xfId="526"/>
    <cellStyle name="Normal GHG whole table 2 2 2 2" xfId="2217"/>
    <cellStyle name="Normal GHG whole table 2 2 2 2 2" xfId="3455"/>
    <cellStyle name="Normal GHG whole table 2 2 2 3" xfId="1906"/>
    <cellStyle name="Normal GHG whole table 2 2 2 4" xfId="3136"/>
    <cellStyle name="Normal GHG whole table 2 2 2 5" xfId="987"/>
    <cellStyle name="Normal GHG whole table 2 2 3" xfId="1823"/>
    <cellStyle name="Normal GHG whole table 2 2 3 2" xfId="3053"/>
    <cellStyle name="Normal GHG whole table 2 2 4" xfId="1730"/>
    <cellStyle name="Normal GHG whole table 2 2 4 2" xfId="2960"/>
    <cellStyle name="Normal GHG whole table 2 2 5" xfId="1647"/>
    <cellStyle name="Normal GHG whole table 2 2 5 2" xfId="2876"/>
    <cellStyle name="Normal GHG whole table 2 2 6" xfId="1288"/>
    <cellStyle name="Normal GHG whole table 2 2 7" xfId="2518"/>
    <cellStyle name="Normal GHG whole table 2 2 8" xfId="890"/>
    <cellStyle name="Normal GHG whole table 2 3" xfId="561"/>
    <cellStyle name="Normal GHG whole table 2 3 2" xfId="2249"/>
    <cellStyle name="Normal GHG whole table 2 3 2 2" xfId="3488"/>
    <cellStyle name="Normal GHG whole table 2 3 3" xfId="1708"/>
    <cellStyle name="Normal GHG whole table 2 3 3 2" xfId="2938"/>
    <cellStyle name="Normal GHG whole table 2 3 4" xfId="1336"/>
    <cellStyle name="Normal GHG whole table 2 3 5" xfId="2566"/>
    <cellStyle name="Normal GHG whole table 2 3 6" xfId="1036"/>
    <cellStyle name="Normal GHG whole table 2 4" xfId="625"/>
    <cellStyle name="Normal GHG whole table 2 4 2" xfId="2313"/>
    <cellStyle name="Normal GHG whole table 2 4 2 2" xfId="3552"/>
    <cellStyle name="Normal GHG whole table 2 4 3" xfId="2005"/>
    <cellStyle name="Normal GHG whole table 2 4 3 2" xfId="3235"/>
    <cellStyle name="Normal GHG whole table 2 4 4" xfId="1400"/>
    <cellStyle name="Normal GHG whole table 2 4 5" xfId="2630"/>
    <cellStyle name="Normal GHG whole table 2 4 6" xfId="1100"/>
    <cellStyle name="Normal GHG whole table 2 5" xfId="687"/>
    <cellStyle name="Normal GHG whole table 2 5 2" xfId="2375"/>
    <cellStyle name="Normal GHG whole table 2 5 2 2" xfId="3614"/>
    <cellStyle name="Normal GHG whole table 2 5 3" xfId="2062"/>
    <cellStyle name="Normal GHG whole table 2 5 3 2" xfId="3292"/>
    <cellStyle name="Normal GHG whole table 2 5 4" xfId="1462"/>
    <cellStyle name="Normal GHG whole table 2 5 5" xfId="2692"/>
    <cellStyle name="Normal GHG whole table 2 5 6" xfId="1162"/>
    <cellStyle name="Normal GHG whole table 2 6" xfId="967"/>
    <cellStyle name="Normal GHG whole table 2 6 2" xfId="1887"/>
    <cellStyle name="Normal GHG whole table 2 6 3" xfId="3117"/>
    <cellStyle name="Normal GHG whole table 2 7" xfId="1560"/>
    <cellStyle name="Normal GHG whole table 2 7 2" xfId="2790"/>
    <cellStyle name="Normal GHG whole table 2 8" xfId="1265"/>
    <cellStyle name="Normal GHG whole table 2 9" xfId="2495"/>
    <cellStyle name="Normal GHG whole table 3" xfId="347"/>
    <cellStyle name="Normal GHG whole table 3 10" xfId="2460"/>
    <cellStyle name="Normal GHG whole table 3 11" xfId="789"/>
    <cellStyle name="Normal GHG whole table 3 2" xfId="429"/>
    <cellStyle name="Normal GHG whole table 3 2 2" xfId="1018"/>
    <cellStyle name="Normal GHG whole table 3 2 2 2" xfId="1937"/>
    <cellStyle name="Normal GHG whole table 3 2 2 3" xfId="3167"/>
    <cellStyle name="Normal GHG whole table 3 2 3" xfId="2137"/>
    <cellStyle name="Normal GHG whole table 3 2 3 2" xfId="3367"/>
    <cellStyle name="Normal GHG whole table 3 2 4" xfId="1691"/>
    <cellStyle name="Normal GHG whole table 3 2 4 2" xfId="2920"/>
    <cellStyle name="Normal GHG whole table 3 2 5" xfId="1319"/>
    <cellStyle name="Normal GHG whole table 3 2 6" xfId="2549"/>
    <cellStyle name="Normal GHG whole table 3 2 7" xfId="872"/>
    <cellStyle name="Normal GHG whole table 3 3" xfId="448"/>
    <cellStyle name="Normal GHG whole table 3 3 2" xfId="592"/>
    <cellStyle name="Normal GHG whole table 3 3 2 2" xfId="2280"/>
    <cellStyle name="Normal GHG whole table 3 3 2 2 2" xfId="3519"/>
    <cellStyle name="Normal GHG whole table 3 3 2 3" xfId="3205"/>
    <cellStyle name="Normal GHG whole table 3 3 2 4" xfId="1975"/>
    <cellStyle name="Normal GHG whole table 3 3 3" xfId="2155"/>
    <cellStyle name="Normal GHG whole table 3 3 3 2" xfId="3385"/>
    <cellStyle name="Normal GHG whole table 3 3 4" xfId="1749"/>
    <cellStyle name="Normal GHG whole table 3 3 4 2" xfId="2979"/>
    <cellStyle name="Normal GHG whole table 3 3 5" xfId="1367"/>
    <cellStyle name="Normal GHG whole table 3 3 6" xfId="2597"/>
    <cellStyle name="Normal GHG whole table 3 3 7" xfId="1067"/>
    <cellStyle name="Normal GHG whole table 3 4" xfId="656"/>
    <cellStyle name="Normal GHG whole table 3 4 2" xfId="2344"/>
    <cellStyle name="Normal GHG whole table 3 4 2 2" xfId="3583"/>
    <cellStyle name="Normal GHG whole table 3 4 3" xfId="2036"/>
    <cellStyle name="Normal GHG whole table 3 4 3 2" xfId="3266"/>
    <cellStyle name="Normal GHG whole table 3 4 4" xfId="1431"/>
    <cellStyle name="Normal GHG whole table 3 4 5" xfId="2661"/>
    <cellStyle name="Normal GHG whole table 3 4 6" xfId="1131"/>
    <cellStyle name="Normal GHG whole table 3 5" xfId="718"/>
    <cellStyle name="Normal GHG whole table 3 5 2" xfId="2406"/>
    <cellStyle name="Normal GHG whole table 3 5 2 2" xfId="3645"/>
    <cellStyle name="Normal GHG whole table 3 5 3" xfId="2093"/>
    <cellStyle name="Normal GHG whole table 3 5 3 2" xfId="3323"/>
    <cellStyle name="Normal GHG whole table 3 5 4" xfId="1493"/>
    <cellStyle name="Normal GHG whole table 3 5 5" xfId="2723"/>
    <cellStyle name="Normal GHG whole table 3 5 6" xfId="1193"/>
    <cellStyle name="Normal GHG whole table 3 6" xfId="935"/>
    <cellStyle name="Normal GHG whole table 3 6 2" xfId="1859"/>
    <cellStyle name="Normal GHG whole table 3 6 3" xfId="3089"/>
    <cellStyle name="Normal GHG whole table 3 7" xfId="1564"/>
    <cellStyle name="Normal GHG whole table 3 7 2" xfId="2794"/>
    <cellStyle name="Normal GHG whole table 3 8" xfId="1519"/>
    <cellStyle name="Normal GHG whole table 3 8 2" xfId="2749"/>
    <cellStyle name="Normal GHG whole table 3 9" xfId="1229"/>
    <cellStyle name="Normal GHG whole table 4" xfId="339"/>
    <cellStyle name="Normal GHG whole table 4 2" xfId="475"/>
    <cellStyle name="Normal GHG whole table 4 2 2" xfId="2180"/>
    <cellStyle name="Normal GHG whole table 4 2 2 2" xfId="3411"/>
    <cellStyle name="Normal GHG whole table 4 2 3" xfId="2860"/>
    <cellStyle name="Normal GHG whole table 4 2 4" xfId="1631"/>
    <cellStyle name="Normal GHG whole table 4 3" xfId="1774"/>
    <cellStyle name="Normal GHG whole table 4 3 2" xfId="3004"/>
    <cellStyle name="Normal GHG whole table 4 4" xfId="1618"/>
    <cellStyle name="Normal GHG whole table 4 4 2" xfId="2847"/>
    <cellStyle name="Normal GHG whole table 4 5" xfId="795"/>
    <cellStyle name="Normal GHG whole table 4 6" xfId="2433"/>
    <cellStyle name="Normal GHG whole table 4 7" xfId="767"/>
    <cellStyle name="Normal GHG whole table 5" xfId="488"/>
    <cellStyle name="Normal GHG whole table 5 2" xfId="2191"/>
    <cellStyle name="Normal GHG whole table 5 2 2" xfId="3423"/>
    <cellStyle name="Normal GHG whole table 5 3" xfId="1579"/>
    <cellStyle name="Normal GHG whole table 5 3 2" xfId="2809"/>
    <cellStyle name="Normal GHG whole table 5 4" xfId="1222"/>
    <cellStyle name="Normal GHG whole table 5 5" xfId="2453"/>
    <cellStyle name="Normal GHG whole table 5 6" xfId="779"/>
    <cellStyle name="Normal GHG whole table 6" xfId="502"/>
    <cellStyle name="Normal GHG whole table 6 2" xfId="2200"/>
    <cellStyle name="Normal GHG whole table 6 2 2" xfId="3435"/>
    <cellStyle name="Normal GHG whole table 6 3" xfId="1869"/>
    <cellStyle name="Normal GHG whole table 6 3 2" xfId="3099"/>
    <cellStyle name="Normal GHG whole table 6 4" xfId="1242"/>
    <cellStyle name="Normal GHG whole table 6 5" xfId="2473"/>
    <cellStyle name="Normal GHG whole table 6 6" xfId="945"/>
    <cellStyle name="Normal GHG whole table 7" xfId="466"/>
    <cellStyle name="Normal GHG whole table 7 2" xfId="2173"/>
    <cellStyle name="Normal GHG whole table 7 2 2" xfId="3403"/>
    <cellStyle name="Normal GHG whole table 7 3" xfId="1810"/>
    <cellStyle name="Normal GHG whole table 7 4" xfId="3040"/>
    <cellStyle name="Normal GHG whole table 7 5" xfId="860"/>
    <cellStyle name="Normal GHG whole table 8" xfId="1598"/>
    <cellStyle name="Normal GHG whole table 8 2" xfId="2828"/>
    <cellStyle name="Normal GHG whole table 9" xfId="796"/>
    <cellStyle name="Normal GHG-Shade" xfId="259"/>
    <cellStyle name="Normál_Munka1" xfId="260"/>
    <cellStyle name="Normal_Sheet1" xfId="5"/>
    <cellStyle name="Note" xfId="195" builtinId="10" customBuiltin="1"/>
    <cellStyle name="Note 2" xfId="38"/>
    <cellStyle name="Output" xfId="190" builtinId="21" customBuiltin="1"/>
    <cellStyle name="Pattern" xfId="261"/>
    <cellStyle name="Pattern 10" xfId="1244"/>
    <cellStyle name="Pattern 11" xfId="510"/>
    <cellStyle name="Pattern 2" xfId="360"/>
    <cellStyle name="Pattern 2 10" xfId="842"/>
    <cellStyle name="Pattern 2 2" xfId="433"/>
    <cellStyle name="Pattern 2 2 2" xfId="533"/>
    <cellStyle name="Pattern 2 2 2 2" xfId="2223"/>
    <cellStyle name="Pattern 2 2 2 2 2" xfId="3461"/>
    <cellStyle name="Pattern 2 2 2 3" xfId="1913"/>
    <cellStyle name="Pattern 2 2 2 4" xfId="3143"/>
    <cellStyle name="Pattern 2 2 2 5" xfId="994"/>
    <cellStyle name="Pattern 2 2 3" xfId="1830"/>
    <cellStyle name="Pattern 2 2 3 2" xfId="3060"/>
    <cellStyle name="Pattern 2 2 4" xfId="2141"/>
    <cellStyle name="Pattern 2 2 4 2" xfId="3371"/>
    <cellStyle name="Pattern 2 2 5" xfId="1654"/>
    <cellStyle name="Pattern 2 2 5 2" xfId="2883"/>
    <cellStyle name="Pattern 2 2 6" xfId="1295"/>
    <cellStyle name="Pattern 2 2 7" xfId="2525"/>
    <cellStyle name="Pattern 2 2 8" xfId="897"/>
    <cellStyle name="Pattern 2 3" xfId="568"/>
    <cellStyle name="Pattern 2 3 2" xfId="2256"/>
    <cellStyle name="Pattern 2 3 2 2" xfId="3495"/>
    <cellStyle name="Pattern 2 3 3" xfId="1715"/>
    <cellStyle name="Pattern 2 3 3 2" xfId="2945"/>
    <cellStyle name="Pattern 2 3 4" xfId="1343"/>
    <cellStyle name="Pattern 2 3 5" xfId="2573"/>
    <cellStyle name="Pattern 2 3 6" xfId="1043"/>
    <cellStyle name="Pattern 2 4" xfId="632"/>
    <cellStyle name="Pattern 2 4 2" xfId="2320"/>
    <cellStyle name="Pattern 2 4 2 2" xfId="3559"/>
    <cellStyle name="Pattern 2 4 3" xfId="2012"/>
    <cellStyle name="Pattern 2 4 3 2" xfId="3242"/>
    <cellStyle name="Pattern 2 4 4" xfId="1407"/>
    <cellStyle name="Pattern 2 4 5" xfId="2637"/>
    <cellStyle name="Pattern 2 4 6" xfId="1107"/>
    <cellStyle name="Pattern 2 5" xfId="694"/>
    <cellStyle name="Pattern 2 5 2" xfId="2382"/>
    <cellStyle name="Pattern 2 5 2 2" xfId="3621"/>
    <cellStyle name="Pattern 2 5 3" xfId="2069"/>
    <cellStyle name="Pattern 2 5 3 2" xfId="3299"/>
    <cellStyle name="Pattern 2 5 4" xfId="1469"/>
    <cellStyle name="Pattern 2 5 5" xfId="2699"/>
    <cellStyle name="Pattern 2 5 6" xfId="1169"/>
    <cellStyle name="Pattern 2 6" xfId="974"/>
    <cellStyle name="Pattern 2 6 2" xfId="1894"/>
    <cellStyle name="Pattern 2 6 3" xfId="3124"/>
    <cellStyle name="Pattern 2 7" xfId="1587"/>
    <cellStyle name="Pattern 2 7 2" xfId="2817"/>
    <cellStyle name="Pattern 2 8" xfId="1272"/>
    <cellStyle name="Pattern 2 9" xfId="2502"/>
    <cellStyle name="Pattern 3" xfId="381"/>
    <cellStyle name="Pattern 3 10" xfId="2454"/>
    <cellStyle name="Pattern 3 11" xfId="784"/>
    <cellStyle name="Pattern 3 2" xfId="427"/>
    <cellStyle name="Pattern 3 2 2" xfId="1013"/>
    <cellStyle name="Pattern 3 2 2 2" xfId="1932"/>
    <cellStyle name="Pattern 3 2 2 3" xfId="3162"/>
    <cellStyle name="Pattern 3 2 3" xfId="2135"/>
    <cellStyle name="Pattern 3 2 3 2" xfId="3365"/>
    <cellStyle name="Pattern 3 2 4" xfId="1687"/>
    <cellStyle name="Pattern 3 2 4 2" xfId="2916"/>
    <cellStyle name="Pattern 3 2 5" xfId="1314"/>
    <cellStyle name="Pattern 3 2 6" xfId="2544"/>
    <cellStyle name="Pattern 3 2 7" xfId="868"/>
    <cellStyle name="Pattern 3 3" xfId="355"/>
    <cellStyle name="Pattern 3 3 2" xfId="587"/>
    <cellStyle name="Pattern 3 3 2 2" xfId="2275"/>
    <cellStyle name="Pattern 3 3 2 2 2" xfId="3514"/>
    <cellStyle name="Pattern 3 3 2 3" xfId="3200"/>
    <cellStyle name="Pattern 3 3 2 4" xfId="1970"/>
    <cellStyle name="Pattern 3 3 3" xfId="1549"/>
    <cellStyle name="Pattern 3 3 3 2" xfId="2779"/>
    <cellStyle name="Pattern 3 3 4" xfId="1744"/>
    <cellStyle name="Pattern 3 3 4 2" xfId="2974"/>
    <cellStyle name="Pattern 3 3 5" xfId="1362"/>
    <cellStyle name="Pattern 3 3 6" xfId="2592"/>
    <cellStyle name="Pattern 3 3 7" xfId="1062"/>
    <cellStyle name="Pattern 3 4" xfId="651"/>
    <cellStyle name="Pattern 3 4 2" xfId="2339"/>
    <cellStyle name="Pattern 3 4 2 2" xfId="3578"/>
    <cellStyle name="Pattern 3 4 3" xfId="2031"/>
    <cellStyle name="Pattern 3 4 3 2" xfId="3261"/>
    <cellStyle name="Pattern 3 4 4" xfId="1426"/>
    <cellStyle name="Pattern 3 4 5" xfId="2656"/>
    <cellStyle name="Pattern 3 4 6" xfId="1126"/>
    <cellStyle name="Pattern 3 5" xfId="713"/>
    <cellStyle name="Pattern 3 5 2" xfId="2401"/>
    <cellStyle name="Pattern 3 5 2 2" xfId="3640"/>
    <cellStyle name="Pattern 3 5 3" xfId="2088"/>
    <cellStyle name="Pattern 3 5 3 2" xfId="3318"/>
    <cellStyle name="Pattern 3 5 4" xfId="1488"/>
    <cellStyle name="Pattern 3 5 5" xfId="2718"/>
    <cellStyle name="Pattern 3 5 6" xfId="1188"/>
    <cellStyle name="Pattern 3 6" xfId="870"/>
    <cellStyle name="Pattern 3 6 2" xfId="1814"/>
    <cellStyle name="Pattern 3 6 3" xfId="3044"/>
    <cellStyle name="Pattern 3 7" xfId="1544"/>
    <cellStyle name="Pattern 3 7 2" xfId="2774"/>
    <cellStyle name="Pattern 3 8" xfId="1520"/>
    <cellStyle name="Pattern 3 8 2" xfId="2750"/>
    <cellStyle name="Pattern 3 9" xfId="1223"/>
    <cellStyle name="Pattern 4" xfId="406"/>
    <cellStyle name="Pattern 4 2" xfId="501"/>
    <cellStyle name="Pattern 4 2 2" xfId="2199"/>
    <cellStyle name="Pattern 4 2 2 2" xfId="3434"/>
    <cellStyle name="Pattern 4 2 3" xfId="3098"/>
    <cellStyle name="Pattern 4 2 4" xfId="1868"/>
    <cellStyle name="Pattern 4 3" xfId="2117"/>
    <cellStyle name="Pattern 4 3 2" xfId="3347"/>
    <cellStyle name="Pattern 4 4" xfId="1536"/>
    <cellStyle name="Pattern 4 4 2" xfId="2766"/>
    <cellStyle name="Pattern 4 5" xfId="1241"/>
    <cellStyle name="Pattern 4 6" xfId="2472"/>
    <cellStyle name="Pattern 4 7" xfId="944"/>
    <cellStyle name="Pattern 5" xfId="610"/>
    <cellStyle name="Pattern 5 2" xfId="2298"/>
    <cellStyle name="Pattern 5 2 2" xfId="3537"/>
    <cellStyle name="Pattern 5 3" xfId="1534"/>
    <cellStyle name="Pattern 5 3 2" xfId="2764"/>
    <cellStyle name="Pattern 5 4" xfId="1385"/>
    <cellStyle name="Pattern 5 5" xfId="2615"/>
    <cellStyle name="Pattern 5 6" xfId="1085"/>
    <cellStyle name="Pattern 6" xfId="478"/>
    <cellStyle name="Pattern 6 2" xfId="2183"/>
    <cellStyle name="Pattern 6 2 2" xfId="3414"/>
    <cellStyle name="Pattern 6 3" xfId="1773"/>
    <cellStyle name="Pattern 6 3 2" xfId="3003"/>
    <cellStyle name="Pattern 6 4" xfId="768"/>
    <cellStyle name="Pattern 6 5" xfId="2437"/>
    <cellStyle name="Pattern 6 6" xfId="799"/>
    <cellStyle name="Pattern 7" xfId="517"/>
    <cellStyle name="Pattern 7 2" xfId="2210"/>
    <cellStyle name="Pattern 7 2 2" xfId="3447"/>
    <cellStyle name="Pattern 7 3" xfId="1787"/>
    <cellStyle name="Pattern 7 4" xfId="3017"/>
    <cellStyle name="Pattern 7 5" xfId="815"/>
    <cellStyle name="Pattern 8" xfId="1794"/>
    <cellStyle name="Pattern 8 2" xfId="3024"/>
    <cellStyle name="Pattern 9" xfId="928"/>
    <cellStyle name="Percent" xfId="52" builtinId="5"/>
    <cellStyle name="Percent 2" xfId="39"/>
    <cellStyle name="Percent 2 2" xfId="40"/>
    <cellStyle name="Percent 3" xfId="41"/>
    <cellStyle name="Percent 4" xfId="42"/>
    <cellStyle name="Percent 5" xfId="164"/>
    <cellStyle name="Percent 5 2" xfId="170"/>
    <cellStyle name="Percent 6" xfId="172"/>
    <cellStyle name="Procent 2" xfId="43"/>
    <cellStyle name="Standaard 10" xfId="100"/>
    <cellStyle name="Standaard 11" xfId="101"/>
    <cellStyle name="Standaard 12" xfId="102"/>
    <cellStyle name="Standaard 12 2" xfId="103"/>
    <cellStyle name="Standaard 13" xfId="104"/>
    <cellStyle name="Standaard 13 2" xfId="105"/>
    <cellStyle name="Standaard 14" xfId="106"/>
    <cellStyle name="Standaard 14 2" xfId="107"/>
    <cellStyle name="Standaard 15" xfId="108"/>
    <cellStyle name="Standaard 15 2" xfId="109"/>
    <cellStyle name="Standaard 16" xfId="110"/>
    <cellStyle name="Standaard 16 2" xfId="111"/>
    <cellStyle name="Standaard 17" xfId="112"/>
    <cellStyle name="Standaard 17 2" xfId="113"/>
    <cellStyle name="Standaard 18" xfId="114"/>
    <cellStyle name="Standaard 18 2" xfId="115"/>
    <cellStyle name="Standaard 19" xfId="116"/>
    <cellStyle name="Standaard 19 2" xfId="117"/>
    <cellStyle name="Standaard 2" xfId="118"/>
    <cellStyle name="Standaard 2 2" xfId="119"/>
    <cellStyle name="Standaard 2 2 2" xfId="264"/>
    <cellStyle name="Standaard 2 2 3" xfId="263"/>
    <cellStyle name="Standaard 2 3" xfId="120"/>
    <cellStyle name="Standaard 2 4" xfId="121"/>
    <cellStyle name="Standaard 2 5" xfId="262"/>
    <cellStyle name="Standaard 20" xfId="122"/>
    <cellStyle name="Standaard 20 2" xfId="123"/>
    <cellStyle name="Standaard 21" xfId="124"/>
    <cellStyle name="Standaard 21 2" xfId="125"/>
    <cellStyle name="Standaard 22" xfId="126"/>
    <cellStyle name="Standaard 22 2" xfId="127"/>
    <cellStyle name="Standaard 23" xfId="128"/>
    <cellStyle name="Standaard 23 2" xfId="129"/>
    <cellStyle name="Standaard 24" xfId="130"/>
    <cellStyle name="Standaard 24 2" xfId="131"/>
    <cellStyle name="Standaard 24 2 2" xfId="132"/>
    <cellStyle name="Standaard 24 3" xfId="133"/>
    <cellStyle name="Standaard 25" xfId="134"/>
    <cellStyle name="Standaard 25 2" xfId="135"/>
    <cellStyle name="Standaard 26" xfId="136"/>
    <cellStyle name="Standaard 26 2" xfId="137"/>
    <cellStyle name="Standaard 3" xfId="138"/>
    <cellStyle name="Standaard 3 2" xfId="266"/>
    <cellStyle name="Standaard 3 3" xfId="267"/>
    <cellStyle name="Standaard 3 4" xfId="265"/>
    <cellStyle name="Standaard 4" xfId="139"/>
    <cellStyle name="Standaard 4 2" xfId="140"/>
    <cellStyle name="Standaard 4 3" xfId="268"/>
    <cellStyle name="Standaard 5" xfId="141"/>
    <cellStyle name="Standaard 6" xfId="142"/>
    <cellStyle name="Standaard 7" xfId="143"/>
    <cellStyle name="Standaard 7 2" xfId="144"/>
    <cellStyle name="Standaard 8" xfId="145"/>
    <cellStyle name="Standaard 8 2" xfId="146"/>
    <cellStyle name="Standaard 9" xfId="147"/>
    <cellStyle name="Standard 2" xfId="269"/>
    <cellStyle name="Standard 3" xfId="270"/>
    <cellStyle name="Standard 3 2" xfId="271"/>
    <cellStyle name="Standard_Aggregate CO2 balance" xfId="44"/>
    <cellStyle name="Tabeltitel" xfId="45"/>
    <cellStyle name="Tabeltitel 2" xfId="286"/>
    <cellStyle name="Tabeltitel 2 2" xfId="378"/>
    <cellStyle name="Tabeltitel 2 2 2" xfId="425"/>
    <cellStyle name="Tabeltitel 2 2 2 2" xfId="465"/>
    <cellStyle name="Tabeltitel 2 2 2 2 2" xfId="609"/>
    <cellStyle name="Tabeltitel 2 2 2 2 2 2" xfId="2297"/>
    <cellStyle name="Tabeltitel 2 2 2 2 2 2 2" xfId="3536"/>
    <cellStyle name="Tabeltitel 2 2 2 2 2 3" xfId="1992"/>
    <cellStyle name="Tabeltitel 2 2 2 2 2 4" xfId="3222"/>
    <cellStyle name="Tabeltitel 2 2 2 2 2 5" xfId="1084"/>
    <cellStyle name="Tabeltitel 2 2 2 2 3" xfId="2172"/>
    <cellStyle name="Tabeltitel 2 2 2 2 3 2" xfId="3402"/>
    <cellStyle name="Tabeltitel 2 2 2 2 4" xfId="1857"/>
    <cellStyle name="Tabeltitel 2 2 2 2 4 2" xfId="3087"/>
    <cellStyle name="Tabeltitel 2 2 2 2 5" xfId="1384"/>
    <cellStyle name="Tabeltitel 2 2 2 2 6" xfId="2614"/>
    <cellStyle name="Tabeltitel 2 2 2 2 7" xfId="931"/>
    <cellStyle name="Tabeltitel 2 2 2 3" xfId="673"/>
    <cellStyle name="Tabeltitel 2 2 2 3 2" xfId="2361"/>
    <cellStyle name="Tabeltitel 2 2 2 3 2 2" xfId="3600"/>
    <cellStyle name="Tabeltitel 2 2 2 3 3" xfId="2053"/>
    <cellStyle name="Tabeltitel 2 2 2 3 3 2" xfId="3283"/>
    <cellStyle name="Tabeltitel 2 2 2 3 4" xfId="1448"/>
    <cellStyle name="Tabeltitel 2 2 2 3 5" xfId="2678"/>
    <cellStyle name="Tabeltitel 2 2 2 3 6" xfId="1148"/>
    <cellStyle name="Tabeltitel 2 2 2 4" xfId="1839"/>
    <cellStyle name="Tabeltitel 2 2 2 4 2" xfId="3069"/>
    <cellStyle name="Tabeltitel 2 2 2 5" xfId="2133"/>
    <cellStyle name="Tabeltitel 2 2 2 5 2" xfId="3363"/>
    <cellStyle name="Tabeltitel 2 2 2 6" xfId="1663"/>
    <cellStyle name="Tabeltitel 2 2 2 6 2" xfId="2892"/>
    <cellStyle name="Tabeltitel 2 2 2 7" xfId="906"/>
    <cellStyle name="Tabeltitel 2 2 3" xfId="539"/>
    <cellStyle name="Tabeltitel 2 2 3 2" xfId="1003"/>
    <cellStyle name="Tabeltitel 2 2 3 2 2" xfId="1922"/>
    <cellStyle name="Tabeltitel 2 2 3 2 3" xfId="3152"/>
    <cellStyle name="Tabeltitel 2 2 3 3" xfId="2228"/>
    <cellStyle name="Tabeltitel 2 2 3 3 2" xfId="3467"/>
    <cellStyle name="Tabeltitel 2 2 3 4" xfId="1842"/>
    <cellStyle name="Tabeltitel 2 2 3 4 2" xfId="3072"/>
    <cellStyle name="Tabeltitel 2 2 3 5" xfId="1304"/>
    <cellStyle name="Tabeltitel 2 2 3 6" xfId="2534"/>
    <cellStyle name="Tabeltitel 2 2 3 7" xfId="910"/>
    <cellStyle name="Tabeltitel 2 2 4" xfId="577"/>
    <cellStyle name="Tabeltitel 2 2 4 2" xfId="2265"/>
    <cellStyle name="Tabeltitel 2 2 4 2 2" xfId="3504"/>
    <cellStyle name="Tabeltitel 2 2 4 3" xfId="1960"/>
    <cellStyle name="Tabeltitel 2 2 4 3 2" xfId="3190"/>
    <cellStyle name="Tabeltitel 2 2 4 4" xfId="1352"/>
    <cellStyle name="Tabeltitel 2 2 4 5" xfId="2582"/>
    <cellStyle name="Tabeltitel 2 2 4 6" xfId="1052"/>
    <cellStyle name="Tabeltitel 2 2 5" xfId="641"/>
    <cellStyle name="Tabeltitel 2 2 5 2" xfId="2329"/>
    <cellStyle name="Tabeltitel 2 2 5 2 2" xfId="3568"/>
    <cellStyle name="Tabeltitel 2 2 5 3" xfId="2021"/>
    <cellStyle name="Tabeltitel 2 2 5 3 2" xfId="3251"/>
    <cellStyle name="Tabeltitel 2 2 5 4" xfId="1416"/>
    <cellStyle name="Tabeltitel 2 2 5 5" xfId="2646"/>
    <cellStyle name="Tabeltitel 2 2 5 6" xfId="1116"/>
    <cellStyle name="Tabeltitel 2 2 6" xfId="703"/>
    <cellStyle name="Tabeltitel 2 2 6 2" xfId="2391"/>
    <cellStyle name="Tabeltitel 2 2 6 2 2" xfId="3630"/>
    <cellStyle name="Tabeltitel 2 2 6 3" xfId="2078"/>
    <cellStyle name="Tabeltitel 2 2 6 3 2" xfId="3308"/>
    <cellStyle name="Tabeltitel 2 2 6 4" xfId="1478"/>
    <cellStyle name="Tabeltitel 2 2 6 5" xfId="2708"/>
    <cellStyle name="Tabeltitel 2 2 6 6" xfId="1178"/>
    <cellStyle name="Tabeltitel 2 2 7" xfId="1665"/>
    <cellStyle name="Tabeltitel 2 2 7 2" xfId="2894"/>
    <cellStyle name="Tabeltitel 2 2 8" xfId="1622"/>
    <cellStyle name="Tabeltitel 2 2 8 2" xfId="2851"/>
    <cellStyle name="Tabeltitel 2 2 9" xfId="851"/>
    <cellStyle name="Tabeltitel 2 3" xfId="401"/>
    <cellStyle name="Tabeltitel 2 3 2" xfId="623"/>
    <cellStyle name="Tabeltitel 2 3 2 2" xfId="2311"/>
    <cellStyle name="Tabeltitel 2 3 2 2 2" xfId="3550"/>
    <cellStyle name="Tabeltitel 2 3 2 3" xfId="2003"/>
    <cellStyle name="Tabeltitel 2 3 2 4" xfId="3233"/>
    <cellStyle name="Tabeltitel 2 3 2 5" xfId="1098"/>
    <cellStyle name="Tabeltitel 2 3 3" xfId="1811"/>
    <cellStyle name="Tabeltitel 2 3 3 2" xfId="3041"/>
    <cellStyle name="Tabeltitel 2 3 4" xfId="2114"/>
    <cellStyle name="Tabeltitel 2 3 4 2" xfId="3344"/>
    <cellStyle name="Tabeltitel 2 3 5" xfId="1630"/>
    <cellStyle name="Tabeltitel 2 3 5 2" xfId="2859"/>
    <cellStyle name="Tabeltitel 2 3 6" xfId="1398"/>
    <cellStyle name="Tabeltitel 2 3 7" xfId="2628"/>
    <cellStyle name="Tabeltitel 2 3 8" xfId="863"/>
    <cellStyle name="Tabeltitel 2 4" xfId="303"/>
    <cellStyle name="Tabeltitel 2 4 2" xfId="1595"/>
    <cellStyle name="Tabeltitel 2 4 2 2" xfId="2825"/>
    <cellStyle name="Tabeltitel 2 4 3" xfId="1683"/>
    <cellStyle name="Tabeltitel 2 4 3 2" xfId="2912"/>
    <cellStyle name="Tabeltitel 2 4 4" xfId="1644"/>
    <cellStyle name="Tabeltitel 2 4 5" xfId="2873"/>
    <cellStyle name="Tabeltitel 2 4 6" xfId="772"/>
    <cellStyle name="Tabeltitel 2 5" xfId="1573"/>
    <cellStyle name="Tabeltitel 2 5 2" xfId="2803"/>
    <cellStyle name="Tabeltitel 2 6" xfId="1533"/>
    <cellStyle name="Tabeltitel 2 6 2" xfId="2763"/>
    <cellStyle name="Tabeltitel 2 7" xfId="746"/>
    <cellStyle name="Tabeltitel 3" xfId="226"/>
    <cellStyle name="Tabeltitel 3 10" xfId="793"/>
    <cellStyle name="Tabeltitel 3 2" xfId="324"/>
    <cellStyle name="Tabeltitel 3 2 2" xfId="450"/>
    <cellStyle name="Tabeltitel 3 2 2 2" xfId="594"/>
    <cellStyle name="Tabeltitel 3 2 2 2 2" xfId="2282"/>
    <cellStyle name="Tabeltitel 3 2 2 2 2 2" xfId="3521"/>
    <cellStyle name="Tabeltitel 3 2 2 2 3" xfId="1977"/>
    <cellStyle name="Tabeltitel 3 2 2 2 4" xfId="3207"/>
    <cellStyle name="Tabeltitel 3 2 2 2 5" xfId="1069"/>
    <cellStyle name="Tabeltitel 3 2 2 3" xfId="2157"/>
    <cellStyle name="Tabeltitel 3 2 2 3 2" xfId="3387"/>
    <cellStyle name="Tabeltitel 3 2 2 4" xfId="1852"/>
    <cellStyle name="Tabeltitel 3 2 2 4 2" xfId="3082"/>
    <cellStyle name="Tabeltitel 3 2 2 5" xfId="1369"/>
    <cellStyle name="Tabeltitel 3 2 2 6" xfId="2599"/>
    <cellStyle name="Tabeltitel 3 2 2 7" xfId="923"/>
    <cellStyle name="Tabeltitel 3 2 3" xfId="658"/>
    <cellStyle name="Tabeltitel 3 2 3 2" xfId="2346"/>
    <cellStyle name="Tabeltitel 3 2 3 2 2" xfId="3585"/>
    <cellStyle name="Tabeltitel 3 2 3 3" xfId="2038"/>
    <cellStyle name="Tabeltitel 3 2 3 3 2" xfId="3268"/>
    <cellStyle name="Tabeltitel 3 2 3 4" xfId="1433"/>
    <cellStyle name="Tabeltitel 3 2 3 5" xfId="2663"/>
    <cellStyle name="Tabeltitel 3 2 3 6" xfId="1133"/>
    <cellStyle name="Tabeltitel 3 2 4" xfId="1816"/>
    <cellStyle name="Tabeltitel 3 2 4 2" xfId="3046"/>
    <cellStyle name="Tabeltitel 3 2 5" xfId="1791"/>
    <cellStyle name="Tabeltitel 3 2 5 2" xfId="3021"/>
    <cellStyle name="Tabeltitel 3 2 6" xfId="1599"/>
    <cellStyle name="Tabeltitel 3 2 6 2" xfId="2829"/>
    <cellStyle name="Tabeltitel 3 2 7" xfId="873"/>
    <cellStyle name="Tabeltitel 3 3" xfId="430"/>
    <cellStyle name="Tabeltitel 3 3 2" xfId="504"/>
    <cellStyle name="Tabeltitel 3 3 2 2" xfId="2202"/>
    <cellStyle name="Tabeltitel 3 3 2 2 2" xfId="3437"/>
    <cellStyle name="Tabeltitel 3 3 2 3" xfId="1871"/>
    <cellStyle name="Tabeltitel 3 3 2 4" xfId="3101"/>
    <cellStyle name="Tabeltitel 3 3 2 5" xfId="948"/>
    <cellStyle name="Tabeltitel 3 3 3" xfId="2138"/>
    <cellStyle name="Tabeltitel 3 3 3 2" xfId="3368"/>
    <cellStyle name="Tabeltitel 3 3 4" xfId="1777"/>
    <cellStyle name="Tabeltitel 3 3 4 2" xfId="3007"/>
    <cellStyle name="Tabeltitel 3 3 5" xfId="1245"/>
    <cellStyle name="Tabeltitel 3 3 6" xfId="2475"/>
    <cellStyle name="Tabeltitel 3 3 7" xfId="804"/>
    <cellStyle name="Tabeltitel 3 4" xfId="493"/>
    <cellStyle name="Tabeltitel 3 4 2" xfId="2193"/>
    <cellStyle name="Tabeltitel 3 4 2 2" xfId="3427"/>
    <cellStyle name="Tabeltitel 3 4 3" xfId="1860"/>
    <cellStyle name="Tabeltitel 3 4 3 2" xfId="3090"/>
    <cellStyle name="Tabeltitel 3 4 4" xfId="1231"/>
    <cellStyle name="Tabeltitel 3 4 5" xfId="2462"/>
    <cellStyle name="Tabeltitel 3 4 6" xfId="936"/>
    <cellStyle name="Tabeltitel 3 5" xfId="476"/>
    <cellStyle name="Tabeltitel 3 5 2" xfId="2181"/>
    <cellStyle name="Tabeltitel 3 5 2 2" xfId="3412"/>
    <cellStyle name="Tabeltitel 3 5 3" xfId="1627"/>
    <cellStyle name="Tabeltitel 3 5 3 2" xfId="2856"/>
    <cellStyle name="Tabeltitel 3 5 4" xfId="755"/>
    <cellStyle name="Tabeltitel 3 5 5" xfId="2434"/>
    <cellStyle name="Tabeltitel 3 5 6" xfId="782"/>
    <cellStyle name="Tabeltitel 3 6" xfId="477"/>
    <cellStyle name="Tabeltitel 3 6 2" xfId="2182"/>
    <cellStyle name="Tabeltitel 3 6 2 2" xfId="3413"/>
    <cellStyle name="Tabeltitel 3 6 3" xfId="1689"/>
    <cellStyle name="Tabeltitel 3 6 3 2" xfId="2918"/>
    <cellStyle name="Tabeltitel 3 6 4" xfId="875"/>
    <cellStyle name="Tabeltitel 3 6 5" xfId="2435"/>
    <cellStyle name="Tabeltitel 3 6 6" xfId="791"/>
    <cellStyle name="Tabeltitel 3 7" xfId="537"/>
    <cellStyle name="Tabeltitel 3 7 2" xfId="3465"/>
    <cellStyle name="Tabeltitel 3 7 3" xfId="2227"/>
    <cellStyle name="Tabeltitel 3 8" xfId="1958"/>
    <cellStyle name="Tabeltitel 3 8 2" xfId="3188"/>
    <cellStyle name="Tabeltitel 3 9" xfId="1515"/>
    <cellStyle name="Tabeltitel 3 9 2" xfId="2745"/>
    <cellStyle name="Tabeltitel 4" xfId="304"/>
    <cellStyle name="Tabeltitel 4 2" xfId="472"/>
    <cellStyle name="Tabeltitel 4 2 2" xfId="2177"/>
    <cellStyle name="Tabeltitel 4 2 2 2" xfId="3408"/>
    <cellStyle name="Tabeltitel 4 2 3" xfId="1808"/>
    <cellStyle name="Tabeltitel 4 2 4" xfId="3038"/>
    <cellStyle name="Tabeltitel 4 2 5" xfId="858"/>
    <cellStyle name="Tabeltitel 4 3" xfId="1684"/>
    <cellStyle name="Tabeltitel 4 3 2" xfId="2913"/>
    <cellStyle name="Tabeltitel 4 4" xfId="1727"/>
    <cellStyle name="Tabeltitel 4 4 2" xfId="2957"/>
    <cellStyle name="Tabeltitel 4 5" xfId="1572"/>
    <cellStyle name="Tabeltitel 4 5 2" xfId="2802"/>
    <cellStyle name="Tabeltitel 4 6" xfId="766"/>
    <cellStyle name="Tabeltitel 4 7" xfId="2430"/>
    <cellStyle name="Tabeltitel 4 8" xfId="762"/>
    <cellStyle name="Tabeltitel 5" xfId="313"/>
    <cellStyle name="Tabeltitel 5 2" xfId="1775"/>
    <cellStyle name="Tabeltitel 5 2 2" xfId="3005"/>
    <cellStyle name="Tabeltitel 5 3" xfId="1734"/>
    <cellStyle name="Tabeltitel 5 3 2" xfId="2964"/>
    <cellStyle name="Tabeltitel 5 4" xfId="1594"/>
    <cellStyle name="Tabeltitel 5 5" xfId="2824"/>
    <cellStyle name="Tabeltitel 5 6" xfId="801"/>
    <cellStyle name="Tabeltitel 6" xfId="308"/>
    <cellStyle name="Tabeltitel 6 2" xfId="2792"/>
    <cellStyle name="Tabeltitel 6 3" xfId="1562"/>
    <cellStyle name="Tabeltitel 7" xfId="820"/>
    <cellStyle name="Tabeltitel 7 2" xfId="2438"/>
    <cellStyle name="Tabeltitel 8" xfId="353"/>
    <cellStyle name="Titel" xfId="46"/>
    <cellStyle name="Title 2" xfId="152"/>
    <cellStyle name="Title 3" xfId="160"/>
    <cellStyle name="Title 4" xfId="175"/>
    <cellStyle name="Title 5" xfId="243"/>
    <cellStyle name="Total" xfId="197" builtinId="25" customBuiltin="1"/>
    <cellStyle name="W?rung [0]_Input" xfId="47"/>
    <cellStyle name="W?rung_Input" xfId="48"/>
    <cellStyle name="Währung [0]_Input" xfId="49"/>
    <cellStyle name="Währung_Input" xfId="50"/>
    <cellStyle name="Warning Text" xfId="194" builtinId="11" customBuiltin="1"/>
    <cellStyle name="Year" xfId="51"/>
    <cellStyle name="Обычный_CRF Software v1.20" xfId="272"/>
  </cellStyles>
  <dxfs count="25">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fill>
        <patternFill patternType="none">
          <fgColor indexed="64"/>
          <bgColor indexed="65"/>
        </patternFill>
      </fill>
    </dxf>
    <dxf>
      <numFmt numFmtId="179" formatCode="0.0%"/>
    </dxf>
    <dxf>
      <numFmt numFmtId="179" formatCode="0.0%"/>
    </dxf>
    <dxf>
      <numFmt numFmtId="179" formatCode="0.0%"/>
    </dxf>
    <dxf>
      <numFmt numFmtId="179" formatCode="0.0%"/>
      <fill>
        <patternFill patternType="none">
          <fgColor indexed="64"/>
          <bgColor indexed="65"/>
        </patternFill>
      </fill>
    </dxf>
    <dxf>
      <numFmt numFmtId="179" formatCode="0.0%"/>
    </dxf>
    <dxf>
      <numFmt numFmtId="179" formatCode="0.0%"/>
    </dxf>
    <dxf>
      <fill>
        <patternFill patternType="none">
          <fgColor indexed="64"/>
          <bgColor indexed="65"/>
        </patternFill>
      </fill>
    </dxf>
    <dxf>
      <border outline="0">
        <left style="thin">
          <color auto="1"/>
        </left>
      </border>
    </dxf>
    <dxf>
      <fill>
        <patternFill patternType="none">
          <fgColor indexed="64"/>
          <bgColor indexed="65"/>
        </patternFill>
      </fill>
    </dxf>
    <dxf>
      <border outline="0">
        <bottom style="thin">
          <color rgb="FF009999"/>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right" vertical="bottom" textRotation="0" wrapText="0" indent="0" justifyLastLine="0" shrinkToFit="0" readingOrder="0"/>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numFmt numFmtId="0" formatCode="General"/>
      <fill>
        <patternFill patternType="none">
          <fgColor indexed="64"/>
          <bgColor indexed="65"/>
        </patternFill>
      </fill>
    </dxf>
    <dxf>
      <border outline="0">
        <top style="medium">
          <color indexed="64"/>
        </top>
      </border>
    </dxf>
    <dxf>
      <fill>
        <patternFill patternType="none">
          <fgColor indexed="64"/>
          <bgColor indexed="65"/>
        </patternFill>
      </fill>
    </dxf>
    <dxf>
      <border outline="0">
        <bottom style="medium">
          <color indexed="64"/>
        </bottom>
      </border>
    </dxf>
    <dxf>
      <fill>
        <patternFill patternType="none">
          <fgColor indexed="64"/>
          <bgColor indexed="65"/>
        </patternFill>
      </fill>
    </dxf>
  </dxfs>
  <tableStyles count="0" defaultTableStyle="TableStyleMedium2" defaultPivotStyle="PivotStyleLight16"/>
  <colors>
    <mruColors>
      <color rgb="FF33CCCC"/>
      <color rgb="FF009999"/>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1.xml"/><Relationship Id="rId13" Type="http://schemas.openxmlformats.org/officeDocument/2006/relationships/worksheet" Target="worksheets/sheet9.xml"/><Relationship Id="rId18" Type="http://schemas.openxmlformats.org/officeDocument/2006/relationships/worksheet" Target="worksheets/sheet14.xml"/><Relationship Id="rId26" Type="http://schemas.openxmlformats.org/officeDocument/2006/relationships/worksheet" Target="worksheets/sheet22.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17.xml"/><Relationship Id="rId34" Type="http://schemas.openxmlformats.org/officeDocument/2006/relationships/worksheet" Target="worksheets/sheet30.xml"/><Relationship Id="rId7" Type="http://schemas.openxmlformats.org/officeDocument/2006/relationships/worksheet" Target="worksheets/sheet7.xml"/><Relationship Id="rId12" Type="http://schemas.openxmlformats.org/officeDocument/2006/relationships/worksheet" Target="worksheets/sheet8.xml"/><Relationship Id="rId17" Type="http://schemas.openxmlformats.org/officeDocument/2006/relationships/worksheet" Target="worksheets/sheet13.xml"/><Relationship Id="rId25" Type="http://schemas.openxmlformats.org/officeDocument/2006/relationships/worksheet" Target="worksheets/sheet21.xml"/><Relationship Id="rId33" Type="http://schemas.openxmlformats.org/officeDocument/2006/relationships/worksheet" Target="worksheets/sheet29.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2.xml"/><Relationship Id="rId20" Type="http://schemas.openxmlformats.org/officeDocument/2006/relationships/worksheet" Target="worksheets/sheet16.xml"/><Relationship Id="rId29" Type="http://schemas.openxmlformats.org/officeDocument/2006/relationships/worksheet" Target="worksheets/sheet2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hartsheet" Target="chartsheets/sheet4.xml"/><Relationship Id="rId24" Type="http://schemas.openxmlformats.org/officeDocument/2006/relationships/worksheet" Target="worksheets/sheet20.xml"/><Relationship Id="rId32" Type="http://schemas.openxmlformats.org/officeDocument/2006/relationships/worksheet" Target="worksheets/sheet28.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1.xml"/><Relationship Id="rId23" Type="http://schemas.openxmlformats.org/officeDocument/2006/relationships/worksheet" Target="worksheets/sheet19.xml"/><Relationship Id="rId28" Type="http://schemas.openxmlformats.org/officeDocument/2006/relationships/worksheet" Target="worksheets/sheet24.xml"/><Relationship Id="rId36" Type="http://schemas.openxmlformats.org/officeDocument/2006/relationships/worksheet" Target="worksheets/sheet32.xml"/><Relationship Id="rId10" Type="http://schemas.openxmlformats.org/officeDocument/2006/relationships/chartsheet" Target="chartsheets/sheet3.xml"/><Relationship Id="rId19" Type="http://schemas.openxmlformats.org/officeDocument/2006/relationships/worksheet" Target="worksheets/sheet15.xml"/><Relationship Id="rId31" Type="http://schemas.openxmlformats.org/officeDocument/2006/relationships/worksheet" Target="worksheets/sheet27.xml"/><Relationship Id="rId4" Type="http://schemas.openxmlformats.org/officeDocument/2006/relationships/worksheet" Target="worksheets/sheet4.xml"/><Relationship Id="rId9" Type="http://schemas.openxmlformats.org/officeDocument/2006/relationships/chartsheet" Target="chartsheets/sheet2.xml"/><Relationship Id="rId14" Type="http://schemas.openxmlformats.org/officeDocument/2006/relationships/worksheet" Target="worksheets/sheet10.xml"/><Relationship Id="rId22" Type="http://schemas.openxmlformats.org/officeDocument/2006/relationships/worksheet" Target="worksheets/sheet18.xml"/><Relationship Id="rId27" Type="http://schemas.openxmlformats.org/officeDocument/2006/relationships/worksheet" Target="worksheets/sheet23.xml"/><Relationship Id="rId30" Type="http://schemas.openxmlformats.org/officeDocument/2006/relationships/worksheet" Target="worksheets/sheet26.xml"/><Relationship Id="rId35" Type="http://schemas.openxmlformats.org/officeDocument/2006/relationships/worksheet" Target="worksheets/sheet3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Finaal energieverbruik (in MWh)</c:v>
          </c:tx>
          <c:invertIfNegative val="0"/>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63739.878164496804</c:v>
                </c:pt>
                <c:pt idx="1">
                  <c:v>24017.276545628883</c:v>
                </c:pt>
                <c:pt idx="2">
                  <c:v>576.33900000000006</c:v>
                </c:pt>
                <c:pt idx="3">
                  <c:v>70.781882539657047</c:v>
                </c:pt>
                <c:pt idx="4">
                  <c:v>8456.8870143295117</c:v>
                </c:pt>
                <c:pt idx="5">
                  <c:v>23207.706899511857</c:v>
                </c:pt>
                <c:pt idx="6">
                  <c:v>690.9930034775964</c:v>
                </c:pt>
                <c:pt idx="7">
                  <c:v>0</c:v>
                </c:pt>
                <c:pt idx="8">
                  <c:v>0</c:v>
                </c:pt>
                <c:pt idx="9">
                  <c:v>0</c:v>
                </c:pt>
              </c:numCache>
            </c:numRef>
          </c:val>
          <c:extLst>
            <c:ext xmlns:c16="http://schemas.microsoft.com/office/drawing/2014/chart" uri="{C3380CC4-5D6E-409C-BE32-E72D297353CC}">
              <c16:uniqueId val="{00000000-8EAD-4C49-A963-450B68E3499A}"/>
            </c:ext>
          </c:extLst>
        </c:ser>
        <c:dLbls>
          <c:showLegendKey val="0"/>
          <c:showVal val="0"/>
          <c:showCatName val="0"/>
          <c:showSerName val="0"/>
          <c:showPercent val="0"/>
          <c:showBubbleSize val="0"/>
        </c:dLbls>
        <c:gapWidth val="150"/>
        <c:axId val="84030592"/>
        <c:axId val="84032128"/>
      </c:barChart>
      <c:catAx>
        <c:axId val="84030592"/>
        <c:scaling>
          <c:orientation val="minMax"/>
        </c:scaling>
        <c:delete val="0"/>
        <c:axPos val="b"/>
        <c:numFmt formatCode="General" sourceLinked="0"/>
        <c:majorTickMark val="out"/>
        <c:minorTickMark val="none"/>
        <c:tickLblPos val="nextTo"/>
        <c:crossAx val="84032128"/>
        <c:crosses val="autoZero"/>
        <c:auto val="1"/>
        <c:lblAlgn val="ctr"/>
        <c:lblOffset val="100"/>
        <c:noMultiLvlLbl val="0"/>
      </c:catAx>
      <c:valAx>
        <c:axId val="84032128"/>
        <c:scaling>
          <c:orientation val="minMax"/>
        </c:scaling>
        <c:delete val="0"/>
        <c:axPos val="l"/>
        <c:majorGridlines/>
        <c:numFmt formatCode="#,##0" sourceLinked="1"/>
        <c:majorTickMark val="out"/>
        <c:minorTickMark val="none"/>
        <c:tickLblPos val="nextTo"/>
        <c:crossAx val="84030592"/>
        <c:crosses val="autoZero"/>
        <c:crossBetween val="between"/>
      </c:valAx>
    </c:plotArea>
    <c:legend>
      <c:legendPos val="b"/>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Finaal Energieverbruik </a:t>
            </a:r>
          </a:p>
        </c:rich>
      </c:tx>
      <c:overlay val="0"/>
    </c:title>
    <c:autoTitleDeleted val="0"/>
    <c:plotArea>
      <c:layout/>
      <c:pieChart>
        <c:varyColors val="1"/>
        <c:ser>
          <c:idx val="0"/>
          <c:order val="0"/>
          <c:dLbls>
            <c:dLbl>
              <c:idx val="7"/>
              <c:layout>
                <c:manualLayout>
                  <c:x val="-6.6303269166603659E-2"/>
                  <c:y val="-2.6798671305577438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BF12-45B9-854A-D20BD611B417}"/>
                </c:ext>
              </c:extLst>
            </c:dLbl>
            <c:dLbl>
              <c:idx val="8"/>
              <c:layout>
                <c:manualLayout>
                  <c:x val="0.17870678697416895"/>
                  <c:y val="1.145319804772295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F12-45B9-854A-D20BD611B417}"/>
                </c:ext>
              </c:extLst>
            </c:dLbl>
            <c:dLbl>
              <c:idx val="9"/>
              <c:layout>
                <c:manualLayout>
                  <c:x val="2.2091845295908161E-2"/>
                  <c:y val="-3.67546373016419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F12-45B9-854A-D20BD611B417}"/>
                </c:ext>
              </c:extLst>
            </c:dLbl>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2014'!$A$4:$A$13</c:f>
              <c:strCache>
                <c:ptCount val="10"/>
                <c:pt idx="0">
                  <c:v>huishoudens</c:v>
                </c:pt>
                <c:pt idx="1">
                  <c:v>tertiair</c:v>
                </c:pt>
                <c:pt idx="2">
                  <c:v>openbare verlichting</c:v>
                </c:pt>
                <c:pt idx="3">
                  <c:v>landbouw</c:v>
                </c:pt>
                <c:pt idx="4">
                  <c:v>industrie (niet-ETS)</c:v>
                </c:pt>
                <c:pt idx="5">
                  <c:v>particulier en commercieel vervoer</c:v>
                </c:pt>
                <c:pt idx="6">
                  <c:v>openbaar vervoer</c:v>
                </c:pt>
                <c:pt idx="7">
                  <c:v>eigen gebouwen</c:v>
                </c:pt>
                <c:pt idx="8">
                  <c:v>eigen openbare verlichting</c:v>
                </c:pt>
                <c:pt idx="9">
                  <c:v>eigen vloot</c:v>
                </c:pt>
              </c:strCache>
            </c:strRef>
          </c:cat>
          <c:val>
            <c:numRef>
              <c:f>'Inventaris 2014'!$Q$4:$Q$13</c:f>
              <c:numCache>
                <c:formatCode>#,##0</c:formatCode>
                <c:ptCount val="10"/>
                <c:pt idx="0">
                  <c:v>63739.878164496804</c:v>
                </c:pt>
                <c:pt idx="1">
                  <c:v>24017.276545628883</c:v>
                </c:pt>
                <c:pt idx="2">
                  <c:v>576.33900000000006</c:v>
                </c:pt>
                <c:pt idx="3">
                  <c:v>70.781882539657047</c:v>
                </c:pt>
                <c:pt idx="4">
                  <c:v>8456.8870143295117</c:v>
                </c:pt>
                <c:pt idx="5">
                  <c:v>23207.706899511857</c:v>
                </c:pt>
                <c:pt idx="6">
                  <c:v>690.9930034775964</c:v>
                </c:pt>
                <c:pt idx="7">
                  <c:v>0</c:v>
                </c:pt>
                <c:pt idx="8">
                  <c:v>0</c:v>
                </c:pt>
                <c:pt idx="9">
                  <c:v>0</c:v>
                </c:pt>
              </c:numCache>
            </c:numRef>
          </c:val>
          <c:extLst>
            <c:ext xmlns:c16="http://schemas.microsoft.com/office/drawing/2014/chart" uri="{C3380CC4-5D6E-409C-BE32-E72D297353CC}">
              <c16:uniqueId val="{00000003-BF12-45B9-854A-D20BD611B417}"/>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v>CO2 emissies (in ton)</c:v>
          </c:tx>
          <c:invertIfNegative val="0"/>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12599.905350641926</c:v>
                </c:pt>
                <c:pt idx="2">
                  <c:v>4673.6049520507167</c:v>
                </c:pt>
                <c:pt idx="3">
                  <c:v>114.31383696141191</c:v>
                </c:pt>
                <c:pt idx="4">
                  <c:v>16.946636069792998</c:v>
                </c:pt>
                <c:pt idx="5">
                  <c:v>1757.6694397150159</c:v>
                </c:pt>
                <c:pt idx="6">
                  <c:v>5810.0804157512739</c:v>
                </c:pt>
                <c:pt idx="7">
                  <c:v>174.52009451427105</c:v>
                </c:pt>
                <c:pt idx="8">
                  <c:v>0</c:v>
                </c:pt>
                <c:pt idx="9">
                  <c:v>0</c:v>
                </c:pt>
              </c:numCache>
            </c:numRef>
          </c:val>
          <c:extLst>
            <c:ext xmlns:c16="http://schemas.microsoft.com/office/drawing/2014/chart" uri="{C3380CC4-5D6E-409C-BE32-E72D297353CC}">
              <c16:uniqueId val="{00000000-0DEA-49E9-8268-F5FC3FF71B83}"/>
            </c:ext>
          </c:extLst>
        </c:ser>
        <c:dLbls>
          <c:showLegendKey val="0"/>
          <c:showVal val="0"/>
          <c:showCatName val="0"/>
          <c:showSerName val="0"/>
          <c:showPercent val="0"/>
          <c:showBubbleSize val="0"/>
        </c:dLbls>
        <c:gapWidth val="150"/>
        <c:axId val="91922432"/>
        <c:axId val="91923968"/>
      </c:barChart>
      <c:catAx>
        <c:axId val="91922432"/>
        <c:scaling>
          <c:orientation val="minMax"/>
        </c:scaling>
        <c:delete val="0"/>
        <c:axPos val="b"/>
        <c:numFmt formatCode="General" sourceLinked="0"/>
        <c:majorTickMark val="out"/>
        <c:minorTickMark val="none"/>
        <c:tickLblPos val="nextTo"/>
        <c:crossAx val="91923968"/>
        <c:crosses val="autoZero"/>
        <c:auto val="1"/>
        <c:lblAlgn val="ctr"/>
        <c:lblOffset val="100"/>
        <c:noMultiLvlLbl val="0"/>
      </c:catAx>
      <c:valAx>
        <c:axId val="91923968"/>
        <c:scaling>
          <c:orientation val="minMax"/>
        </c:scaling>
        <c:delete val="0"/>
        <c:axPos val="l"/>
        <c:majorGridlines/>
        <c:numFmt formatCode="#,##0" sourceLinked="1"/>
        <c:majorTickMark val="out"/>
        <c:minorTickMark val="none"/>
        <c:tickLblPos val="nextTo"/>
        <c:crossAx val="91922432"/>
        <c:crosses val="autoZero"/>
        <c:crossBetween val="between"/>
      </c:valAx>
    </c:plotArea>
    <c:legend>
      <c:legendPos val="b"/>
      <c:overlay val="0"/>
    </c:legend>
    <c:plotVisOnly val="1"/>
    <c:dispBlanksAs val="gap"/>
    <c:showDLblsOverMax val="0"/>
  </c:char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CO2 emissies</a:t>
            </a:r>
          </a:p>
        </c:rich>
      </c:tx>
      <c:overlay val="0"/>
    </c:title>
    <c:autoTitleDeleted val="0"/>
    <c:plotArea>
      <c:layout/>
      <c:pieChart>
        <c:varyColors val="1"/>
        <c:ser>
          <c:idx val="0"/>
          <c:order val="0"/>
          <c:dLbls>
            <c:numFmt formatCode="0.0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'Inventaris 2014'!$A$21:$A$30</c:f>
              <c:strCache>
                <c:ptCount val="10"/>
                <c:pt idx="1">
                  <c:v>huishoudens</c:v>
                </c:pt>
                <c:pt idx="2">
                  <c:v>tertiair</c:v>
                </c:pt>
                <c:pt idx="3">
                  <c:v>openbare verlichting</c:v>
                </c:pt>
                <c:pt idx="4">
                  <c:v>landbouw</c:v>
                </c:pt>
                <c:pt idx="5">
                  <c:v>industrie (niet-ETS)</c:v>
                </c:pt>
                <c:pt idx="6">
                  <c:v>particulier en commercieel vervoer</c:v>
                </c:pt>
                <c:pt idx="7">
                  <c:v>openbaar vervoer</c:v>
                </c:pt>
                <c:pt idx="8">
                  <c:v>eigen gebouwen</c:v>
                </c:pt>
                <c:pt idx="9">
                  <c:v>eigen openbare verlichting</c:v>
                </c:pt>
              </c:strCache>
            </c:strRef>
          </c:cat>
          <c:val>
            <c:numRef>
              <c:f>'Inventaris 2014'!$Q$21:$Q$30</c:f>
              <c:numCache>
                <c:formatCode>#,##0</c:formatCode>
                <c:ptCount val="10"/>
                <c:pt idx="0">
                  <c:v>0</c:v>
                </c:pt>
                <c:pt idx="1">
                  <c:v>12599.905350641926</c:v>
                </c:pt>
                <c:pt idx="2">
                  <c:v>4673.6049520507167</c:v>
                </c:pt>
                <c:pt idx="3">
                  <c:v>114.31383696141191</c:v>
                </c:pt>
                <c:pt idx="4">
                  <c:v>16.946636069792998</c:v>
                </c:pt>
                <c:pt idx="5">
                  <c:v>1757.6694397150159</c:v>
                </c:pt>
                <c:pt idx="6">
                  <c:v>5810.0804157512739</c:v>
                </c:pt>
                <c:pt idx="7">
                  <c:v>174.52009451427105</c:v>
                </c:pt>
                <c:pt idx="8">
                  <c:v>0</c:v>
                </c:pt>
                <c:pt idx="9">
                  <c:v>0</c:v>
                </c:pt>
              </c:numCache>
            </c:numRef>
          </c:val>
          <c:extLst>
            <c:ext xmlns:c16="http://schemas.microsoft.com/office/drawing/2014/chart" uri="{C3380CC4-5D6E-409C-BE32-E72D297353CC}">
              <c16:uniqueId val="{00000000-07F8-44A2-9A7A-184651F3CC8C}"/>
            </c:ext>
          </c:extLst>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chartsheets/sheet1.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tabColor theme="6"/>
  </sheetPr>
  <sheetViews>
    <sheetView zoomScale="115"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tabColor theme="6"/>
  </sheetPr>
  <sheetViews>
    <sheetView zoomScale="12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5686425</xdr:colOff>
      <xdr:row>1</xdr:row>
      <xdr:rowOff>38100</xdr:rowOff>
    </xdr:from>
    <xdr:to>
      <xdr:col>2</xdr:col>
      <xdr:colOff>7707736</xdr:colOff>
      <xdr:row>3</xdr:row>
      <xdr:rowOff>162573</xdr:rowOff>
    </xdr:to>
    <xdr:pic>
      <xdr:nvPicPr>
        <xdr:cNvPr id="3" name="Picture 2" descr="http://channelv.vito.local/Communication/External/PublishingImages/vito_basislogo.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4525625" y="238125"/>
          <a:ext cx="2021311" cy="572148"/>
        </a:xfrm>
        <a:prstGeom prst="rect">
          <a:avLst/>
        </a:prstGeom>
        <a:noFill/>
      </xdr:spPr>
    </xdr:pic>
    <xdr:clientData/>
  </xdr:twoCellAnchor>
  <xdr:twoCellAnchor editAs="oneCell">
    <xdr:from>
      <xdr:col>2</xdr:col>
      <xdr:colOff>8029574</xdr:colOff>
      <xdr:row>1</xdr:row>
      <xdr:rowOff>47625</xdr:rowOff>
    </xdr:from>
    <xdr:to>
      <xdr:col>2</xdr:col>
      <xdr:colOff>9143999</xdr:colOff>
      <xdr:row>3</xdr:row>
      <xdr:rowOff>161925</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868774" y="247650"/>
          <a:ext cx="1114425" cy="56197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266700</xdr:colOff>
      <xdr:row>23</xdr:row>
      <xdr:rowOff>9525</xdr:rowOff>
    </xdr:from>
    <xdr:to>
      <xdr:col>1</xdr:col>
      <xdr:colOff>638175</xdr:colOff>
      <xdr:row>23</xdr:row>
      <xdr:rowOff>180975</xdr:rowOff>
    </xdr:to>
    <xdr:sp macro="" textlink="">
      <xdr:nvSpPr>
        <xdr:cNvPr id="2" name="Bent-Up Arrow 1">
          <a:extLst>
            <a:ext uri="{FF2B5EF4-FFF2-40B4-BE49-F238E27FC236}">
              <a16:creationId xmlns:a16="http://schemas.microsoft.com/office/drawing/2014/main" id="{00000000-0008-0000-0B00-000002000000}"/>
            </a:ext>
          </a:extLst>
        </xdr:cNvPr>
        <xdr:cNvSpPr/>
      </xdr:nvSpPr>
      <xdr:spPr>
        <a:xfrm>
          <a:off x="2581275" y="512445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4933950</xdr:colOff>
      <xdr:row>1</xdr:row>
      <xdr:rowOff>95250</xdr:rowOff>
    </xdr:from>
    <xdr:to>
      <xdr:col>2</xdr:col>
      <xdr:colOff>6955261</xdr:colOff>
      <xdr:row>1</xdr:row>
      <xdr:rowOff>667398</xdr:rowOff>
    </xdr:to>
    <xdr:pic>
      <xdr:nvPicPr>
        <xdr:cNvPr id="3" name="Picture 2" descr="http://channelv.vito.local/Communication/External/PublishingImages/vito_basislogo.jpg">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192125" y="295275"/>
          <a:ext cx="2021311" cy="572148"/>
        </a:xfrm>
        <a:prstGeom prst="rect">
          <a:avLst/>
        </a:prstGeom>
        <a:noFill/>
      </xdr:spPr>
    </xdr:pic>
    <xdr:clientData/>
  </xdr:twoCellAnchor>
  <xdr:twoCellAnchor editAs="oneCell">
    <xdr:from>
      <xdr:col>2</xdr:col>
      <xdr:colOff>7277099</xdr:colOff>
      <xdr:row>1</xdr:row>
      <xdr:rowOff>104775</xdr:rowOff>
    </xdr:from>
    <xdr:to>
      <xdr:col>2</xdr:col>
      <xdr:colOff>8391524</xdr:colOff>
      <xdr:row>1</xdr:row>
      <xdr:rowOff>666750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E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535274" y="304800"/>
          <a:ext cx="1114425" cy="5619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1476375</xdr:colOff>
      <xdr:row>0</xdr:row>
      <xdr:rowOff>38100</xdr:rowOff>
    </xdr:from>
    <xdr:to>
      <xdr:col>5</xdr:col>
      <xdr:colOff>544936</xdr:colOff>
      <xdr:row>0</xdr:row>
      <xdr:rowOff>610248</xdr:rowOff>
    </xdr:to>
    <xdr:pic>
      <xdr:nvPicPr>
        <xdr:cNvPr id="2" name="Picture 1" descr="http://channelv.vito.local/Communication/External/PublishingImages/vito_basislogo.jpg">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315700" y="38100"/>
          <a:ext cx="2021311" cy="572148"/>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2028825</xdr:colOff>
      <xdr:row>1</xdr:row>
      <xdr:rowOff>85725</xdr:rowOff>
    </xdr:from>
    <xdr:to>
      <xdr:col>2</xdr:col>
      <xdr:colOff>2030836</xdr:colOff>
      <xdr:row>1</xdr:row>
      <xdr:rowOff>657873</xdr:rowOff>
    </xdr:to>
    <xdr:pic>
      <xdr:nvPicPr>
        <xdr:cNvPr id="2" name="Picture 1" descr="http://channelv.vito.local/Communication/External/PublishingImages/vito_basislogo.jpg">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287000" y="285750"/>
          <a:ext cx="2021311" cy="572148"/>
        </a:xfrm>
        <a:prstGeom prst="rect">
          <a:avLst/>
        </a:prstGeom>
        <a:noFill/>
      </xdr:spPr>
    </xdr:pic>
    <xdr:clientData/>
  </xdr:twoCellAnchor>
  <xdr:twoCellAnchor editAs="oneCell">
    <xdr:from>
      <xdr:col>2</xdr:col>
      <xdr:colOff>4086225</xdr:colOff>
      <xdr:row>1</xdr:row>
      <xdr:rowOff>114300</xdr:rowOff>
    </xdr:from>
    <xdr:to>
      <xdr:col>2</xdr:col>
      <xdr:colOff>6107536</xdr:colOff>
      <xdr:row>1</xdr:row>
      <xdr:rowOff>686448</xdr:rowOff>
    </xdr:to>
    <xdr:pic>
      <xdr:nvPicPr>
        <xdr:cNvPr id="4" name="Picture 3" descr="http://channelv.vito.local/Communication/External/PublishingImages/vito_basislogo.jpg">
          <a:extLst>
            <a:ext uri="{FF2B5EF4-FFF2-40B4-BE49-F238E27FC236}">
              <a16:creationId xmlns:a16="http://schemas.microsoft.com/office/drawing/2014/main" id="{00000000-0008-0000-17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344400" y="314325"/>
          <a:ext cx="2021311" cy="572148"/>
        </a:xfrm>
        <a:prstGeom prst="rect">
          <a:avLst/>
        </a:prstGeom>
        <a:noFill/>
      </xdr:spPr>
    </xdr:pic>
    <xdr:clientData/>
  </xdr:twoCellAnchor>
  <xdr:twoCellAnchor editAs="oneCell">
    <xdr:from>
      <xdr:col>2</xdr:col>
      <xdr:colOff>6429374</xdr:colOff>
      <xdr:row>1</xdr:row>
      <xdr:rowOff>123825</xdr:rowOff>
    </xdr:from>
    <xdr:to>
      <xdr:col>2</xdr:col>
      <xdr:colOff>7543799</xdr:colOff>
      <xdr:row>1</xdr:row>
      <xdr:rowOff>685800</xdr:rowOff>
    </xdr:to>
    <xdr:pic>
      <xdr:nvPicPr>
        <xdr:cNvPr id="5" name="Picture 4" descr="C:\Users\meynaere\AppData\Local\Microsoft\Windows\Temporary Internet Files\Content.Outlook\SHHOD2UQ\logo_kleur_leeuw.jpg">
          <a:extLst>
            <a:ext uri="{FF2B5EF4-FFF2-40B4-BE49-F238E27FC236}">
              <a16:creationId xmlns:a16="http://schemas.microsoft.com/office/drawing/2014/main" id="{00000000-0008-0000-17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87549" y="323850"/>
          <a:ext cx="1114425" cy="561975"/>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15</xdr:col>
      <xdr:colOff>1130399</xdr:colOff>
      <xdr:row>0</xdr:row>
      <xdr:rowOff>0</xdr:rowOff>
    </xdr:from>
    <xdr:to>
      <xdr:col>21</xdr:col>
      <xdr:colOff>87138</xdr:colOff>
      <xdr:row>22</xdr:row>
      <xdr:rowOff>149677</xdr:rowOff>
    </xdr:to>
    <xdr:pic>
      <xdr:nvPicPr>
        <xdr:cNvPr id="2" name="Picture 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41220" y="0"/>
          <a:ext cx="6608140" cy="53748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1130399</xdr:colOff>
      <xdr:row>0</xdr:row>
      <xdr:rowOff>0</xdr:rowOff>
    </xdr:from>
    <xdr:to>
      <xdr:col>23</xdr:col>
      <xdr:colOff>719452</xdr:colOff>
      <xdr:row>22</xdr:row>
      <xdr:rowOff>149677</xdr:rowOff>
    </xdr:to>
    <xdr:pic>
      <xdr:nvPicPr>
        <xdr:cNvPr id="3" name="Picture 2">
          <a:extLst>
            <a:ext uri="{FF2B5EF4-FFF2-40B4-BE49-F238E27FC236}">
              <a16:creationId xmlns:a16="http://schemas.microsoft.com/office/drawing/2014/main" id="{B5194337-56D3-41FF-98BC-9CD5D8DDFA5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029374" y="0"/>
          <a:ext cx="6597255" cy="53503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3705225</xdr:colOff>
      <xdr:row>1</xdr:row>
      <xdr:rowOff>76200</xdr:rowOff>
    </xdr:from>
    <xdr:to>
      <xdr:col>2</xdr:col>
      <xdr:colOff>3707236</xdr:colOff>
      <xdr:row>2</xdr:row>
      <xdr:rowOff>648</xdr:rowOff>
    </xdr:to>
    <xdr:pic>
      <xdr:nvPicPr>
        <xdr:cNvPr id="2" name="Picture 1" descr="http://channelv.vito.local/Communication/External/PublishingImages/vito_basislogo.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953625" y="276225"/>
          <a:ext cx="2021311" cy="572148"/>
        </a:xfrm>
        <a:prstGeom prst="rect">
          <a:avLst/>
        </a:prstGeom>
        <a:noFill/>
      </xdr:spPr>
    </xdr:pic>
    <xdr:clientData/>
  </xdr:twoCellAnchor>
  <xdr:twoCellAnchor editAs="oneCell">
    <xdr:from>
      <xdr:col>2</xdr:col>
      <xdr:colOff>6048374</xdr:colOff>
      <xdr:row>1</xdr:row>
      <xdr:rowOff>85725</xdr:rowOff>
    </xdr:from>
    <xdr:to>
      <xdr:col>2</xdr:col>
      <xdr:colOff>6048374</xdr:colOff>
      <xdr:row>2</xdr:row>
      <xdr:rowOff>0</xdr:rowOff>
    </xdr:to>
    <xdr:pic>
      <xdr:nvPicPr>
        <xdr:cNvPr id="3" name="Picture 2" descr="C:\Users\meynaere\AppData\Local\Microsoft\Windows\Temporary Internet Files\Content.Outlook\SHHOD2UQ\logo_kleur_leeuw.jpg">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96774" y="285750"/>
          <a:ext cx="1114425" cy="561975"/>
        </a:xfrm>
        <a:prstGeom prst="rect">
          <a:avLst/>
        </a:prstGeom>
        <a:noFill/>
        <a:ln>
          <a:noFill/>
        </a:ln>
      </xdr:spPr>
    </xdr:pic>
    <xdr:clientData/>
  </xdr:twoCellAnchor>
  <xdr:twoCellAnchor editAs="oneCell">
    <xdr:from>
      <xdr:col>2</xdr:col>
      <xdr:colOff>3724275</xdr:colOff>
      <xdr:row>1</xdr:row>
      <xdr:rowOff>66675</xdr:rowOff>
    </xdr:from>
    <xdr:to>
      <xdr:col>2</xdr:col>
      <xdr:colOff>7181007</xdr:colOff>
      <xdr:row>1</xdr:row>
      <xdr:rowOff>639749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tretch>
          <a:fillRect/>
        </a:stretch>
      </xdr:blipFill>
      <xdr:spPr>
        <a:xfrm>
          <a:off x="9972675" y="266700"/>
          <a:ext cx="3456732" cy="573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84804" cy="6046304"/>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290779" cy="6050717"/>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twoCellAnchor editAs="oneCell">
    <xdr:from>
      <xdr:col>2</xdr:col>
      <xdr:colOff>5181600</xdr:colOff>
      <xdr:row>1</xdr:row>
      <xdr:rowOff>57150</xdr:rowOff>
    </xdr:from>
    <xdr:to>
      <xdr:col>2</xdr:col>
      <xdr:colOff>7202911</xdr:colOff>
      <xdr:row>1</xdr:row>
      <xdr:rowOff>629298</xdr:rowOff>
    </xdr:to>
    <xdr:pic>
      <xdr:nvPicPr>
        <xdr:cNvPr id="3" name="Picture 2" descr="http://channelv.vito.local/Communication/External/PublishingImages/vito_basislogo.jpg">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573125" y="257175"/>
          <a:ext cx="2021311" cy="572148"/>
        </a:xfrm>
        <a:prstGeom prst="rect">
          <a:avLst/>
        </a:prstGeom>
        <a:noFill/>
      </xdr:spPr>
    </xdr:pic>
    <xdr:clientData/>
  </xdr:twoCellAnchor>
  <xdr:twoCellAnchor editAs="oneCell">
    <xdr:from>
      <xdr:col>2</xdr:col>
      <xdr:colOff>7524749</xdr:colOff>
      <xdr:row>1</xdr:row>
      <xdr:rowOff>66675</xdr:rowOff>
    </xdr:from>
    <xdr:to>
      <xdr:col>2</xdr:col>
      <xdr:colOff>8639174</xdr:colOff>
      <xdr:row>1</xdr:row>
      <xdr:rowOff>628650</xdr:rowOff>
    </xdr:to>
    <xdr:pic>
      <xdr:nvPicPr>
        <xdr:cNvPr id="4" name="Picture 3" descr="C:\Users\meynaere\AppData\Local\Microsoft\Windows\Temporary Internet Files\Content.Outlook\SHHOD2UQ\logo_kleur_leeuw.jpg">
          <a:extLst>
            <a:ext uri="{FF2B5EF4-FFF2-40B4-BE49-F238E27FC236}">
              <a16:creationId xmlns:a16="http://schemas.microsoft.com/office/drawing/2014/main" id="{00000000-0008-0000-08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16274" y="266700"/>
          <a:ext cx="1114425"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900-000003000000}"/>
            </a:ext>
          </a:extLst>
        </xdr:cNvPr>
        <xdr:cNvSpPr/>
      </xdr:nvSpPr>
      <xdr:spPr>
        <a:xfrm>
          <a:off x="2447925" y="55626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133350</xdr:colOff>
      <xdr:row>12</xdr:row>
      <xdr:rowOff>66675</xdr:rowOff>
    </xdr:from>
    <xdr:to>
      <xdr:col>1</xdr:col>
      <xdr:colOff>504825</xdr:colOff>
      <xdr:row>12</xdr:row>
      <xdr:rowOff>238125</xdr:rowOff>
    </xdr:to>
    <xdr:sp macro="" textlink="">
      <xdr:nvSpPr>
        <xdr:cNvPr id="3" name="Bent-Up Arrow 2">
          <a:extLst>
            <a:ext uri="{FF2B5EF4-FFF2-40B4-BE49-F238E27FC236}">
              <a16:creationId xmlns:a16="http://schemas.microsoft.com/office/drawing/2014/main" id="{00000000-0008-0000-0A00-000003000000}"/>
            </a:ext>
          </a:extLst>
        </xdr:cNvPr>
        <xdr:cNvSpPr/>
      </xdr:nvSpPr>
      <xdr:spPr>
        <a:xfrm>
          <a:off x="3581400" y="3086100"/>
          <a:ext cx="371475" cy="171450"/>
        </a:xfrm>
        <a:prstGeom prst="bentUpArrow">
          <a:avLst/>
        </a:prstGeom>
        <a:solidFill>
          <a:srgbClr val="33CC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nl-BE" sz="1100"/>
        </a:p>
      </xdr:txBody>
    </xdr:sp>
    <xdr:clientData/>
  </xdr:twoCellAnchor>
</xdr:wsDr>
</file>

<file path=xl/tables/table1.xml><?xml version="1.0" encoding="utf-8"?>
<table xmlns="http://schemas.openxmlformats.org/spreadsheetml/2006/main" id="1" name="TableECFTransport" displayName="TableECFTransport" ref="A1:F33" totalsRowShown="0" headerRowDxfId="24" dataDxfId="22" headerRowBorderDxfId="23" tableBorderDxfId="21">
  <autoFilter ref="A1:F33"/>
  <tableColumns count="6">
    <tableColumn id="1" name="Index" dataDxfId="20">
      <calculatedColumnFormula>CONCATENATE(TableECFTransport[[#This Row],[Voertuigtype]],"_",TableECFTransport[[#This Row],[Wegtype]],"_",TableECFTransport[[#This Row],[Brandstoftechnologie]],"_",TableECFTransport[[#This Row],[Brandstof]])</calculatedColumnFormula>
    </tableColumn>
    <tableColumn id="2" name="Voertuigtype" dataDxfId="19"/>
    <tableColumn id="3" name="Wegtype" dataDxfId="18"/>
    <tableColumn id="4" name="Brandstoftechnologie" dataDxfId="17"/>
    <tableColumn id="5" name="Brandstof" dataDxfId="16"/>
    <tableColumn id="6" name="EnergieConsumptieFactor (PJ per km)" dataDxfId="15"/>
  </tableColumns>
  <tableStyleInfo name="TableStyleMedium2" showFirstColumn="0" showLastColumn="0" showRowStripes="1" showColumnStripes="0"/>
</table>
</file>

<file path=xl/tables/table2.xml><?xml version="1.0" encoding="utf-8"?>
<table xmlns="http://schemas.openxmlformats.org/spreadsheetml/2006/main" id="2" name="TableVerdeelsleutelVkm" displayName="TableVerdeelsleutelVkm" ref="A23:L25" totalsRowShown="0" headerRowDxfId="14" dataDxfId="12" headerRowBorderDxfId="13" tableBorderDxfId="11">
  <autoFilter ref="A23:L25"/>
  <tableColumns count="12">
    <tableColumn id="1" name="Voertuigtype" dataDxfId="10"/>
    <tableColumn id="2" name="CNG" dataDxfId="9" dataCellStyle="Percent"/>
    <tableColumn id="3" name="DIESEL" dataDxfId="8" dataCellStyle="Percent"/>
    <tableColumn id="4" name="DIESEL HYBRID CS" dataDxfId="7" dataCellStyle="Percent"/>
    <tableColumn id="5" name="DIESEL HYBRID PHEV" dataDxfId="6" dataCellStyle="Percent"/>
    <tableColumn id="6" name="E85" dataDxfId="5" dataCellStyle="Percent"/>
    <tableColumn id="7" name="ELECTRIC" dataDxfId="4" dataCellStyle="Percent"/>
    <tableColumn id="8" name="FUEL CELL H2" dataDxfId="3" dataCellStyle="Percent"/>
    <tableColumn id="9" name="LPG" dataDxfId="2" dataCellStyle="Percent"/>
    <tableColumn id="10" name="PETROL" dataDxfId="1" dataCellStyle="Percent"/>
    <tableColumn id="11" name="PETROL HYBRID CS" dataDxfId="0" dataCellStyle="Percent"/>
    <tableColumn id="12" name="PETROL HYBRID PHEV"/>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ps.vlaanderen.be/lokaal/burgemeestersconvenant/burgemeestersconvenant.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8.bin"/></Relationships>
</file>

<file path=xl/worksheets/_rels/sheet27.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9.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7.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omments" Target="../comments8.xml"/></Relationships>
</file>

<file path=xl/worksheets/_rels/sheet31.xml.rels><?xml version="1.0" encoding="UTF-8" standalone="yes"?>
<Relationships xmlns="http://schemas.openxmlformats.org/package/2006/relationships"><Relationship Id="rId8" Type="http://schemas.openxmlformats.org/officeDocument/2006/relationships/hyperlink" Target="https://ec.europa.eu/jrc/en/publication/covenant-mayors-climate-and-energy-default-emission-factors-local-emission-inventories-version-2017" TargetMode="External"/><Relationship Id="rId3" Type="http://schemas.openxmlformats.org/officeDocument/2006/relationships/hyperlink" Target="http://www4.vlaanderen.be/dar/svr/Pages/2011-01-24-studiedag-projecties.aspx" TargetMode="External"/><Relationship Id="rId7" Type="http://schemas.openxmlformats.org/officeDocument/2006/relationships/hyperlink" Target="mailto:kaat.jespers@vito.be" TargetMode="External"/><Relationship Id="rId2" Type="http://schemas.openxmlformats.org/officeDocument/2006/relationships/hyperlink" Target="mailto:toon.lenaerts@infrax.be" TargetMode="External"/><Relationship Id="rId1" Type="http://schemas.openxmlformats.org/officeDocument/2006/relationships/hyperlink" Target="mailto:Sander.VanHerzeele@eandis.be" TargetMode="External"/><Relationship Id="rId6" Type="http://schemas.openxmlformats.org/officeDocument/2006/relationships/hyperlink" Target="mailto:kaat.jespers@vito.be" TargetMode="External"/><Relationship Id="rId5" Type="http://schemas.openxmlformats.org/officeDocument/2006/relationships/hyperlink" Target="mailto:marlies.vanhulsel@vito.be" TargetMode="External"/><Relationship Id="rId10" Type="http://schemas.openxmlformats.org/officeDocument/2006/relationships/printerSettings" Target="../printerSettings/printerSettings22.bin"/><Relationship Id="rId4" Type="http://schemas.openxmlformats.org/officeDocument/2006/relationships/hyperlink" Target="mailto:marlies.vanhulsel@vito.be" TargetMode="External"/><Relationship Id="rId9" Type="http://schemas.openxmlformats.org/officeDocument/2006/relationships/hyperlink" Target="mailto:tine.tanghe@vea.be"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G38"/>
  <sheetViews>
    <sheetView showGridLines="0" tabSelected="1" zoomScaleNormal="100" workbookViewId="0">
      <selection activeCell="B11" sqref="B11"/>
    </sheetView>
  </sheetViews>
  <sheetFormatPr defaultRowHeight="15"/>
  <cols>
    <col min="1" max="1" width="51" customWidth="1"/>
    <col min="2" max="2" width="81.5703125" customWidth="1"/>
    <col min="3" max="3" width="140.5703125" customWidth="1"/>
  </cols>
  <sheetData>
    <row r="1" spans="1:7" ht="15.75" thickBot="1"/>
    <row r="2" spans="1:7" s="382" customFormat="1" ht="20.25" customHeight="1">
      <c r="A2" s="394" t="s">
        <v>665</v>
      </c>
      <c r="B2" s="395"/>
      <c r="C2" s="396"/>
    </row>
    <row r="3" spans="1:7" s="11" customFormat="1" ht="15" customHeight="1">
      <c r="A3" s="93"/>
      <c r="B3" s="74"/>
      <c r="C3" s="94"/>
    </row>
    <row r="4" spans="1:7" s="11" customFormat="1" ht="15.75" customHeight="1" thickBot="1">
      <c r="A4" s="105" t="s">
        <v>904</v>
      </c>
      <c r="B4" s="106"/>
      <c r="C4" s="107"/>
    </row>
    <row r="5" spans="1:7" s="389" customFormat="1" ht="15.75" customHeight="1">
      <c r="A5" s="386" t="s">
        <v>0</v>
      </c>
      <c r="B5" s="387"/>
      <c r="C5" s="388"/>
    </row>
    <row r="6" spans="1:7" s="389" customFormat="1" ht="15" customHeight="1">
      <c r="A6" s="390" t="str">
        <f>txtNIS</f>
        <v>11030</v>
      </c>
      <c r="B6" s="391"/>
      <c r="C6" s="392"/>
    </row>
    <row r="7" spans="1:7" s="389" customFormat="1" ht="15.75" customHeight="1">
      <c r="A7" s="393" t="str">
        <f>txtMunicipality</f>
        <v>NIEL</v>
      </c>
      <c r="B7" s="391"/>
      <c r="C7" s="392"/>
    </row>
    <row r="8" spans="1:7" ht="15.75" thickBot="1">
      <c r="A8" s="45"/>
      <c r="B8" s="108"/>
      <c r="C8" s="109"/>
    </row>
    <row r="9" spans="1:7" s="382" customFormat="1" ht="15.75" thickBot="1">
      <c r="A9" s="406" t="s">
        <v>356</v>
      </c>
      <c r="B9" s="409"/>
      <c r="C9" s="410"/>
    </row>
    <row r="10" spans="1:7" s="15" customFormat="1" ht="57.75" customHeight="1" thickBot="1">
      <c r="A10" s="1074" t="s">
        <v>683</v>
      </c>
      <c r="B10" s="1075"/>
      <c r="C10" s="1076"/>
    </row>
    <row r="11" spans="1:7" s="383" customFormat="1" ht="15.75" thickBot="1">
      <c r="A11" s="406" t="s">
        <v>358</v>
      </c>
      <c r="B11" s="409"/>
      <c r="C11" s="410"/>
      <c r="G11" s="384"/>
    </row>
    <row r="12" spans="1:7">
      <c r="A12" s="44"/>
      <c r="B12" s="43"/>
      <c r="C12" s="96"/>
    </row>
    <row r="13" spans="1:7" s="383" customFormat="1">
      <c r="A13" s="753" t="s">
        <v>625</v>
      </c>
      <c r="B13" s="380"/>
      <c r="C13" s="381"/>
      <c r="D13" s="382"/>
      <c r="E13" s="382"/>
      <c r="G13" s="384"/>
    </row>
    <row r="14" spans="1:7" s="383" customFormat="1">
      <c r="A14" s="385"/>
      <c r="B14" s="380"/>
      <c r="C14" s="381"/>
      <c r="D14" s="382"/>
      <c r="E14" s="382"/>
      <c r="G14" s="384"/>
    </row>
    <row r="15" spans="1:7" s="15" customFormat="1" ht="15.75" thickBot="1">
      <c r="A15" s="97"/>
      <c r="B15" s="43"/>
      <c r="C15" s="96"/>
      <c r="D15"/>
      <c r="E15"/>
      <c r="G15" s="68"/>
    </row>
    <row r="16" spans="1:7" s="382" customFormat="1" ht="32.25" customHeight="1" thickBot="1">
      <c r="A16" s="406" t="s">
        <v>359</v>
      </c>
      <c r="B16" s="1077" t="s">
        <v>529</v>
      </c>
      <c r="C16" s="1078"/>
    </row>
    <row r="17" spans="1:3" s="15" customFormat="1" ht="15.75">
      <c r="A17" s="98"/>
      <c r="B17" s="70"/>
      <c r="C17" s="99"/>
    </row>
    <row r="18" spans="1:3">
      <c r="A18" s="95" t="s">
        <v>362</v>
      </c>
      <c r="B18" s="69" t="s">
        <v>374</v>
      </c>
      <c r="C18" s="100" t="s">
        <v>373</v>
      </c>
    </row>
    <row r="19" spans="1:3" s="336" customFormat="1">
      <c r="A19" s="373" t="s">
        <v>360</v>
      </c>
      <c r="B19" s="374" t="s">
        <v>684</v>
      </c>
      <c r="C19" s="375" t="s">
        <v>527</v>
      </c>
    </row>
    <row r="20" spans="1:3" s="336" customFormat="1">
      <c r="A20" s="376"/>
      <c r="B20" s="333"/>
      <c r="C20" s="377"/>
    </row>
    <row r="21" spans="1:3" s="336" customFormat="1">
      <c r="A21" s="378" t="s">
        <v>361</v>
      </c>
      <c r="B21" s="374" t="s">
        <v>524</v>
      </c>
      <c r="C21" s="375" t="s">
        <v>528</v>
      </c>
    </row>
    <row r="22" spans="1:3" s="336" customFormat="1">
      <c r="A22" s="379"/>
      <c r="B22" s="333"/>
      <c r="C22" s="377"/>
    </row>
    <row r="23" spans="1:3" s="336" customFormat="1" ht="30">
      <c r="A23" s="373" t="s">
        <v>441</v>
      </c>
      <c r="B23" s="443" t="s">
        <v>445</v>
      </c>
      <c r="C23" s="375" t="s">
        <v>525</v>
      </c>
    </row>
    <row r="24" spans="1:3" s="336" customFormat="1">
      <c r="A24" s="379"/>
      <c r="B24" s="333"/>
      <c r="C24" s="377"/>
    </row>
    <row r="25" spans="1:3" s="336" customFormat="1">
      <c r="A25" s="373" t="s">
        <v>443</v>
      </c>
      <c r="B25" s="374" t="s">
        <v>442</v>
      </c>
      <c r="C25" s="375" t="s">
        <v>526</v>
      </c>
    </row>
    <row r="26" spans="1:3" s="336" customFormat="1">
      <c r="A26" s="379"/>
      <c r="B26" s="333"/>
      <c r="C26" s="377"/>
    </row>
    <row r="27" spans="1:3" s="336" customFormat="1">
      <c r="A27" s="373" t="s">
        <v>415</v>
      </c>
      <c r="B27" s="374" t="s">
        <v>440</v>
      </c>
      <c r="C27" s="375"/>
    </row>
    <row r="28" spans="1:3" s="336" customFormat="1">
      <c r="A28" s="379"/>
      <c r="B28" s="333" t="s">
        <v>582</v>
      </c>
      <c r="C28" s="377"/>
    </row>
    <row r="29" spans="1:3" ht="15.75" thickBot="1">
      <c r="A29" s="44"/>
      <c r="B29" s="43"/>
      <c r="C29" s="96"/>
    </row>
    <row r="30" spans="1:3" s="382" customFormat="1" ht="15.75" thickBot="1">
      <c r="A30" s="406" t="s">
        <v>371</v>
      </c>
      <c r="B30" s="407"/>
      <c r="C30" s="408"/>
    </row>
    <row r="31" spans="1:3" s="15" customFormat="1" ht="15.75">
      <c r="A31" s="98"/>
      <c r="B31" s="71"/>
      <c r="C31" s="102"/>
    </row>
    <row r="32" spans="1:3" s="15" customFormat="1">
      <c r="A32" s="103" t="s">
        <v>372</v>
      </c>
      <c r="B32" s="73" t="s">
        <v>374</v>
      </c>
      <c r="C32" s="104"/>
    </row>
    <row r="33" spans="1:3" s="400" customFormat="1">
      <c r="A33" s="397" t="s">
        <v>363</v>
      </c>
      <c r="B33" s="398" t="s">
        <v>375</v>
      </c>
      <c r="C33" s="399"/>
    </row>
    <row r="34" spans="1:3" s="400" customFormat="1">
      <c r="A34" s="401" t="s">
        <v>364</v>
      </c>
      <c r="B34" s="402" t="s">
        <v>365</v>
      </c>
      <c r="C34" s="403"/>
    </row>
    <row r="35" spans="1:3" s="400" customFormat="1">
      <c r="A35" s="404" t="s">
        <v>366</v>
      </c>
      <c r="B35" s="402" t="s">
        <v>367</v>
      </c>
      <c r="C35" s="403"/>
    </row>
    <row r="36" spans="1:3" s="400" customFormat="1">
      <c r="A36" s="405" t="s">
        <v>368</v>
      </c>
      <c r="B36" s="402" t="s">
        <v>369</v>
      </c>
      <c r="C36" s="403"/>
    </row>
    <row r="37" spans="1:3" s="400" customFormat="1" ht="30">
      <c r="A37" s="431" t="s">
        <v>370</v>
      </c>
      <c r="B37" s="402" t="s">
        <v>473</v>
      </c>
      <c r="C37" s="403"/>
    </row>
    <row r="38" spans="1:3" ht="15.75" thickBot="1">
      <c r="A38" s="432"/>
      <c r="B38" s="433"/>
      <c r="C38" s="434"/>
    </row>
  </sheetData>
  <mergeCells count="2">
    <mergeCell ref="A10:C10"/>
    <mergeCell ref="B16:C16"/>
  </mergeCells>
  <hyperlinks>
    <hyperlink ref="A19" location="'OUTPUT--&gt;'!A1" display="OUTPUT--&gt;"/>
    <hyperlink ref="A21" location="'INPUT--&gt;'!A1" display="'INPUT--&gt;"/>
    <hyperlink ref="A23" location="'DATA--&gt;'!A1" display="DATA--&gt;"/>
    <hyperlink ref="A27" location="'BRONNEN --&gt;'!A1" display="BRONNEN--&gt;"/>
    <hyperlink ref="A25" location="'BEREKENINGEN PER SECTOR --&gt;'!A1" display="BEREKENINGEN PER SECTOR --&gt;"/>
    <hyperlink ref="A13" r:id="rId1"/>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8"/>
  </sheetPr>
  <dimension ref="A1:P19"/>
  <sheetViews>
    <sheetView showGridLines="0" zoomScaleNormal="100" workbookViewId="0">
      <selection activeCell="E30" sqref="E3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6.5703125" style="450" bestFit="1" customWidth="1"/>
    <col min="8" max="8" width="8.14062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26.42578125" style="450" bestFit="1"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467"/>
      <c r="B4" s="465"/>
      <c r="C4" s="497"/>
      <c r="D4" s="497"/>
      <c r="E4" s="497"/>
      <c r="F4" s="497"/>
      <c r="G4" s="497"/>
      <c r="H4" s="497"/>
      <c r="I4" s="497"/>
      <c r="J4" s="497"/>
      <c r="K4" s="497"/>
      <c r="L4" s="497"/>
      <c r="M4" s="497"/>
      <c r="N4" s="497"/>
      <c r="O4" s="497"/>
      <c r="P4" s="497"/>
    </row>
    <row r="5" spans="1:16" outlineLevel="1">
      <c r="A5" s="467"/>
      <c r="B5" s="465"/>
      <c r="C5" s="497"/>
      <c r="D5" s="497"/>
      <c r="E5" s="497"/>
      <c r="F5" s="497"/>
      <c r="G5" s="497"/>
      <c r="H5" s="497"/>
      <c r="I5" s="497"/>
      <c r="J5" s="497"/>
      <c r="K5" s="497"/>
      <c r="L5" s="497"/>
      <c r="M5" s="497"/>
      <c r="N5" s="497"/>
      <c r="O5" s="497"/>
      <c r="P5" s="497"/>
    </row>
    <row r="6" spans="1:16" outlineLevel="1">
      <c r="A6" s="467"/>
      <c r="B6" s="465"/>
      <c r="C6" s="497"/>
      <c r="D6" s="497"/>
      <c r="E6" s="497"/>
      <c r="F6" s="497"/>
      <c r="G6" s="497"/>
      <c r="H6" s="497"/>
      <c r="I6" s="497"/>
      <c r="J6" s="497"/>
      <c r="K6" s="497"/>
      <c r="L6" s="497"/>
      <c r="M6" s="497"/>
      <c r="N6" s="497"/>
      <c r="O6" s="497"/>
      <c r="P6" s="497"/>
    </row>
    <row r="7" spans="1:16" outlineLevel="1">
      <c r="A7" s="467"/>
      <c r="B7" s="465"/>
      <c r="C7" s="497"/>
      <c r="D7" s="497"/>
      <c r="E7" s="497"/>
      <c r="F7" s="497"/>
      <c r="G7" s="497"/>
      <c r="H7" s="497"/>
      <c r="I7" s="497"/>
      <c r="J7" s="497"/>
      <c r="K7" s="497"/>
      <c r="L7" s="497"/>
      <c r="M7" s="497"/>
      <c r="N7" s="497"/>
      <c r="O7" s="497"/>
      <c r="P7" s="497"/>
    </row>
    <row r="8" spans="1:16" outlineLevel="1">
      <c r="A8" s="670"/>
      <c r="B8" s="465"/>
      <c r="C8" s="497"/>
      <c r="D8" s="497"/>
      <c r="E8" s="497"/>
      <c r="F8" s="497"/>
      <c r="G8" s="497"/>
      <c r="H8" s="497"/>
      <c r="I8" s="497"/>
      <c r="J8" s="497"/>
      <c r="K8" s="497"/>
      <c r="L8" s="497"/>
      <c r="M8" s="497"/>
      <c r="N8" s="497"/>
      <c r="O8" s="497"/>
      <c r="P8" s="497"/>
    </row>
    <row r="9" spans="1:16" outlineLevel="1">
      <c r="A9" s="467"/>
      <c r="B9" s="465"/>
      <c r="C9" s="497"/>
      <c r="D9" s="497"/>
      <c r="E9" s="497"/>
      <c r="F9" s="497"/>
      <c r="G9" s="497"/>
      <c r="H9" s="497"/>
      <c r="I9" s="497"/>
      <c r="J9" s="497"/>
      <c r="K9" s="497"/>
      <c r="L9" s="497"/>
      <c r="M9" s="497"/>
      <c r="N9" s="497"/>
      <c r="O9" s="497"/>
      <c r="P9" s="497"/>
    </row>
    <row r="10" spans="1:16" outlineLevel="1">
      <c r="A10" s="467"/>
      <c r="B10" s="465"/>
      <c r="C10" s="497"/>
      <c r="D10" s="497"/>
      <c r="E10" s="497"/>
      <c r="F10" s="497"/>
      <c r="G10" s="497"/>
      <c r="H10" s="497"/>
      <c r="I10" s="497"/>
      <c r="J10" s="497"/>
      <c r="K10" s="497"/>
      <c r="L10" s="497"/>
      <c r="M10" s="497"/>
      <c r="N10" s="497"/>
      <c r="O10" s="497"/>
      <c r="P10" s="497"/>
    </row>
    <row r="11" spans="1:16" outlineLevel="1">
      <c r="A11" s="467"/>
      <c r="B11" s="465"/>
      <c r="C11" s="497"/>
      <c r="D11" s="497"/>
      <c r="E11" s="497"/>
      <c r="F11" s="497"/>
      <c r="G11" s="497"/>
      <c r="H11" s="497"/>
      <c r="I11" s="497"/>
      <c r="J11" s="497"/>
      <c r="K11" s="497"/>
      <c r="L11" s="497"/>
      <c r="M11" s="497"/>
      <c r="N11" s="497"/>
      <c r="O11" s="497"/>
      <c r="P11" s="497"/>
    </row>
    <row r="12" spans="1:16" ht="15.75" outlineLevel="1" thickBot="1">
      <c r="A12" s="467"/>
      <c r="B12" s="465"/>
      <c r="C12" s="497"/>
      <c r="D12" s="497"/>
      <c r="E12" s="497"/>
      <c r="F12" s="497"/>
      <c r="G12" s="497"/>
      <c r="H12" s="497"/>
      <c r="I12" s="497"/>
      <c r="J12" s="497"/>
      <c r="K12" s="497"/>
      <c r="L12" s="497"/>
      <c r="M12" s="497"/>
      <c r="N12" s="497"/>
      <c r="O12" s="497"/>
      <c r="P12" s="497"/>
    </row>
    <row r="13" spans="1:16" ht="25.5" customHeight="1" outlineLevel="1" thickBot="1">
      <c r="A13" s="468" t="s">
        <v>585</v>
      </c>
      <c r="B13" s="452"/>
      <c r="C13" s="469"/>
      <c r="D13" s="469"/>
      <c r="E13" s="469"/>
      <c r="F13" s="469"/>
      <c r="G13" s="469"/>
      <c r="H13" s="469"/>
      <c r="I13" s="469"/>
      <c r="J13" s="469"/>
      <c r="K13" s="469"/>
      <c r="L13" s="469"/>
      <c r="M13" s="469"/>
      <c r="N13" s="469"/>
      <c r="O13" s="1198"/>
      <c r="P13" s="1198"/>
    </row>
    <row r="14" spans="1:16" outlineLevel="1">
      <c r="A14" s="467"/>
      <c r="B14" s="52"/>
      <c r="C14" s="497"/>
      <c r="D14" s="497"/>
      <c r="E14" s="497"/>
      <c r="F14" s="497"/>
      <c r="G14" s="497"/>
      <c r="H14" s="497"/>
      <c r="I14" s="497"/>
      <c r="J14" s="497"/>
      <c r="K14" s="497"/>
      <c r="L14" s="497"/>
      <c r="M14" s="497"/>
      <c r="N14" s="497"/>
      <c r="O14" s="497"/>
      <c r="P14" s="497"/>
    </row>
    <row r="15" spans="1:16" s="461" customFormat="1" outlineLevel="1">
      <c r="A15" s="470" t="s">
        <v>305</v>
      </c>
      <c r="B15" s="471">
        <f>SUM(B4:B12)</f>
        <v>0</v>
      </c>
      <c r="C15" s="472"/>
      <c r="D15" s="472"/>
      <c r="E15" s="472"/>
      <c r="F15" s="472"/>
      <c r="G15" s="472"/>
      <c r="H15" s="472"/>
      <c r="I15" s="472"/>
      <c r="J15" s="472"/>
      <c r="K15" s="472"/>
      <c r="L15" s="472"/>
      <c r="M15" s="472"/>
      <c r="N15" s="472"/>
      <c r="O15" s="473"/>
      <c r="P15" s="473"/>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0.19834478833015273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c r="D19" s="476"/>
      <c r="E19" s="476"/>
      <c r="F19" s="476"/>
      <c r="G19" s="476"/>
      <c r="H19" s="476"/>
      <c r="I19" s="476"/>
      <c r="J19" s="476"/>
      <c r="K19" s="476"/>
      <c r="L19" s="476"/>
      <c r="M19" s="476"/>
      <c r="N19" s="476"/>
      <c r="O19" s="476"/>
      <c r="P19" s="476"/>
    </row>
  </sheetData>
  <mergeCells count="7">
    <mergeCell ref="O13:P13"/>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sheetPr>
  <dimension ref="A1:P31"/>
  <sheetViews>
    <sheetView showGridLines="0" workbookViewId="0">
      <selection activeCell="M27" sqref="M27"/>
    </sheetView>
  </sheetViews>
  <sheetFormatPr defaultColWidth="9.140625" defaultRowHeight="15"/>
  <cols>
    <col min="1" max="1" width="34.7109375" style="450" customWidth="1"/>
    <col min="2" max="2" width="14.140625" style="450" customWidth="1"/>
    <col min="3" max="3" width="16.42578125" style="450" customWidth="1"/>
    <col min="4" max="4" width="15" style="450" customWidth="1"/>
    <col min="5" max="5" width="13.85546875" style="450" customWidth="1"/>
    <col min="6" max="6" width="14.85546875" style="450" customWidth="1"/>
    <col min="7" max="7" width="14.7109375" style="450" customWidth="1"/>
    <col min="8" max="8" width="14.28515625" style="450"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16.140625" style="450" customWidth="1"/>
    <col min="16" max="16" width="17.5703125" style="450" customWidth="1"/>
    <col min="17" max="17" width="9.140625" style="450"/>
    <col min="18" max="18" width="20.42578125" style="450" customWidth="1"/>
    <col min="19" max="16384" width="9.140625" style="450"/>
  </cols>
  <sheetData>
    <row r="1" spans="1:16" ht="15.75" customHeight="1" thickTop="1" thickBot="1">
      <c r="A1" s="1191" t="s">
        <v>327</v>
      </c>
      <c r="B1" s="1192" t="s">
        <v>194</v>
      </c>
      <c r="C1" s="1193"/>
      <c r="D1" s="1193"/>
      <c r="E1" s="1193"/>
      <c r="F1" s="1193"/>
      <c r="G1" s="1193"/>
      <c r="H1" s="1193"/>
      <c r="I1" s="1193"/>
      <c r="J1" s="1193"/>
      <c r="K1" s="1193"/>
      <c r="L1" s="1193"/>
      <c r="M1" s="1193"/>
      <c r="N1" s="1193"/>
      <c r="O1" s="1193"/>
      <c r="P1" s="1193"/>
    </row>
    <row r="2" spans="1:16" ht="15" customHeight="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c r="B4" s="465"/>
      <c r="C4" s="497"/>
      <c r="D4" s="466"/>
      <c r="E4" s="466"/>
      <c r="F4" s="497"/>
      <c r="G4" s="466"/>
      <c r="H4" s="466"/>
      <c r="I4" s="497"/>
      <c r="J4" s="497"/>
      <c r="K4" s="497"/>
      <c r="L4" s="497"/>
      <c r="M4" s="497"/>
      <c r="N4" s="497"/>
      <c r="O4" s="497"/>
      <c r="P4" s="497"/>
    </row>
    <row r="5" spans="1:16">
      <c r="B5" s="465"/>
      <c r="C5" s="52"/>
      <c r="D5" s="465"/>
      <c r="E5" s="465"/>
      <c r="F5" s="52"/>
      <c r="G5" s="465"/>
      <c r="H5" s="465"/>
      <c r="I5" s="52"/>
      <c r="J5" s="52"/>
      <c r="K5" s="52"/>
      <c r="L5" s="52"/>
      <c r="M5" s="52"/>
      <c r="N5" s="52"/>
      <c r="O5" s="52"/>
      <c r="P5" s="52"/>
    </row>
    <row r="6" spans="1:16">
      <c r="B6" s="465"/>
      <c r="C6" s="52"/>
      <c r="D6" s="465"/>
      <c r="E6" s="465"/>
      <c r="F6" s="52"/>
      <c r="G6" s="465"/>
      <c r="H6" s="465"/>
      <c r="I6" s="52"/>
      <c r="J6" s="52"/>
      <c r="K6" s="52"/>
      <c r="L6" s="52"/>
      <c r="M6" s="52"/>
      <c r="N6" s="52"/>
      <c r="O6" s="52"/>
      <c r="P6" s="52"/>
    </row>
    <row r="7" spans="1:16">
      <c r="B7" s="465"/>
      <c r="C7" s="52"/>
      <c r="D7" s="465"/>
      <c r="E7" s="465"/>
      <c r="F7" s="52"/>
      <c r="G7" s="465"/>
      <c r="H7" s="465"/>
      <c r="I7" s="52"/>
      <c r="J7" s="52"/>
      <c r="K7" s="52"/>
      <c r="L7" s="52"/>
      <c r="M7" s="52"/>
      <c r="N7" s="52"/>
      <c r="O7" s="52"/>
      <c r="P7" s="52"/>
    </row>
    <row r="8" spans="1:16">
      <c r="A8" s="461"/>
      <c r="B8" s="465"/>
      <c r="C8" s="52"/>
      <c r="D8" s="465"/>
      <c r="E8" s="465"/>
      <c r="F8" s="52"/>
      <c r="G8" s="465"/>
      <c r="H8" s="465"/>
      <c r="I8" s="52"/>
      <c r="J8" s="52"/>
      <c r="K8" s="52"/>
      <c r="L8" s="52"/>
      <c r="M8" s="52"/>
      <c r="N8" s="52"/>
      <c r="O8" s="52"/>
      <c r="P8" s="52"/>
    </row>
    <row r="9" spans="1:16">
      <c r="B9" s="465"/>
      <c r="C9" s="52"/>
      <c r="D9" s="465"/>
      <c r="E9" s="465"/>
      <c r="F9" s="52"/>
      <c r="G9" s="465"/>
      <c r="H9" s="465"/>
      <c r="I9" s="52"/>
      <c r="J9" s="52"/>
      <c r="K9" s="52"/>
      <c r="L9" s="52"/>
      <c r="M9" s="52"/>
      <c r="N9" s="52"/>
      <c r="O9" s="52"/>
      <c r="P9" s="52"/>
    </row>
    <row r="10" spans="1:16">
      <c r="B10" s="465"/>
      <c r="C10" s="52"/>
      <c r="D10" s="465"/>
      <c r="E10" s="465"/>
      <c r="F10" s="52"/>
      <c r="G10" s="465"/>
      <c r="H10" s="465"/>
      <c r="I10" s="52"/>
      <c r="J10" s="52"/>
      <c r="K10" s="52"/>
      <c r="L10" s="52"/>
      <c r="M10" s="52"/>
      <c r="N10" s="52"/>
      <c r="O10" s="52"/>
      <c r="P10" s="52"/>
    </row>
    <row r="11" spans="1:16">
      <c r="B11" s="465"/>
      <c r="C11" s="52"/>
      <c r="D11" s="465"/>
      <c r="E11" s="465"/>
      <c r="F11" s="52"/>
      <c r="G11" s="465"/>
      <c r="H11" s="465"/>
      <c r="I11" s="52"/>
      <c r="J11" s="52"/>
      <c r="K11" s="52"/>
      <c r="L11" s="52"/>
      <c r="M11" s="52"/>
      <c r="N11" s="52"/>
      <c r="O11" s="52"/>
      <c r="P11" s="52"/>
    </row>
    <row r="12" spans="1:16">
      <c r="B12" s="465"/>
      <c r="C12" s="52"/>
      <c r="D12" s="465"/>
      <c r="E12" s="465"/>
      <c r="F12" s="52"/>
      <c r="G12" s="465"/>
      <c r="H12" s="465"/>
      <c r="I12" s="52"/>
      <c r="J12" s="52"/>
      <c r="K12" s="52"/>
      <c r="L12" s="52"/>
      <c r="M12" s="52"/>
      <c r="N12" s="52"/>
      <c r="O12" s="52"/>
      <c r="P12" s="52"/>
    </row>
    <row r="13" spans="1:16">
      <c r="B13" s="465"/>
      <c r="C13" s="52"/>
      <c r="D13" s="465"/>
      <c r="E13" s="465"/>
      <c r="F13" s="52"/>
      <c r="G13" s="465"/>
      <c r="H13" s="465"/>
      <c r="I13" s="52"/>
      <c r="J13" s="52"/>
      <c r="K13" s="52"/>
      <c r="L13" s="52"/>
      <c r="M13" s="52"/>
      <c r="N13" s="52"/>
      <c r="O13" s="52"/>
      <c r="P13" s="52"/>
    </row>
    <row r="14" spans="1:16">
      <c r="B14" s="465"/>
      <c r="C14" s="52"/>
      <c r="D14" s="465"/>
      <c r="E14" s="465"/>
      <c r="F14" s="52"/>
      <c r="G14" s="465"/>
      <c r="H14" s="465"/>
      <c r="I14" s="52"/>
      <c r="J14" s="52"/>
      <c r="K14" s="52"/>
      <c r="L14" s="52"/>
      <c r="M14" s="52"/>
      <c r="N14" s="52"/>
      <c r="O14" s="52"/>
      <c r="P14" s="52"/>
    </row>
    <row r="15" spans="1:16">
      <c r="B15" s="465"/>
      <c r="C15" s="52"/>
      <c r="D15" s="465"/>
      <c r="E15" s="465"/>
      <c r="F15" s="52"/>
      <c r="G15" s="465"/>
      <c r="H15" s="465"/>
      <c r="I15" s="52"/>
      <c r="J15" s="52"/>
      <c r="K15" s="52"/>
      <c r="L15" s="52"/>
      <c r="M15" s="52"/>
      <c r="N15" s="52"/>
      <c r="O15" s="52"/>
      <c r="P15" s="52"/>
    </row>
    <row r="16" spans="1:16">
      <c r="B16" s="465"/>
      <c r="C16" s="52"/>
      <c r="D16" s="465"/>
      <c r="E16" s="465"/>
      <c r="F16" s="52"/>
      <c r="G16" s="465"/>
      <c r="H16" s="465"/>
      <c r="I16" s="52"/>
      <c r="J16" s="52"/>
      <c r="K16" s="52"/>
      <c r="L16" s="52"/>
      <c r="M16" s="52"/>
      <c r="N16" s="52"/>
      <c r="O16" s="52"/>
      <c r="P16" s="52"/>
    </row>
    <row r="17" spans="1:16">
      <c r="B17" s="465"/>
      <c r="C17" s="52"/>
      <c r="D17" s="465"/>
      <c r="E17" s="465"/>
      <c r="F17" s="52"/>
      <c r="G17" s="465"/>
      <c r="H17" s="465"/>
      <c r="I17" s="52"/>
      <c r="J17" s="52"/>
      <c r="K17" s="52"/>
      <c r="L17" s="52"/>
      <c r="M17" s="52"/>
      <c r="N17" s="52"/>
      <c r="O17" s="52"/>
      <c r="P17" s="52"/>
    </row>
    <row r="18" spans="1:16">
      <c r="B18" s="465"/>
      <c r="C18" s="52"/>
      <c r="D18" s="465"/>
      <c r="E18" s="465"/>
      <c r="F18" s="52"/>
      <c r="G18" s="465"/>
      <c r="H18" s="465"/>
      <c r="I18" s="52"/>
      <c r="J18" s="52"/>
      <c r="K18" s="52"/>
      <c r="L18" s="52"/>
      <c r="M18" s="52"/>
      <c r="N18" s="52"/>
      <c r="O18" s="52"/>
      <c r="P18" s="52"/>
    </row>
    <row r="19" spans="1:16">
      <c r="B19" s="465"/>
      <c r="C19" s="52"/>
      <c r="D19" s="465"/>
      <c r="E19" s="465"/>
      <c r="F19" s="52"/>
      <c r="G19" s="465"/>
      <c r="H19" s="465"/>
      <c r="I19" s="52"/>
      <c r="J19" s="52"/>
      <c r="K19" s="52"/>
      <c r="L19" s="52"/>
      <c r="M19" s="52"/>
      <c r="N19" s="52"/>
      <c r="O19" s="52"/>
      <c r="P19" s="52"/>
    </row>
    <row r="20" spans="1:16">
      <c r="B20" s="465"/>
      <c r="C20" s="52"/>
      <c r="D20" s="465"/>
      <c r="E20" s="465"/>
      <c r="F20" s="52"/>
      <c r="G20" s="465"/>
      <c r="H20" s="465"/>
      <c r="I20" s="52"/>
      <c r="J20" s="52"/>
      <c r="K20" s="52"/>
      <c r="L20" s="52"/>
      <c r="M20" s="52"/>
      <c r="N20" s="52"/>
      <c r="O20" s="52"/>
      <c r="P20" s="52"/>
    </row>
    <row r="21" spans="1:16">
      <c r="B21" s="465"/>
      <c r="C21" s="52"/>
      <c r="D21" s="465"/>
      <c r="E21" s="465"/>
      <c r="F21" s="52"/>
      <c r="G21" s="465"/>
      <c r="H21" s="465"/>
      <c r="I21" s="52"/>
      <c r="J21" s="52"/>
      <c r="K21" s="52"/>
      <c r="L21" s="52"/>
      <c r="M21" s="52"/>
      <c r="N21" s="52"/>
      <c r="O21" s="52"/>
      <c r="P21" s="52"/>
    </row>
    <row r="22" spans="1:16">
      <c r="B22" s="465"/>
      <c r="C22" s="52"/>
      <c r="D22" s="465"/>
      <c r="E22" s="465"/>
      <c r="F22" s="52"/>
      <c r="G22" s="465"/>
      <c r="H22" s="465"/>
      <c r="I22" s="52"/>
      <c r="J22" s="52"/>
      <c r="K22" s="52"/>
      <c r="L22" s="52"/>
      <c r="M22" s="52"/>
      <c r="N22" s="52"/>
      <c r="O22" s="52"/>
      <c r="P22" s="52"/>
    </row>
    <row r="23" spans="1:16" ht="15.75" thickBot="1">
      <c r="B23" s="465"/>
      <c r="C23" s="52"/>
      <c r="D23" s="465"/>
      <c r="E23" s="465"/>
      <c r="F23" s="52"/>
      <c r="G23" s="465"/>
      <c r="H23" s="465"/>
      <c r="I23" s="52"/>
      <c r="J23" s="52"/>
      <c r="K23" s="52"/>
      <c r="L23" s="52"/>
      <c r="M23" s="52"/>
      <c r="N23" s="52"/>
      <c r="O23" s="52"/>
      <c r="P23" s="52"/>
    </row>
    <row r="24" spans="1:16" ht="15.75" thickBot="1">
      <c r="A24" s="468" t="s">
        <v>585</v>
      </c>
    </row>
    <row r="26" spans="1:16" s="461" customFormat="1">
      <c r="A26" s="470" t="s">
        <v>534</v>
      </c>
      <c r="B26" s="470">
        <f t="shared" ref="B26:H26" si="0">SUM(B4:B23)</f>
        <v>0</v>
      </c>
      <c r="C26" s="470"/>
      <c r="D26" s="470">
        <f t="shared" si="0"/>
        <v>0</v>
      </c>
      <c r="E26" s="470">
        <f t="shared" si="0"/>
        <v>0</v>
      </c>
      <c r="F26" s="470"/>
      <c r="G26" s="470">
        <f t="shared" si="0"/>
        <v>0</v>
      </c>
      <c r="H26" s="470">
        <f t="shared" si="0"/>
        <v>0</v>
      </c>
      <c r="I26" s="470"/>
      <c r="J26" s="470"/>
      <c r="K26" s="470"/>
      <c r="L26" s="470"/>
      <c r="M26" s="470"/>
      <c r="N26" s="470"/>
      <c r="O26" s="470"/>
      <c r="P26" s="470"/>
    </row>
    <row r="27" spans="1:16" s="461" customFormat="1">
      <c r="A27" s="470" t="s">
        <v>603</v>
      </c>
      <c r="B27" s="470">
        <f>B26</f>
        <v>0</v>
      </c>
      <c r="C27" s="470"/>
      <c r="D27" s="470">
        <f>D26</f>
        <v>0</v>
      </c>
      <c r="E27" s="470">
        <f>E26</f>
        <v>0</v>
      </c>
      <c r="F27" s="470"/>
      <c r="G27" s="470">
        <f>(1-transport!C35)*'Eigen vloot'!G26</f>
        <v>0</v>
      </c>
      <c r="H27" s="470">
        <f>(1-transport!C42)*'Eigen vloot'!H26</f>
        <v>0</v>
      </c>
      <c r="I27" s="470"/>
      <c r="J27" s="470"/>
      <c r="K27" s="470"/>
      <c r="L27" s="470"/>
      <c r="M27" s="671">
        <f>G26*transport!C35+'Eigen vloot'!H26*transport!C42</f>
        <v>0</v>
      </c>
      <c r="N27" s="470"/>
      <c r="O27" s="470"/>
      <c r="P27" s="470"/>
    </row>
    <row r="29" spans="1:16">
      <c r="A29" s="475" t="s">
        <v>612</v>
      </c>
      <c r="B29" s="500">
        <f ca="1">'EF ele_warmte'!B12</f>
        <v>0.19834478833015273</v>
      </c>
      <c r="C29" s="500">
        <f ca="1">'EF ele_warmte'!B22</f>
        <v>0</v>
      </c>
      <c r="D29" s="500">
        <f>EF_CO2_aardgas</f>
        <v>0.20200000000000001</v>
      </c>
      <c r="E29" s="500">
        <f>EF_VLgas_CO2</f>
        <v>0.22700000000000001</v>
      </c>
      <c r="F29" s="500">
        <f>EF_stookolie_CO2</f>
        <v>0.26700000000000002</v>
      </c>
      <c r="G29" s="500">
        <f>EF_diesel_CO2</f>
        <v>0.26700000000000002</v>
      </c>
      <c r="H29" s="500">
        <f>EF_benzine_CO2</f>
        <v>0.249</v>
      </c>
      <c r="I29" s="500">
        <f>EF_bruinkool_CO2</f>
        <v>0.35099999999999998</v>
      </c>
      <c r="J29" s="500">
        <f>EF_steenkool_CO2</f>
        <v>0.35399999999999998</v>
      </c>
      <c r="K29" s="500">
        <f>EF_anderfossiel_CO2</f>
        <v>0.26400000000000001</v>
      </c>
      <c r="L29" s="500">
        <f>'EF brandstof'!J4</f>
        <v>0</v>
      </c>
      <c r="M29" s="500">
        <f>'EF brandstof'!K4</f>
        <v>0</v>
      </c>
      <c r="N29" s="500">
        <f>'EF brandstof'!L4</f>
        <v>0</v>
      </c>
      <c r="O29" s="500">
        <v>0</v>
      </c>
      <c r="P29" s="500">
        <v>0</v>
      </c>
    </row>
    <row r="31" spans="1:16">
      <c r="A31" s="470" t="s">
        <v>212</v>
      </c>
      <c r="B31" s="672">
        <f ca="1">B27*B29</f>
        <v>0</v>
      </c>
      <c r="C31" s="672"/>
      <c r="D31" s="672">
        <f>D27*D29</f>
        <v>0</v>
      </c>
      <c r="E31" s="672">
        <f>E27*E29</f>
        <v>0</v>
      </c>
      <c r="F31" s="672"/>
      <c r="G31" s="672">
        <f>G27*G29</f>
        <v>0</v>
      </c>
      <c r="H31" s="672">
        <f>H27*H29</f>
        <v>0</v>
      </c>
      <c r="I31" s="672"/>
      <c r="J31" s="672"/>
      <c r="K31" s="672"/>
      <c r="L31" s="672"/>
      <c r="M31" s="672">
        <f>M27*M29</f>
        <v>0</v>
      </c>
      <c r="N31" s="498"/>
      <c r="O31" s="498"/>
      <c r="P31" s="498"/>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sheetPr>
  <dimension ref="A1:K63"/>
  <sheetViews>
    <sheetView showGridLines="0" topLeftCell="A10" workbookViewId="0">
      <selection activeCell="D44" sqref="D44"/>
    </sheetView>
  </sheetViews>
  <sheetFormatPr defaultRowHeight="15"/>
  <cols>
    <col min="1" max="1" width="54" bestFit="1" customWidth="1"/>
    <col min="2" max="2" width="26" style="450" bestFit="1" customWidth="1"/>
    <col min="3" max="3" width="26" customWidth="1"/>
    <col min="4" max="4" width="69.42578125" customWidth="1"/>
  </cols>
  <sheetData>
    <row r="1" spans="1:11" s="43" customFormat="1" ht="15.75" thickBot="1">
      <c r="B1" s="452"/>
    </row>
    <row r="2" spans="1:11" s="43" customFormat="1">
      <c r="A2" s="184" t="s">
        <v>531</v>
      </c>
      <c r="B2" s="501"/>
      <c r="C2" s="185"/>
      <c r="D2" s="186"/>
    </row>
    <row r="3" spans="1:11">
      <c r="A3" s="101"/>
      <c r="B3" s="502"/>
      <c r="C3" s="141" t="s">
        <v>181</v>
      </c>
      <c r="D3" s="144" t="s">
        <v>390</v>
      </c>
    </row>
    <row r="4" spans="1:11">
      <c r="A4" s="44" t="s">
        <v>446</v>
      </c>
      <c r="B4" s="47"/>
      <c r="C4" s="32"/>
      <c r="D4" s="143" t="s">
        <v>392</v>
      </c>
    </row>
    <row r="5" spans="1:11">
      <c r="A5" s="44"/>
      <c r="B5" s="48"/>
      <c r="C5" s="32"/>
      <c r="D5" s="143"/>
    </row>
    <row r="6" spans="1:11" s="10" customFormat="1" ht="21.75" thickBot="1">
      <c r="A6" s="189" t="s">
        <v>479</v>
      </c>
      <c r="B6" s="503"/>
      <c r="C6" s="190"/>
      <c r="D6" s="191"/>
    </row>
    <row r="7" spans="1:11" s="43" customFormat="1" ht="15.75" thickBot="1">
      <c r="B7" s="452"/>
    </row>
    <row r="8" spans="1:11" s="43" customFormat="1">
      <c r="A8" s="184" t="s">
        <v>544</v>
      </c>
      <c r="B8" s="501"/>
      <c r="C8" s="185"/>
      <c r="D8" s="186"/>
    </row>
    <row r="9" spans="1:11" s="32" customFormat="1">
      <c r="A9" s="46"/>
      <c r="B9" s="504"/>
      <c r="C9" s="42"/>
      <c r="D9" s="301"/>
    </row>
    <row r="10" spans="1:11">
      <c r="A10" s="302" t="s">
        <v>573</v>
      </c>
      <c r="B10" s="502"/>
      <c r="C10" s="141" t="s">
        <v>181</v>
      </c>
      <c r="D10" s="144" t="s">
        <v>390</v>
      </c>
      <c r="I10" s="1199"/>
      <c r="K10" s="58"/>
    </row>
    <row r="11" spans="1:11" s="43" customFormat="1">
      <c r="A11" s="44" t="s">
        <v>574</v>
      </c>
      <c r="B11" s="47"/>
      <c r="D11" s="142" t="s">
        <v>391</v>
      </c>
      <c r="I11" s="1199"/>
      <c r="K11" s="58"/>
    </row>
    <row r="12" spans="1:11" s="43" customFormat="1">
      <c r="A12" s="44" t="s">
        <v>575</v>
      </c>
      <c r="B12" s="47"/>
      <c r="D12" s="142" t="s">
        <v>391</v>
      </c>
      <c r="I12" s="1199"/>
      <c r="K12" s="58"/>
    </row>
    <row r="13" spans="1:11" s="43" customFormat="1">
      <c r="A13" s="44"/>
      <c r="B13" s="452"/>
      <c r="D13" s="96"/>
      <c r="I13" s="1199"/>
    </row>
    <row r="14" spans="1:11" s="43" customFormat="1">
      <c r="A14" s="302" t="s">
        <v>572</v>
      </c>
      <c r="B14" s="502"/>
      <c r="C14" s="141" t="s">
        <v>181</v>
      </c>
      <c r="D14" s="144" t="s">
        <v>390</v>
      </c>
      <c r="I14" s="1199"/>
    </row>
    <row r="15" spans="1:11" s="43" customFormat="1">
      <c r="A15" s="44" t="s">
        <v>70</v>
      </c>
      <c r="B15" s="47"/>
      <c r="D15" s="142" t="s">
        <v>391</v>
      </c>
      <c r="I15" s="1199"/>
      <c r="J15" s="1199"/>
    </row>
    <row r="16" spans="1:11" s="43" customFormat="1">
      <c r="A16" s="44" t="s">
        <v>536</v>
      </c>
      <c r="B16" s="47"/>
      <c r="D16" s="142" t="s">
        <v>391</v>
      </c>
      <c r="I16" s="1199"/>
      <c r="J16" s="1199"/>
    </row>
    <row r="17" spans="1:11" s="43" customFormat="1">
      <c r="A17" s="44" t="s">
        <v>77</v>
      </c>
      <c r="B17" s="47"/>
      <c r="D17" s="142" t="s">
        <v>391</v>
      </c>
      <c r="I17" s="1199"/>
      <c r="J17" s="1199"/>
    </row>
    <row r="18" spans="1:11" s="43" customFormat="1">
      <c r="A18" s="44" t="s">
        <v>537</v>
      </c>
      <c r="B18" s="47"/>
      <c r="D18" s="142" t="s">
        <v>391</v>
      </c>
      <c r="I18" s="1199"/>
      <c r="J18" s="1199"/>
      <c r="K18" s="58"/>
    </row>
    <row r="19" spans="1:11" s="43" customFormat="1">
      <c r="A19" s="44" t="s">
        <v>76</v>
      </c>
      <c r="B19" s="47"/>
      <c r="D19" s="142" t="s">
        <v>391</v>
      </c>
      <c r="I19" s="1199"/>
      <c r="J19" s="1200"/>
      <c r="K19" s="58"/>
    </row>
    <row r="20" spans="1:11" s="43" customFormat="1">
      <c r="A20" s="32" t="s">
        <v>538</v>
      </c>
      <c r="B20" s="47"/>
      <c r="D20" s="142" t="s">
        <v>391</v>
      </c>
      <c r="I20" s="303"/>
      <c r="J20" s="304"/>
      <c r="K20" s="58"/>
    </row>
    <row r="21" spans="1:11" s="43" customFormat="1">
      <c r="A21" s="32" t="s">
        <v>539</v>
      </c>
      <c r="B21" s="47"/>
      <c r="D21" s="142" t="s">
        <v>391</v>
      </c>
      <c r="I21" s="303"/>
      <c r="J21" s="304"/>
      <c r="K21" s="58"/>
    </row>
    <row r="22" spans="1:11" s="43" customFormat="1">
      <c r="A22" s="32" t="s">
        <v>540</v>
      </c>
      <c r="B22" s="47"/>
      <c r="D22" s="142" t="s">
        <v>391</v>
      </c>
      <c r="I22" s="303"/>
      <c r="J22" s="304"/>
      <c r="K22" s="58"/>
    </row>
    <row r="23" spans="1:11">
      <c r="A23" s="32" t="s">
        <v>541</v>
      </c>
      <c r="B23" s="47"/>
      <c r="C23" s="43"/>
      <c r="D23" s="142" t="s">
        <v>391</v>
      </c>
      <c r="I23" s="58"/>
      <c r="J23" s="58"/>
      <c r="K23" s="58"/>
    </row>
    <row r="24" spans="1:11">
      <c r="A24" s="32" t="s">
        <v>542</v>
      </c>
      <c r="B24" s="47"/>
      <c r="C24" s="43"/>
      <c r="D24" s="142" t="s">
        <v>391</v>
      </c>
      <c r="I24" s="58"/>
      <c r="J24" s="58"/>
      <c r="K24" s="58"/>
    </row>
    <row r="25" spans="1:11">
      <c r="A25" s="58"/>
      <c r="B25" s="48"/>
      <c r="C25" s="43"/>
      <c r="D25" s="142"/>
      <c r="I25" s="58"/>
      <c r="J25" s="58"/>
      <c r="K25" s="58"/>
    </row>
    <row r="26" spans="1:11" ht="21.75" thickBot="1">
      <c r="A26" s="189" t="s">
        <v>583</v>
      </c>
      <c r="B26" s="505"/>
      <c r="C26" s="108"/>
      <c r="D26" s="109"/>
      <c r="I26" s="58"/>
      <c r="J26" s="58"/>
      <c r="K26" s="58"/>
    </row>
    <row r="28" spans="1:11" ht="15.75" thickBot="1"/>
    <row r="29" spans="1:11" s="43" customFormat="1">
      <c r="A29" s="184" t="s">
        <v>532</v>
      </c>
      <c r="B29" s="501"/>
      <c r="C29" s="185"/>
      <c r="D29" s="186"/>
    </row>
    <row r="30" spans="1:11" s="32" customFormat="1">
      <c r="A30" s="46"/>
      <c r="B30" s="504"/>
      <c r="C30" s="42"/>
      <c r="D30" s="301"/>
    </row>
    <row r="31" spans="1:11">
      <c r="A31" s="302" t="s">
        <v>573</v>
      </c>
      <c r="B31" s="502"/>
      <c r="C31" s="141" t="s">
        <v>181</v>
      </c>
      <c r="D31" s="144" t="s">
        <v>390</v>
      </c>
    </row>
    <row r="32" spans="1:11">
      <c r="A32" s="442" t="s">
        <v>574</v>
      </c>
      <c r="B32" s="47"/>
      <c r="C32" s="48"/>
      <c r="D32" s="142" t="s">
        <v>391</v>
      </c>
    </row>
    <row r="33" spans="1:11">
      <c r="A33" s="44"/>
      <c r="B33" s="48"/>
      <c r="C33" s="48"/>
      <c r="D33" s="142"/>
    </row>
    <row r="34" spans="1:11" s="43" customFormat="1">
      <c r="A34" s="302" t="s">
        <v>572</v>
      </c>
      <c r="B34" s="502"/>
      <c r="C34" s="141" t="s">
        <v>181</v>
      </c>
      <c r="D34" s="144" t="s">
        <v>390</v>
      </c>
      <c r="I34"/>
    </row>
    <row r="35" spans="1:11" s="43" customFormat="1">
      <c r="A35" s="441" t="s">
        <v>70</v>
      </c>
      <c r="B35" s="47"/>
      <c r="D35" s="142" t="s">
        <v>391</v>
      </c>
      <c r="I35" s="1199"/>
      <c r="J35" s="1199"/>
    </row>
    <row r="36" spans="1:11" s="43" customFormat="1">
      <c r="A36" s="441" t="s">
        <v>536</v>
      </c>
      <c r="B36" s="47"/>
      <c r="D36" s="142" t="s">
        <v>391</v>
      </c>
      <c r="I36" s="1199"/>
      <c r="J36" s="1199"/>
    </row>
    <row r="37" spans="1:11" s="43" customFormat="1">
      <c r="A37" s="441" t="s">
        <v>77</v>
      </c>
      <c r="B37" s="47"/>
      <c r="D37" s="142" t="s">
        <v>391</v>
      </c>
      <c r="I37" s="1199"/>
      <c r="J37" s="1199"/>
    </row>
    <row r="38" spans="1:11" s="43" customFormat="1">
      <c r="A38" s="441" t="s">
        <v>537</v>
      </c>
      <c r="B38" s="47"/>
      <c r="D38" s="142" t="s">
        <v>391</v>
      </c>
      <c r="I38" s="1199"/>
      <c r="J38" s="1199"/>
      <c r="K38" s="58"/>
    </row>
    <row r="39" spans="1:11" s="43" customFormat="1">
      <c r="A39" s="441" t="s">
        <v>76</v>
      </c>
      <c r="B39" s="47"/>
      <c r="D39" s="142" t="s">
        <v>391</v>
      </c>
      <c r="I39" s="1199"/>
      <c r="J39" s="1200"/>
      <c r="K39" s="58"/>
    </row>
    <row r="40" spans="1:11" s="43" customFormat="1">
      <c r="A40" s="181" t="s">
        <v>538</v>
      </c>
      <c r="B40" s="48"/>
      <c r="D40" s="142" t="s">
        <v>391</v>
      </c>
      <c r="I40" s="303"/>
      <c r="J40" s="304"/>
      <c r="K40" s="58"/>
    </row>
    <row r="41" spans="1:11" s="43" customFormat="1">
      <c r="A41" s="181" t="s">
        <v>539</v>
      </c>
      <c r="B41" s="47"/>
      <c r="D41" s="142" t="s">
        <v>391</v>
      </c>
      <c r="I41" s="303"/>
      <c r="J41" s="304"/>
      <c r="K41" s="58"/>
    </row>
    <row r="42" spans="1:11" s="43" customFormat="1">
      <c r="A42" s="181" t="s">
        <v>540</v>
      </c>
      <c r="B42" s="47"/>
      <c r="D42" s="142" t="s">
        <v>391</v>
      </c>
      <c r="I42" s="303"/>
      <c r="J42" s="304"/>
      <c r="K42" s="58"/>
    </row>
    <row r="43" spans="1:11">
      <c r="A43" s="181" t="s">
        <v>541</v>
      </c>
      <c r="B43" s="47"/>
      <c r="C43" s="43"/>
      <c r="D43" s="142" t="s">
        <v>391</v>
      </c>
      <c r="I43" s="58"/>
      <c r="J43" s="58"/>
      <c r="K43" s="58"/>
    </row>
    <row r="44" spans="1:11">
      <c r="A44" s="181" t="s">
        <v>542</v>
      </c>
      <c r="B44" s="47"/>
      <c r="C44" s="43"/>
      <c r="D44" s="142" t="s">
        <v>391</v>
      </c>
      <c r="I44" s="58"/>
      <c r="J44" s="58"/>
      <c r="K44" s="58"/>
    </row>
    <row r="45" spans="1:11" s="15" customFormat="1" ht="21.75" thickBot="1">
      <c r="A45" s="189"/>
      <c r="B45" s="187"/>
      <c r="C45" s="153"/>
      <c r="D45" s="305"/>
      <c r="I45" s="58"/>
      <c r="J45" s="58"/>
      <c r="K45" s="58"/>
    </row>
    <row r="46" spans="1:11" s="15" customFormat="1">
      <c r="A46" s="58"/>
      <c r="B46" s="48"/>
      <c r="C46" s="32"/>
      <c r="D46" s="32"/>
      <c r="I46" s="58"/>
      <c r="J46" s="58"/>
      <c r="K46" s="58"/>
    </row>
    <row r="47" spans="1:11" ht="15.75" thickBot="1"/>
    <row r="48" spans="1:11" s="43" customFormat="1">
      <c r="A48" s="184" t="s">
        <v>389</v>
      </c>
      <c r="B48" s="501"/>
      <c r="C48" s="185"/>
      <c r="D48" s="186"/>
    </row>
    <row r="49" spans="1:4">
      <c r="A49" s="101"/>
      <c r="B49" s="502"/>
      <c r="C49" s="141" t="s">
        <v>181</v>
      </c>
      <c r="D49" s="144" t="s">
        <v>390</v>
      </c>
    </row>
    <row r="50" spans="1:4">
      <c r="A50" s="44" t="s">
        <v>576</v>
      </c>
      <c r="B50" s="47"/>
      <c r="C50" s="32"/>
      <c r="D50" s="143" t="s">
        <v>392</v>
      </c>
    </row>
    <row r="51" spans="1:4">
      <c r="A51" s="44" t="s">
        <v>577</v>
      </c>
      <c r="B51" s="47"/>
      <c r="C51" s="32"/>
      <c r="D51" s="143" t="s">
        <v>392</v>
      </c>
    </row>
    <row r="52" spans="1:4" ht="15.75" thickBot="1">
      <c r="A52" s="45"/>
      <c r="B52" s="187"/>
      <c r="C52" s="153"/>
      <c r="D52" s="192"/>
    </row>
    <row r="54" spans="1:4" ht="15.75" thickBot="1"/>
    <row r="55" spans="1:4" s="43" customFormat="1">
      <c r="A55" s="184" t="s">
        <v>533</v>
      </c>
      <c r="B55" s="501"/>
      <c r="C55" s="185"/>
      <c r="D55" s="186"/>
    </row>
    <row r="56" spans="1:4">
      <c r="A56" s="101"/>
      <c r="B56" s="502"/>
      <c r="C56" s="141" t="s">
        <v>181</v>
      </c>
      <c r="D56" s="144" t="s">
        <v>390</v>
      </c>
    </row>
    <row r="57" spans="1:4">
      <c r="A57" s="44" t="s">
        <v>578</v>
      </c>
      <c r="B57" s="47"/>
      <c r="C57" s="32"/>
      <c r="D57" s="142" t="s">
        <v>154</v>
      </c>
    </row>
    <row r="58" spans="1:4">
      <c r="A58" s="44" t="s">
        <v>579</v>
      </c>
      <c r="B58" s="47"/>
      <c r="C58" s="32"/>
      <c r="D58" s="142" t="s">
        <v>155</v>
      </c>
    </row>
    <row r="59" spans="1:4">
      <c r="A59" s="44" t="s">
        <v>580</v>
      </c>
      <c r="B59" s="47"/>
      <c r="C59" s="48"/>
      <c r="D59" s="142" t="s">
        <v>388</v>
      </c>
    </row>
    <row r="60" spans="1:4">
      <c r="A60" s="44" t="s">
        <v>581</v>
      </c>
      <c r="B60" s="47"/>
      <c r="C60" s="48"/>
      <c r="D60" s="142" t="s">
        <v>111</v>
      </c>
    </row>
    <row r="61" spans="1:4">
      <c r="A61" s="44"/>
      <c r="B61" s="48"/>
      <c r="C61" s="48"/>
      <c r="D61" s="142"/>
    </row>
    <row r="62" spans="1:4" ht="21.75" thickBot="1">
      <c r="A62" s="189" t="s">
        <v>535</v>
      </c>
      <c r="B62" s="187"/>
      <c r="C62" s="187"/>
      <c r="D62" s="188"/>
    </row>
    <row r="63" spans="1:4" s="43" customFormat="1">
      <c r="B63" s="452"/>
    </row>
  </sheetData>
  <mergeCells count="11">
    <mergeCell ref="I35:J35"/>
    <mergeCell ref="I36:J36"/>
    <mergeCell ref="I37:J37"/>
    <mergeCell ref="I38:J38"/>
    <mergeCell ref="I39:J39"/>
    <mergeCell ref="I19:J19"/>
    <mergeCell ref="I10:I14"/>
    <mergeCell ref="I15:J15"/>
    <mergeCell ref="I16:J16"/>
    <mergeCell ref="I17:J17"/>
    <mergeCell ref="I18:J18"/>
  </mergeCells>
  <hyperlinks>
    <hyperlink ref="D57" location="huishoudens!C5" display="huishoudens"/>
    <hyperlink ref="D58" location="tertiair!C5" display="tertiair"/>
    <hyperlink ref="D59" location="industrie!C5" display="industrie"/>
    <hyperlink ref="D60" location="landbouw!C5" display="landbouw"/>
    <hyperlink ref="D32" location="'lokale energieproductie'!B18" display="lokale energieproductie"/>
    <hyperlink ref="D50:D51" location="'EF ele_warmte'!B10" display="EF ele_warmte"/>
    <hyperlink ref="D50" location="'EF ele_warmte'!B18" display="EF ele_warmte"/>
    <hyperlink ref="D51" location="'EF ele_warmte'!B19" display="EF ele_warmte"/>
    <hyperlink ref="D4" location="'EF ele_warmte'!B5" display="EF ele_warmte"/>
    <hyperlink ref="D11" location="'lokale energieproductie'!B18" display="lokale energieproductie"/>
    <hyperlink ref="D12" location="'lokale energieproductie'!B8" display="lokale energieproductie"/>
    <hyperlink ref="D15" location="'lokale energieproductie'!A1" display="lokale energieproductie"/>
    <hyperlink ref="D17" location="'lokale energieproductie'!B18" display="lokale energieproductie"/>
    <hyperlink ref="D19" location="'lokale energieproductie'!B18" display="lokale energieproductie"/>
    <hyperlink ref="D21" location="'lokale energieproductie'!B18" display="lokale energieproductie"/>
    <hyperlink ref="D23" location="'lokale energieproductie'!B18" display="lokale energieproductie"/>
    <hyperlink ref="D16" location="'lokale energieproductie'!B8" display="lokale energieproductie"/>
    <hyperlink ref="D18" location="'lokale energieproductie'!B8" display="lokale energieproductie"/>
    <hyperlink ref="D20" location="'lokale energieproductie'!B8" display="lokale energieproductie"/>
    <hyperlink ref="D22" location="'lokale energieproductie'!B8" display="lokale energieproductie"/>
    <hyperlink ref="D24" location="'lokale energieproductie'!B8" display="lokale energieproductie"/>
    <hyperlink ref="D35" location="'lokale energieproductie'!C18" display="lokale energieproductie"/>
    <hyperlink ref="D37" location="'lokale energieproductie'!E18" display="lokale energieproductie"/>
    <hyperlink ref="D39" location="'lokale energieproductie'!G18" display="lokale energieproductie"/>
    <hyperlink ref="D41" location="'lokale energieproductie'!I18" display="lokale energieproductie"/>
    <hyperlink ref="D43" location="'lokale energieproductie'!K18" display="lokale energieproductie"/>
    <hyperlink ref="D36" location="'lokale energieproductie'!D18" display="lokale energieproductie"/>
    <hyperlink ref="D38" location="'lokale energieproductie'!F18" display="lokale energieproductie"/>
    <hyperlink ref="D40" location="'lokale energieproductie'!H18" display="lokale energieproductie"/>
    <hyperlink ref="D42" location="'lokale energieproductie'!J18" display="lokale energieproductie"/>
    <hyperlink ref="D44" location="'lokale energieproductie'!L18" display="lokale energieproductie"/>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8"/>
  </sheetPr>
  <dimension ref="A1:J36"/>
  <sheetViews>
    <sheetView showGridLines="0" topLeftCell="A7" zoomScaleNormal="100" workbookViewId="0">
      <selection activeCell="E35" sqref="E35"/>
    </sheetView>
  </sheetViews>
  <sheetFormatPr defaultRowHeight="15"/>
  <cols>
    <col min="1" max="1" width="28.42578125" customWidth="1"/>
    <col min="2" max="2" width="15" customWidth="1"/>
    <col min="3" max="3" width="31.5703125" customWidth="1"/>
    <col min="4" max="4" width="28.85546875" customWidth="1"/>
    <col min="5" max="5" width="31" customWidth="1"/>
    <col min="7" max="7" width="12" bestFit="1" customWidth="1"/>
    <col min="8" max="8" width="9.42578125" bestFit="1" customWidth="1"/>
    <col min="10" max="10" width="9.42578125" bestFit="1" customWidth="1"/>
  </cols>
  <sheetData>
    <row r="1" spans="1:5" ht="15.75" thickBot="1">
      <c r="A1" s="633" t="s">
        <v>598</v>
      </c>
      <c r="B1" s="634"/>
      <c r="C1" s="634"/>
      <c r="D1" s="634"/>
      <c r="E1" s="635"/>
    </row>
    <row r="2" spans="1:5">
      <c r="A2" s="646" t="s">
        <v>393</v>
      </c>
      <c r="B2" s="651" t="s">
        <v>523</v>
      </c>
      <c r="C2" s="647"/>
      <c r="D2" s="647"/>
      <c r="E2" s="648"/>
    </row>
    <row r="3" spans="1:5">
      <c r="A3" s="649"/>
      <c r="B3" s="650"/>
      <c r="C3" s="638"/>
      <c r="D3" s="638"/>
      <c r="E3" s="639"/>
    </row>
    <row r="4" spans="1:5" s="330" customFormat="1" ht="45">
      <c r="A4" s="637" t="s">
        <v>602</v>
      </c>
      <c r="B4" s="645" t="s">
        <v>591</v>
      </c>
      <c r="C4" s="666" t="s">
        <v>613</v>
      </c>
      <c r="D4" s="667" t="s">
        <v>614</v>
      </c>
      <c r="E4" s="668" t="s">
        <v>615</v>
      </c>
    </row>
    <row r="5" spans="1:5">
      <c r="A5" s="640" t="s">
        <v>592</v>
      </c>
      <c r="B5" s="632" t="s">
        <v>593</v>
      </c>
      <c r="C5" s="663">
        <v>3.678273E-2</v>
      </c>
      <c r="D5" s="664">
        <v>0.27778000000000003</v>
      </c>
      <c r="E5" s="656">
        <f>C5*D5</f>
        <v>1.0217506739400001E-2</v>
      </c>
    </row>
    <row r="6" spans="1:5">
      <c r="A6" s="640" t="s">
        <v>592</v>
      </c>
      <c r="B6" s="632" t="s">
        <v>594</v>
      </c>
      <c r="C6" s="663">
        <v>4.2278999999999997E-2</v>
      </c>
      <c r="D6" s="664">
        <v>0.27778000000000003</v>
      </c>
      <c r="E6" s="656">
        <f t="shared" ref="E6:E21" si="0">C6*D6</f>
        <v>1.174426062E-2</v>
      </c>
    </row>
    <row r="7" spans="1:5">
      <c r="A7" s="640" t="s">
        <v>592</v>
      </c>
      <c r="B7" s="632" t="s">
        <v>595</v>
      </c>
      <c r="C7" s="663">
        <v>42.279000000000003</v>
      </c>
      <c r="D7" s="664">
        <v>0.27778000000000003</v>
      </c>
      <c r="E7" s="656">
        <f t="shared" si="0"/>
        <v>11.744260620000002</v>
      </c>
    </row>
    <row r="8" spans="1:5">
      <c r="A8" s="640" t="s">
        <v>596</v>
      </c>
      <c r="B8" s="632" t="s">
        <v>593</v>
      </c>
      <c r="C8" s="663">
        <v>3.8573799999999998E-2</v>
      </c>
      <c r="D8" s="664">
        <v>0.27778000000000003</v>
      </c>
      <c r="E8" s="656">
        <f t="shared" si="0"/>
        <v>1.0715030164E-2</v>
      </c>
    </row>
    <row r="9" spans="1:5">
      <c r="A9" s="640" t="s">
        <v>596</v>
      </c>
      <c r="B9" s="632" t="s">
        <v>594</v>
      </c>
      <c r="C9" s="663">
        <v>4.0604000000000001E-2</v>
      </c>
      <c r="D9" s="664">
        <v>0.27778000000000003</v>
      </c>
      <c r="E9" s="656">
        <f t="shared" si="0"/>
        <v>1.1278979120000001E-2</v>
      </c>
    </row>
    <row r="10" spans="1:5">
      <c r="A10" s="640" t="s">
        <v>596</v>
      </c>
      <c r="B10" s="632" t="s">
        <v>595</v>
      </c>
      <c r="C10" s="663">
        <v>40.603999999999999</v>
      </c>
      <c r="D10" s="664">
        <v>0.27778000000000003</v>
      </c>
      <c r="E10" s="656">
        <f t="shared" si="0"/>
        <v>11.278979120000001</v>
      </c>
    </row>
    <row r="11" spans="1:5">
      <c r="A11" s="640" t="s">
        <v>616</v>
      </c>
      <c r="B11" s="632" t="s">
        <v>593</v>
      </c>
      <c r="C11" s="663">
        <v>2.3511000000000001E-2</v>
      </c>
      <c r="D11" s="664">
        <v>0.27778000000000003</v>
      </c>
      <c r="E11" s="656">
        <f t="shared" si="0"/>
        <v>6.5308855800000004E-3</v>
      </c>
    </row>
    <row r="12" spans="1:5">
      <c r="A12" s="640" t="s">
        <v>616</v>
      </c>
      <c r="B12" s="632" t="s">
        <v>594</v>
      </c>
      <c r="C12" s="663">
        <v>4.6100000000000002E-2</v>
      </c>
      <c r="D12" s="664">
        <v>0.27778000000000003</v>
      </c>
      <c r="E12" s="656">
        <f t="shared" si="0"/>
        <v>1.2805658000000001E-2</v>
      </c>
    </row>
    <row r="13" spans="1:5">
      <c r="A13" s="640" t="s">
        <v>616</v>
      </c>
      <c r="B13" s="632" t="s">
        <v>595</v>
      </c>
      <c r="C13" s="663">
        <v>46.1</v>
      </c>
      <c r="D13" s="664">
        <v>0.27778000000000003</v>
      </c>
      <c r="E13" s="656">
        <f t="shared" si="0"/>
        <v>12.805658000000001</v>
      </c>
    </row>
    <row r="14" spans="1:5">
      <c r="A14" s="640" t="s">
        <v>617</v>
      </c>
      <c r="B14" s="632" t="s">
        <v>593</v>
      </c>
      <c r="C14" s="663">
        <v>2.6525139999999999E-2</v>
      </c>
      <c r="D14" s="664">
        <v>0.27778000000000003</v>
      </c>
      <c r="E14" s="656">
        <f t="shared" si="0"/>
        <v>7.3681533892000009E-3</v>
      </c>
    </row>
    <row r="15" spans="1:5">
      <c r="A15" s="640" t="s">
        <v>617</v>
      </c>
      <c r="B15" s="632" t="s">
        <v>594</v>
      </c>
      <c r="C15" s="663">
        <v>4.5733000000000003E-2</v>
      </c>
      <c r="D15" s="664">
        <v>0.27778000000000003</v>
      </c>
      <c r="E15" s="656">
        <f t="shared" si="0"/>
        <v>1.2703712740000001E-2</v>
      </c>
    </row>
    <row r="16" spans="1:5">
      <c r="A16" s="640" t="s">
        <v>617</v>
      </c>
      <c r="B16" s="632" t="s">
        <v>595</v>
      </c>
      <c r="C16" s="663">
        <v>45.732999999999997</v>
      </c>
      <c r="D16" s="664">
        <v>0.27778000000000003</v>
      </c>
      <c r="E16" s="656">
        <f t="shared" si="0"/>
        <v>12.70371274</v>
      </c>
    </row>
    <row r="17" spans="1:10">
      <c r="A17" s="640" t="s">
        <v>600</v>
      </c>
      <c r="B17" s="632" t="s">
        <v>597</v>
      </c>
      <c r="C17" s="663">
        <v>3.2923000000000001E-2</v>
      </c>
      <c r="D17" s="664">
        <f>0.27778</f>
        <v>0.27778000000000003</v>
      </c>
      <c r="E17" s="656">
        <f t="shared" si="0"/>
        <v>9.1453509400000015E-3</v>
      </c>
    </row>
    <row r="18" spans="1:10">
      <c r="A18" s="640" t="s">
        <v>601</v>
      </c>
      <c r="B18" s="632" t="s">
        <v>597</v>
      </c>
      <c r="C18" s="663">
        <v>3.8852400000000002E-2</v>
      </c>
      <c r="D18" s="664">
        <f>0.27778</f>
        <v>0.27778000000000003</v>
      </c>
      <c r="E18" s="656">
        <f t="shared" si="0"/>
        <v>1.0792419672000002E-2</v>
      </c>
    </row>
    <row r="19" spans="1:10">
      <c r="A19" s="640" t="s">
        <v>604</v>
      </c>
      <c r="B19" s="632" t="s">
        <v>593</v>
      </c>
      <c r="C19" s="663">
        <v>2.4812460000000001E-2</v>
      </c>
      <c r="D19" s="664">
        <v>0.27778000000000003</v>
      </c>
      <c r="E19" s="656">
        <f t="shared" si="0"/>
        <v>6.8924051388000009E-3</v>
      </c>
    </row>
    <row r="20" spans="1:10">
      <c r="A20" s="640" t="s">
        <v>604</v>
      </c>
      <c r="B20" s="632" t="s">
        <v>594</v>
      </c>
      <c r="C20" s="663">
        <v>4.5948999999999997E-2</v>
      </c>
      <c r="D20" s="664">
        <v>0.27778000000000003</v>
      </c>
      <c r="E20" s="656">
        <f t="shared" si="0"/>
        <v>1.276371322E-2</v>
      </c>
    </row>
    <row r="21" spans="1:10">
      <c r="A21" s="640" t="s">
        <v>604</v>
      </c>
      <c r="B21" s="632" t="s">
        <v>595</v>
      </c>
      <c r="C21" s="663">
        <v>45.948999999999998</v>
      </c>
      <c r="D21" s="664">
        <v>0.27778000000000003</v>
      </c>
      <c r="E21" s="656">
        <f t="shared" si="0"/>
        <v>12.763713220000001</v>
      </c>
    </row>
    <row r="22" spans="1:10" ht="15.75" thickBot="1">
      <c r="A22" s="661"/>
      <c r="B22" s="643"/>
      <c r="C22" s="665"/>
      <c r="D22" s="665"/>
      <c r="E22" s="644"/>
    </row>
    <row r="23" spans="1:10" ht="15.75" thickBot="1">
      <c r="A23" s="636"/>
      <c r="B23" s="636"/>
      <c r="C23" s="636"/>
      <c r="D23" s="636"/>
      <c r="E23" s="636"/>
    </row>
    <row r="24" spans="1:10" ht="15.75" thickBot="1">
      <c r="A24" s="633" t="s">
        <v>599</v>
      </c>
      <c r="B24" s="634"/>
      <c r="C24" s="634"/>
      <c r="D24" s="634"/>
      <c r="E24" s="635"/>
    </row>
    <row r="25" spans="1:10">
      <c r="A25" s="660" t="s">
        <v>393</v>
      </c>
      <c r="B25" s="1064" t="s">
        <v>890</v>
      </c>
      <c r="C25" s="638"/>
      <c r="D25" s="638"/>
      <c r="E25" s="639"/>
    </row>
    <row r="26" spans="1:10">
      <c r="A26" s="44"/>
      <c r="B26" s="43"/>
      <c r="C26" s="43"/>
      <c r="D26" s="43"/>
      <c r="E26" s="96"/>
    </row>
    <row r="27" spans="1:10" s="330" customFormat="1">
      <c r="A27" s="637" t="s">
        <v>602</v>
      </c>
      <c r="B27" s="645" t="s">
        <v>591</v>
      </c>
      <c r="C27" s="653"/>
      <c r="D27" s="652"/>
      <c r="E27" s="668" t="s">
        <v>606</v>
      </c>
    </row>
    <row r="28" spans="1:10">
      <c r="A28" s="640" t="s">
        <v>201</v>
      </c>
      <c r="B28" s="632" t="s">
        <v>593</v>
      </c>
      <c r="C28" s="654"/>
      <c r="D28" s="655"/>
      <c r="E28" s="662">
        <f>E29*0.84</f>
        <v>9.962166666666666E-3</v>
      </c>
      <c r="G28" s="636"/>
      <c r="H28" s="772"/>
      <c r="I28" s="772"/>
      <c r="J28" s="772"/>
    </row>
    <row r="29" spans="1:10">
      <c r="A29" s="640" t="s">
        <v>201</v>
      </c>
      <c r="B29" s="632" t="s">
        <v>594</v>
      </c>
      <c r="C29" s="654"/>
      <c r="D29" s="655"/>
      <c r="E29" s="662">
        <f>0.042695/3.6</f>
        <v>1.1859722222222221E-2</v>
      </c>
      <c r="F29" s="886"/>
      <c r="G29" s="636"/>
      <c r="H29" s="772"/>
      <c r="I29" s="772"/>
      <c r="J29" s="772"/>
    </row>
    <row r="30" spans="1:10">
      <c r="A30" s="640" t="s">
        <v>119</v>
      </c>
      <c r="B30" s="632" t="s">
        <v>593</v>
      </c>
      <c r="C30" s="654"/>
      <c r="D30" s="655"/>
      <c r="E30" s="662">
        <f>E31*0.75</f>
        <v>9.1195833333333337E-3</v>
      </c>
      <c r="H30" s="772"/>
      <c r="I30" s="772"/>
      <c r="J30" s="772"/>
    </row>
    <row r="31" spans="1:10">
      <c r="A31" s="640" t="s">
        <v>119</v>
      </c>
      <c r="B31" s="632" t="s">
        <v>594</v>
      </c>
      <c r="C31" s="654"/>
      <c r="D31" s="655"/>
      <c r="E31" s="662">
        <f>0.043774/3.6</f>
        <v>1.2159444444444445E-2</v>
      </c>
      <c r="H31" s="772"/>
      <c r="I31" s="772"/>
      <c r="J31" s="772"/>
    </row>
    <row r="32" spans="1:10">
      <c r="A32" s="640" t="s">
        <v>604</v>
      </c>
      <c r="B32" s="632" t="s">
        <v>593</v>
      </c>
      <c r="C32" s="654"/>
      <c r="D32" s="655"/>
      <c r="E32" s="662">
        <f>E33*0.52</f>
        <v>6.7259111111111118E-3</v>
      </c>
      <c r="H32" s="772"/>
    </row>
    <row r="33" spans="1:8">
      <c r="A33" s="640" t="s">
        <v>604</v>
      </c>
      <c r="B33" s="632" t="s">
        <v>594</v>
      </c>
      <c r="C33" s="654"/>
      <c r="D33" s="655"/>
      <c r="E33" s="662">
        <f>0.046564/3.6</f>
        <v>1.2934444444444445E-2</v>
      </c>
      <c r="H33" s="772"/>
    </row>
    <row r="34" spans="1:8">
      <c r="A34" s="640" t="s">
        <v>605</v>
      </c>
      <c r="B34" s="632" t="s">
        <v>593</v>
      </c>
      <c r="C34" s="654"/>
      <c r="D34" s="655"/>
      <c r="E34" s="662">
        <f>E35*0.175</f>
        <v>2.3333333333333331E-3</v>
      </c>
      <c r="H34" s="772"/>
    </row>
    <row r="35" spans="1:8">
      <c r="A35" s="640" t="s">
        <v>605</v>
      </c>
      <c r="B35" s="632" t="s">
        <v>594</v>
      </c>
      <c r="C35" s="654"/>
      <c r="D35" s="655"/>
      <c r="E35" s="662">
        <f>0.048/3.6</f>
        <v>1.3333333333333332E-2</v>
      </c>
      <c r="H35" s="772"/>
    </row>
    <row r="36" spans="1:8" ht="15.75" thickBot="1">
      <c r="A36" s="641"/>
      <c r="B36" s="642"/>
      <c r="C36" s="657"/>
      <c r="D36" s="658"/>
      <c r="E36" s="65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0" tint="-0.34998626667073579"/>
  </sheetPr>
  <dimension ref="A1:C29"/>
  <sheetViews>
    <sheetView showGridLines="0" workbookViewId="0">
      <selection activeCell="C22" sqref="C22"/>
    </sheetView>
  </sheetViews>
  <sheetFormatPr defaultRowHeight="15"/>
  <cols>
    <col min="1" max="1" width="54" customWidth="1"/>
    <col min="2" max="2" width="69.85546875" customWidth="1"/>
    <col min="3" max="3" width="132.140625" customWidth="1"/>
  </cols>
  <sheetData>
    <row r="1" spans="1:3" ht="15.75" thickBot="1"/>
    <row r="2" spans="1:3" s="11" customFormat="1" ht="60.75" customHeight="1" thickBot="1">
      <c r="A2" s="135" t="s">
        <v>444</v>
      </c>
      <c r="B2" s="110"/>
      <c r="C2" s="111"/>
    </row>
    <row r="3" spans="1:3" s="15" customFormat="1" ht="15.75">
      <c r="A3" s="98"/>
      <c r="B3" s="70"/>
      <c r="C3" s="99"/>
    </row>
    <row r="4" spans="1:3">
      <c r="A4" s="95" t="s">
        <v>362</v>
      </c>
      <c r="B4" s="69" t="s">
        <v>374</v>
      </c>
      <c r="C4" s="100" t="s">
        <v>373</v>
      </c>
    </row>
    <row r="5" spans="1:3">
      <c r="A5" s="112"/>
      <c r="B5" s="43"/>
      <c r="C5" s="96"/>
    </row>
    <row r="6" spans="1:3" s="11" customFormat="1">
      <c r="A6" s="113" t="s">
        <v>457</v>
      </c>
      <c r="B6" s="130" t="s">
        <v>458</v>
      </c>
      <c r="C6" s="131" t="s">
        <v>460</v>
      </c>
    </row>
    <row r="7" spans="1:3" s="11" customFormat="1">
      <c r="A7" s="123"/>
      <c r="B7" s="158"/>
      <c r="C7" s="159" t="s">
        <v>618</v>
      </c>
    </row>
    <row r="8" spans="1:3" s="11" customFormat="1">
      <c r="A8" s="132"/>
      <c r="B8" s="133"/>
      <c r="C8" s="134"/>
    </row>
    <row r="9" spans="1:3" s="11" customFormat="1">
      <c r="A9" s="113" t="s">
        <v>459</v>
      </c>
      <c r="B9" s="130" t="s">
        <v>462</v>
      </c>
      <c r="C9" s="131" t="s">
        <v>519</v>
      </c>
    </row>
    <row r="10" spans="1:3" s="11" customFormat="1">
      <c r="A10" s="132"/>
      <c r="B10" s="133"/>
      <c r="C10" s="134"/>
    </row>
    <row r="11" spans="1:3" s="11" customFormat="1" ht="18">
      <c r="A11" s="113" t="s">
        <v>461</v>
      </c>
      <c r="B11" s="130" t="s">
        <v>463</v>
      </c>
      <c r="C11" s="156" t="s">
        <v>517</v>
      </c>
    </row>
    <row r="12" spans="1:3" s="11" customFormat="1">
      <c r="A12" s="132"/>
      <c r="B12" s="133"/>
      <c r="C12" s="134"/>
    </row>
    <row r="13" spans="1:3" s="11" customFormat="1" ht="18">
      <c r="A13" s="113" t="s">
        <v>464</v>
      </c>
      <c r="B13" s="130" t="s">
        <v>465</v>
      </c>
      <c r="C13" s="157" t="s">
        <v>518</v>
      </c>
    </row>
    <row r="14" spans="1:3" s="11" customFormat="1">
      <c r="A14" s="132"/>
      <c r="B14" s="133"/>
      <c r="C14" s="134"/>
    </row>
    <row r="15" spans="1:3" s="11" customFormat="1" ht="18">
      <c r="A15" s="113" t="s">
        <v>466</v>
      </c>
      <c r="B15" t="s">
        <v>470</v>
      </c>
      <c r="C15" s="131" t="s">
        <v>520</v>
      </c>
    </row>
    <row r="16" spans="1:3" s="11" customFormat="1">
      <c r="A16" s="132"/>
      <c r="B16" s="133"/>
      <c r="C16" s="134"/>
    </row>
    <row r="17" spans="1:3" s="11" customFormat="1" ht="30">
      <c r="A17" s="113" t="s">
        <v>392</v>
      </c>
      <c r="B17" s="130" t="s">
        <v>471</v>
      </c>
      <c r="C17" s="131" t="s">
        <v>521</v>
      </c>
    </row>
    <row r="18" spans="1:3" s="11" customFormat="1">
      <c r="A18" s="132"/>
      <c r="B18" s="133"/>
      <c r="C18" s="134" t="s">
        <v>467</v>
      </c>
    </row>
    <row r="19" spans="1:3" s="11" customFormat="1" ht="30">
      <c r="A19" s="113" t="s">
        <v>468</v>
      </c>
      <c r="B19" s="130" t="s">
        <v>472</v>
      </c>
      <c r="C19" s="131" t="s">
        <v>522</v>
      </c>
    </row>
    <row r="20" spans="1:3" s="11" customFormat="1">
      <c r="A20" s="132"/>
      <c r="B20" s="133"/>
      <c r="C20" s="134"/>
    </row>
    <row r="21" spans="1:3" s="11" customFormat="1" ht="30">
      <c r="A21" s="113" t="s">
        <v>469</v>
      </c>
      <c r="B21" s="130" t="s">
        <v>685</v>
      </c>
      <c r="C21" s="131" t="s">
        <v>586</v>
      </c>
    </row>
    <row r="22" spans="1:3" s="11" customFormat="1">
      <c r="A22" s="140"/>
      <c r="B22" s="158"/>
      <c r="C22" s="159"/>
    </row>
    <row r="23" spans="1:3" ht="21">
      <c r="A23" s="126" t="s">
        <v>474</v>
      </c>
      <c r="B23" s="125"/>
      <c r="C23" s="122"/>
    </row>
    <row r="29" spans="1:3">
      <c r="B29" t="s">
        <v>235</v>
      </c>
    </row>
  </sheetData>
  <hyperlinks>
    <hyperlink ref="A6" location="data!A1" display="data"/>
    <hyperlink ref="A9" location="'EF N2O_CH4 landbouw'!A1" display="EF N2O_CH4 landbouw"/>
    <hyperlink ref="A11" location="'ha_N2O bodem landbouw'!A1" display="ha_N2O bodem landbouw"/>
    <hyperlink ref="A13" location="'GWP N2O_CH4'!A1" display="GWP N2O_CH4"/>
    <hyperlink ref="A15" location="'EF brandstof'!A1" display="EF brandstof"/>
    <hyperlink ref="A17" location="'EF ele_warmte'!A1" display="EF ele_warmte"/>
    <hyperlink ref="A19" location="'ECF transport '!A1" display="ECF transport"/>
    <hyperlink ref="A21" location="'E Balans VL '!A1" display="E Balans VL"/>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sheetPr>
  <dimension ref="A1:F134"/>
  <sheetViews>
    <sheetView topLeftCell="A115" zoomScaleNormal="100" workbookViewId="0">
      <selection sqref="A1:XFD1048576"/>
    </sheetView>
  </sheetViews>
  <sheetFormatPr defaultRowHeight="15"/>
  <cols>
    <col min="1" max="1" width="68.85546875" style="1068" bestFit="1" customWidth="1"/>
    <col min="2" max="2" width="59.42578125" style="1068" bestFit="1" customWidth="1"/>
    <col min="3" max="4" width="28.7109375" style="1068" customWidth="1"/>
    <col min="5" max="5" width="44.28515625" style="1068" customWidth="1"/>
    <col min="6" max="6" width="35" style="1068" bestFit="1" customWidth="1"/>
    <col min="7" max="16384" width="9.140625" style="1068"/>
  </cols>
  <sheetData>
    <row r="1" spans="1:6" ht="62.45" customHeight="1" thickTop="1" thickBot="1">
      <c r="A1" s="136" t="s">
        <v>907</v>
      </c>
      <c r="B1" s="1292">
        <v>2014</v>
      </c>
      <c r="C1" s="1293"/>
      <c r="D1" s="1293"/>
      <c r="E1" s="1293"/>
      <c r="F1" s="1294"/>
    </row>
    <row r="2" spans="1:6">
      <c r="A2" s="330"/>
      <c r="B2" s="330"/>
      <c r="C2" s="330"/>
      <c r="D2" s="330"/>
      <c r="E2" s="330"/>
      <c r="F2" s="330"/>
    </row>
    <row r="3" spans="1:6" ht="19.5">
      <c r="A3" s="1295" t="s">
        <v>0</v>
      </c>
      <c r="B3" s="330"/>
      <c r="C3" s="330"/>
      <c r="D3" s="330"/>
      <c r="E3" s="330"/>
      <c r="F3" s="330"/>
    </row>
    <row r="4" spans="1:6" ht="22.5">
      <c r="A4" s="1296" t="s">
        <v>907</v>
      </c>
      <c r="B4" s="330"/>
      <c r="C4" s="330"/>
      <c r="D4" s="330"/>
      <c r="E4" s="330"/>
      <c r="F4" s="330"/>
    </row>
    <row r="5" spans="1:6" ht="22.5">
      <c r="A5" s="1296" t="s">
        <v>908</v>
      </c>
      <c r="B5" s="330"/>
      <c r="C5" s="330"/>
      <c r="D5" s="330"/>
      <c r="E5" s="330"/>
      <c r="F5" s="330"/>
    </row>
    <row r="6" spans="1:6" ht="15.75" thickBot="1">
      <c r="A6" s="330"/>
      <c r="B6" s="330"/>
      <c r="C6" s="330"/>
      <c r="D6" s="330"/>
      <c r="E6" s="330"/>
      <c r="F6" s="330"/>
    </row>
    <row r="7" spans="1:6" ht="20.25" thickBot="1">
      <c r="A7" s="1297" t="s">
        <v>1</v>
      </c>
      <c r="B7" s="331" t="s">
        <v>393</v>
      </c>
      <c r="C7" s="331" t="s">
        <v>394</v>
      </c>
      <c r="D7" s="331"/>
      <c r="E7" s="331"/>
      <c r="F7" s="332"/>
    </row>
    <row r="8" spans="1:6" ht="16.5" thickTop="1" thickBot="1">
      <c r="A8" s="1298" t="s">
        <v>4</v>
      </c>
      <c r="B8" s="1299"/>
      <c r="C8" s="1299"/>
      <c r="D8" s="1293"/>
      <c r="E8" s="1293"/>
      <c r="F8" s="1294"/>
    </row>
    <row r="9" spans="1:6">
      <c r="A9" s="1300" t="s">
        <v>2</v>
      </c>
      <c r="B9" s="1301">
        <v>4079</v>
      </c>
      <c r="C9" s="333"/>
      <c r="D9" s="333"/>
      <c r="E9" s="333"/>
      <c r="F9" s="333"/>
    </row>
    <row r="10" spans="1:6">
      <c r="A10" s="334"/>
      <c r="B10" s="330"/>
      <c r="C10" s="330"/>
      <c r="D10" s="330"/>
      <c r="E10" s="330"/>
      <c r="F10" s="330"/>
    </row>
    <row r="11" spans="1:6" ht="15.75" thickBot="1">
      <c r="A11" s="334"/>
      <c r="B11" s="330"/>
      <c r="C11" s="330"/>
      <c r="D11" s="330"/>
      <c r="E11" s="330"/>
      <c r="F11" s="330"/>
    </row>
    <row r="12" spans="1:6" ht="20.25" thickBot="1">
      <c r="A12" s="1297" t="s">
        <v>3</v>
      </c>
      <c r="B12" s="331" t="s">
        <v>393</v>
      </c>
      <c r="C12" s="331" t="s">
        <v>636</v>
      </c>
      <c r="D12" s="331"/>
      <c r="E12" s="331"/>
      <c r="F12" s="335"/>
    </row>
    <row r="13" spans="1:6" ht="16.5" thickTop="1" thickBot="1">
      <c r="A13" s="1302" t="s">
        <v>4</v>
      </c>
      <c r="B13" s="1303" t="s">
        <v>5</v>
      </c>
      <c r="C13" s="1303"/>
      <c r="D13" s="1303"/>
      <c r="E13" s="1303"/>
      <c r="F13" s="1304"/>
    </row>
    <row r="14" spans="1:6">
      <c r="A14" s="1305" t="s">
        <v>742</v>
      </c>
      <c r="B14" s="1306">
        <v>81</v>
      </c>
      <c r="C14" s="330"/>
      <c r="D14" s="330"/>
      <c r="E14" s="330"/>
      <c r="F14" s="330"/>
    </row>
    <row r="15" spans="1:6">
      <c r="A15" s="1305" t="s">
        <v>183</v>
      </c>
      <c r="B15" s="1306">
        <v>0</v>
      </c>
      <c r="C15" s="330"/>
      <c r="D15" s="330"/>
      <c r="E15" s="330"/>
      <c r="F15" s="330"/>
    </row>
    <row r="16" spans="1:6">
      <c r="A16" s="1305" t="s">
        <v>6</v>
      </c>
      <c r="B16" s="1306">
        <v>0</v>
      </c>
      <c r="C16" s="330"/>
      <c r="D16" s="330"/>
      <c r="E16" s="330"/>
      <c r="F16" s="330"/>
    </row>
    <row r="17" spans="1:6">
      <c r="A17" s="1305" t="s">
        <v>7</v>
      </c>
      <c r="B17" s="1306">
        <v>41</v>
      </c>
      <c r="C17" s="330"/>
      <c r="D17" s="330"/>
      <c r="E17" s="330"/>
      <c r="F17" s="330"/>
    </row>
    <row r="18" spans="1:6">
      <c r="A18" s="1305" t="s">
        <v>8</v>
      </c>
      <c r="B18" s="1306">
        <v>30</v>
      </c>
      <c r="C18" s="330"/>
      <c r="D18" s="330"/>
      <c r="E18" s="330"/>
      <c r="F18" s="330"/>
    </row>
    <row r="19" spans="1:6">
      <c r="A19" s="1305" t="s">
        <v>9</v>
      </c>
      <c r="B19" s="1306">
        <v>22</v>
      </c>
      <c r="C19" s="330"/>
      <c r="D19" s="330"/>
      <c r="E19" s="330"/>
      <c r="F19" s="330"/>
    </row>
    <row r="20" spans="1:6">
      <c r="A20" s="1305" t="s">
        <v>10</v>
      </c>
      <c r="B20" s="1306">
        <v>52</v>
      </c>
      <c r="C20" s="330"/>
      <c r="D20" s="330"/>
      <c r="E20" s="330"/>
      <c r="F20" s="330"/>
    </row>
    <row r="21" spans="1:6">
      <c r="A21" s="1305" t="s">
        <v>11</v>
      </c>
      <c r="B21" s="1306">
        <v>0</v>
      </c>
      <c r="C21" s="330"/>
      <c r="D21" s="330"/>
      <c r="E21" s="330"/>
      <c r="F21" s="330"/>
    </row>
    <row r="22" spans="1:6">
      <c r="A22" s="1305" t="s">
        <v>12</v>
      </c>
      <c r="B22" s="1306">
        <v>0</v>
      </c>
      <c r="C22" s="330"/>
      <c r="D22" s="330"/>
      <c r="E22" s="330"/>
      <c r="F22" s="330"/>
    </row>
    <row r="23" spans="1:6">
      <c r="A23" s="1305" t="s">
        <v>13</v>
      </c>
      <c r="B23" s="1306">
        <v>0</v>
      </c>
      <c r="C23" s="330"/>
      <c r="D23" s="330"/>
      <c r="E23" s="330"/>
      <c r="F23" s="330"/>
    </row>
    <row r="24" spans="1:6">
      <c r="A24" s="1305" t="s">
        <v>14</v>
      </c>
      <c r="B24" s="1306">
        <v>0</v>
      </c>
      <c r="C24" s="330"/>
      <c r="D24" s="330"/>
      <c r="E24" s="330"/>
      <c r="F24" s="330"/>
    </row>
    <row r="25" spans="1:6">
      <c r="A25" s="1305" t="s">
        <v>15</v>
      </c>
      <c r="B25" s="1306">
        <v>0</v>
      </c>
      <c r="C25" s="330"/>
      <c r="D25" s="330"/>
      <c r="E25" s="330"/>
      <c r="F25" s="330"/>
    </row>
    <row r="26" spans="1:6">
      <c r="A26" s="1305" t="s">
        <v>16</v>
      </c>
      <c r="B26" s="1306">
        <v>0</v>
      </c>
      <c r="C26" s="330"/>
      <c r="D26" s="330"/>
      <c r="E26" s="330"/>
      <c r="F26" s="330"/>
    </row>
    <row r="27" spans="1:6">
      <c r="A27" s="1305" t="s">
        <v>17</v>
      </c>
      <c r="B27" s="1306">
        <v>0</v>
      </c>
      <c r="C27" s="330"/>
      <c r="D27" s="330"/>
      <c r="E27" s="330"/>
      <c r="F27" s="330"/>
    </row>
    <row r="28" spans="1:6" s="43" customFormat="1">
      <c r="A28" s="1307" t="s">
        <v>18</v>
      </c>
      <c r="B28" s="1308">
        <v>0</v>
      </c>
      <c r="C28" s="336"/>
      <c r="D28" s="336"/>
      <c r="E28" s="336"/>
      <c r="F28" s="336"/>
    </row>
    <row r="29" spans="1:6">
      <c r="A29" s="1307" t="s">
        <v>909</v>
      </c>
      <c r="B29" s="1308">
        <v>2</v>
      </c>
      <c r="C29" s="336"/>
      <c r="D29" s="336"/>
      <c r="E29" s="336"/>
      <c r="F29" s="336"/>
    </row>
    <row r="30" spans="1:6">
      <c r="A30" s="1300" t="s">
        <v>910</v>
      </c>
      <c r="B30" s="1309">
        <v>3</v>
      </c>
      <c r="C30" s="333"/>
      <c r="D30" s="333"/>
      <c r="E30" s="333"/>
      <c r="F30" s="333"/>
    </row>
    <row r="31" spans="1:6" ht="15.75" thickBot="1">
      <c r="A31" s="334"/>
      <c r="B31" s="330"/>
      <c r="C31" s="330"/>
      <c r="D31" s="330"/>
      <c r="E31" s="330"/>
      <c r="F31" s="330"/>
    </row>
    <row r="32" spans="1:6" ht="20.25" thickBot="1">
      <c r="A32" s="1297" t="s">
        <v>19</v>
      </c>
      <c r="B32" s="331" t="s">
        <v>393</v>
      </c>
      <c r="C32" s="331" t="s">
        <v>911</v>
      </c>
      <c r="D32" s="331"/>
      <c r="E32" s="331"/>
      <c r="F32" s="335"/>
    </row>
    <row r="33" spans="1:6" ht="16.5" thickTop="1" thickBot="1">
      <c r="A33" s="1310"/>
      <c r="B33" s="1311"/>
      <c r="C33" s="1311"/>
      <c r="D33" s="1311"/>
      <c r="E33" s="1311" t="s">
        <v>20</v>
      </c>
      <c r="F33" s="1312"/>
    </row>
    <row r="34" spans="1:6" ht="16.5" thickTop="1" thickBot="1">
      <c r="A34" s="1313" t="s">
        <v>21</v>
      </c>
      <c r="B34" s="1314" t="s">
        <v>22</v>
      </c>
      <c r="C34" s="1314" t="s">
        <v>5</v>
      </c>
      <c r="D34" s="1314" t="s">
        <v>23</v>
      </c>
      <c r="E34" s="1314" t="s">
        <v>5</v>
      </c>
      <c r="F34" s="1315" t="s">
        <v>23</v>
      </c>
    </row>
    <row r="35" spans="1:6">
      <c r="A35" s="1305" t="s">
        <v>24</v>
      </c>
      <c r="B35" s="1305" t="s">
        <v>25</v>
      </c>
      <c r="C35" s="1306">
        <v>0</v>
      </c>
      <c r="D35" s="1306">
        <v>0</v>
      </c>
      <c r="E35" s="1306">
        <v>0</v>
      </c>
      <c r="F35" s="1306">
        <v>0</v>
      </c>
    </row>
    <row r="36" spans="1:6">
      <c r="A36" s="1305" t="s">
        <v>24</v>
      </c>
      <c r="B36" s="1305" t="s">
        <v>26</v>
      </c>
      <c r="C36" s="1306">
        <v>0</v>
      </c>
      <c r="D36" s="1306">
        <v>0</v>
      </c>
      <c r="E36" s="1306">
        <v>5</v>
      </c>
      <c r="F36" s="1306">
        <v>18619</v>
      </c>
    </row>
    <row r="37" spans="1:6">
      <c r="A37" s="1305" t="s">
        <v>24</v>
      </c>
      <c r="B37" s="1305" t="s">
        <v>27</v>
      </c>
      <c r="C37" s="1306">
        <v>0</v>
      </c>
      <c r="D37" s="1306">
        <v>0</v>
      </c>
      <c r="E37" s="1306">
        <v>0</v>
      </c>
      <c r="F37" s="1306">
        <v>0</v>
      </c>
    </row>
    <row r="38" spans="1:6">
      <c r="A38" s="1305" t="s">
        <v>24</v>
      </c>
      <c r="B38" s="1305" t="s">
        <v>28</v>
      </c>
      <c r="C38" s="1306">
        <v>0</v>
      </c>
      <c r="D38" s="1306">
        <v>0</v>
      </c>
      <c r="E38" s="1306">
        <v>1</v>
      </c>
      <c r="F38" s="1306">
        <v>151349</v>
      </c>
    </row>
    <row r="39" spans="1:6">
      <c r="A39" s="1305" t="s">
        <v>29</v>
      </c>
      <c r="B39" s="1305" t="s">
        <v>30</v>
      </c>
      <c r="C39" s="1306">
        <v>3673</v>
      </c>
      <c r="D39" s="1306">
        <v>51573932</v>
      </c>
      <c r="E39" s="1306">
        <v>4317</v>
      </c>
      <c r="F39" s="1306">
        <v>14364497</v>
      </c>
    </row>
    <row r="40" spans="1:6">
      <c r="A40" s="1305" t="s">
        <v>29</v>
      </c>
      <c r="B40" s="1305" t="s">
        <v>28</v>
      </c>
      <c r="C40" s="1306">
        <v>0</v>
      </c>
      <c r="D40" s="1306">
        <v>0</v>
      </c>
      <c r="E40" s="1306">
        <v>0</v>
      </c>
      <c r="F40" s="1306">
        <v>0</v>
      </c>
    </row>
    <row r="41" spans="1:6">
      <c r="A41" s="1305" t="s">
        <v>31</v>
      </c>
      <c r="B41" s="1305" t="s">
        <v>32</v>
      </c>
      <c r="C41" s="1306">
        <v>46</v>
      </c>
      <c r="D41" s="1306">
        <v>1380425</v>
      </c>
      <c r="E41" s="1306">
        <v>89</v>
      </c>
      <c r="F41" s="1306">
        <v>1038831</v>
      </c>
    </row>
    <row r="42" spans="1:6">
      <c r="A42" s="1305" t="s">
        <v>31</v>
      </c>
      <c r="B42" s="1305" t="s">
        <v>33</v>
      </c>
      <c r="C42" s="1306">
        <v>0</v>
      </c>
      <c r="D42" s="1306">
        <v>0</v>
      </c>
      <c r="E42" s="1306">
        <v>0</v>
      </c>
      <c r="F42" s="1306">
        <v>0</v>
      </c>
    </row>
    <row r="43" spans="1:6">
      <c r="A43" s="1305" t="s">
        <v>31</v>
      </c>
      <c r="B43" s="1305" t="s">
        <v>34</v>
      </c>
      <c r="C43" s="1306">
        <v>0</v>
      </c>
      <c r="D43" s="1306">
        <v>0</v>
      </c>
      <c r="E43" s="1306">
        <v>0</v>
      </c>
      <c r="F43" s="1306">
        <v>0</v>
      </c>
    </row>
    <row r="44" spans="1:6">
      <c r="A44" s="1305" t="s">
        <v>31</v>
      </c>
      <c r="B44" s="1305" t="s">
        <v>35</v>
      </c>
      <c r="C44" s="1306">
        <v>8</v>
      </c>
      <c r="D44" s="1306">
        <v>146882</v>
      </c>
      <c r="E44" s="1306">
        <v>11</v>
      </c>
      <c r="F44" s="1306">
        <v>195226</v>
      </c>
    </row>
    <row r="45" spans="1:6">
      <c r="A45" s="1305" t="s">
        <v>31</v>
      </c>
      <c r="B45" s="1305" t="s">
        <v>36</v>
      </c>
      <c r="C45" s="1306">
        <v>0</v>
      </c>
      <c r="D45" s="1306">
        <v>0</v>
      </c>
      <c r="E45" s="1306">
        <v>0</v>
      </c>
      <c r="F45" s="1306">
        <v>0</v>
      </c>
    </row>
    <row r="46" spans="1:6">
      <c r="A46" s="1305" t="s">
        <v>31</v>
      </c>
      <c r="B46" s="1305" t="s">
        <v>37</v>
      </c>
      <c r="C46" s="1306">
        <v>0</v>
      </c>
      <c r="D46" s="1306">
        <v>0</v>
      </c>
      <c r="E46" s="1306">
        <v>0</v>
      </c>
      <c r="F46" s="1306">
        <v>0</v>
      </c>
    </row>
    <row r="47" spans="1:6">
      <c r="A47" s="1305" t="s">
        <v>31</v>
      </c>
      <c r="B47" s="1305" t="s">
        <v>38</v>
      </c>
      <c r="C47" s="1306">
        <v>4</v>
      </c>
      <c r="D47" s="1306">
        <v>92674</v>
      </c>
      <c r="E47" s="1306">
        <v>3</v>
      </c>
      <c r="F47" s="1306">
        <v>10407</v>
      </c>
    </row>
    <row r="48" spans="1:6">
      <c r="A48" s="1305" t="s">
        <v>31</v>
      </c>
      <c r="B48" s="1305" t="s">
        <v>28</v>
      </c>
      <c r="C48" s="1306">
        <v>3</v>
      </c>
      <c r="D48" s="1306">
        <v>806139</v>
      </c>
      <c r="E48" s="1306">
        <v>3</v>
      </c>
      <c r="F48" s="1306">
        <v>1856839</v>
      </c>
    </row>
    <row r="49" spans="1:6">
      <c r="A49" s="1305" t="s">
        <v>31</v>
      </c>
      <c r="B49" s="1305" t="s">
        <v>39</v>
      </c>
      <c r="C49" s="1306">
        <v>0</v>
      </c>
      <c r="D49" s="1306">
        <v>0</v>
      </c>
      <c r="E49" s="1306">
        <v>0</v>
      </c>
      <c r="F49" s="1306">
        <v>0</v>
      </c>
    </row>
    <row r="50" spans="1:6">
      <c r="A50" s="1305" t="s">
        <v>31</v>
      </c>
      <c r="B50" s="1305" t="s">
        <v>40</v>
      </c>
      <c r="C50" s="1306">
        <v>9</v>
      </c>
      <c r="D50" s="1306">
        <v>573957</v>
      </c>
      <c r="E50" s="1306">
        <v>10</v>
      </c>
      <c r="F50" s="1306">
        <v>221096</v>
      </c>
    </row>
    <row r="51" spans="1:6">
      <c r="A51" s="1305" t="s">
        <v>41</v>
      </c>
      <c r="B51" s="1305" t="s">
        <v>42</v>
      </c>
      <c r="C51" s="1306">
        <v>0</v>
      </c>
      <c r="D51" s="1306">
        <v>0</v>
      </c>
      <c r="E51" s="1306">
        <v>4</v>
      </c>
      <c r="F51" s="1306">
        <v>14333</v>
      </c>
    </row>
    <row r="52" spans="1:6">
      <c r="A52" s="1305" t="s">
        <v>41</v>
      </c>
      <c r="B52" s="1305" t="s">
        <v>28</v>
      </c>
      <c r="C52" s="1306">
        <v>2</v>
      </c>
      <c r="D52" s="1306">
        <v>19682</v>
      </c>
      <c r="E52" s="1306">
        <v>0</v>
      </c>
      <c r="F52" s="1306">
        <v>0</v>
      </c>
    </row>
    <row r="53" spans="1:6">
      <c r="A53" s="1305" t="s">
        <v>43</v>
      </c>
      <c r="B53" s="1305" t="s">
        <v>44</v>
      </c>
      <c r="C53" s="1306">
        <v>0</v>
      </c>
      <c r="D53" s="1306">
        <v>0</v>
      </c>
      <c r="E53" s="1306">
        <v>0</v>
      </c>
      <c r="F53" s="1306">
        <v>0</v>
      </c>
    </row>
    <row r="54" spans="1:6">
      <c r="A54" s="1305" t="s">
        <v>45</v>
      </c>
      <c r="B54" s="1305" t="s">
        <v>46</v>
      </c>
      <c r="C54" s="1306">
        <v>0</v>
      </c>
      <c r="D54" s="1306">
        <v>0</v>
      </c>
      <c r="E54" s="1306">
        <v>8</v>
      </c>
      <c r="F54" s="1306">
        <v>576339</v>
      </c>
    </row>
    <row r="55" spans="1:6">
      <c r="A55" s="1305" t="s">
        <v>45</v>
      </c>
      <c r="B55" s="1305" t="s">
        <v>28</v>
      </c>
      <c r="C55" s="1306">
        <v>0</v>
      </c>
      <c r="D55" s="1306">
        <v>0</v>
      </c>
      <c r="E55" s="1306">
        <v>0</v>
      </c>
      <c r="F55" s="1306">
        <v>0</v>
      </c>
    </row>
    <row r="56" spans="1:6">
      <c r="A56" s="1305" t="s">
        <v>47</v>
      </c>
      <c r="B56" s="1305" t="s">
        <v>28</v>
      </c>
      <c r="C56" s="1306">
        <v>72</v>
      </c>
      <c r="D56" s="1306">
        <v>1378820</v>
      </c>
      <c r="E56" s="1306">
        <v>112</v>
      </c>
      <c r="F56" s="1306">
        <v>550220</v>
      </c>
    </row>
    <row r="57" spans="1:6">
      <c r="A57" s="1305" t="s">
        <v>48</v>
      </c>
      <c r="B57" s="1305" t="s">
        <v>49</v>
      </c>
      <c r="C57" s="1306">
        <v>25</v>
      </c>
      <c r="D57" s="1306">
        <v>870076</v>
      </c>
      <c r="E57" s="1306">
        <v>44</v>
      </c>
      <c r="F57" s="1306">
        <v>1582399</v>
      </c>
    </row>
    <row r="58" spans="1:6">
      <c r="A58" s="1305" t="s">
        <v>48</v>
      </c>
      <c r="B58" s="1305" t="s">
        <v>50</v>
      </c>
      <c r="C58" s="1306">
        <v>8</v>
      </c>
      <c r="D58" s="1306">
        <v>1750187</v>
      </c>
      <c r="E58" s="1306">
        <v>9</v>
      </c>
      <c r="F58" s="1306">
        <v>488999</v>
      </c>
    </row>
    <row r="59" spans="1:6">
      <c r="A59" s="1305" t="s">
        <v>48</v>
      </c>
      <c r="B59" s="1305" t="s">
        <v>51</v>
      </c>
      <c r="C59" s="1306">
        <v>48</v>
      </c>
      <c r="D59" s="1306">
        <v>1775010</v>
      </c>
      <c r="E59" s="1306">
        <v>66</v>
      </c>
      <c r="F59" s="1306">
        <v>6015196</v>
      </c>
    </row>
    <row r="60" spans="1:6">
      <c r="A60" s="1305" t="s">
        <v>48</v>
      </c>
      <c r="B60" s="1305" t="s">
        <v>52</v>
      </c>
      <c r="C60" s="1306">
        <v>33</v>
      </c>
      <c r="D60" s="1306">
        <v>1115694</v>
      </c>
      <c r="E60" s="1306">
        <v>42</v>
      </c>
      <c r="F60" s="1306">
        <v>614156</v>
      </c>
    </row>
    <row r="61" spans="1:6">
      <c r="A61" s="1305" t="s">
        <v>48</v>
      </c>
      <c r="B61" s="1305" t="s">
        <v>53</v>
      </c>
      <c r="C61" s="1306">
        <v>96</v>
      </c>
      <c r="D61" s="1306">
        <v>4855331</v>
      </c>
      <c r="E61" s="1306">
        <v>175</v>
      </c>
      <c r="F61" s="1306">
        <v>2011346</v>
      </c>
    </row>
    <row r="62" spans="1:6">
      <c r="A62" s="1305" t="s">
        <v>48</v>
      </c>
      <c r="B62" s="1305" t="s">
        <v>54</v>
      </c>
      <c r="C62" s="1306">
        <v>3</v>
      </c>
      <c r="D62" s="1306">
        <v>961847</v>
      </c>
      <c r="E62" s="1306">
        <v>0</v>
      </c>
      <c r="F62" s="1306">
        <v>0</v>
      </c>
    </row>
    <row r="63" spans="1:6">
      <c r="A63" s="1305" t="s">
        <v>48</v>
      </c>
      <c r="B63" s="1305" t="s">
        <v>28</v>
      </c>
      <c r="C63" s="1306">
        <v>0</v>
      </c>
      <c r="D63" s="1306">
        <v>0</v>
      </c>
      <c r="E63" s="1306">
        <v>2</v>
      </c>
      <c r="F63" s="1306">
        <v>198327</v>
      </c>
    </row>
    <row r="64" spans="1:6">
      <c r="A64" s="1305" t="s">
        <v>55</v>
      </c>
      <c r="B64" s="1305" t="s">
        <v>56</v>
      </c>
      <c r="C64" s="1306">
        <v>0</v>
      </c>
      <c r="D64" s="1306">
        <v>0</v>
      </c>
      <c r="E64" s="1306">
        <v>0</v>
      </c>
      <c r="F64" s="1306">
        <v>0</v>
      </c>
    </row>
    <row r="65" spans="1:6">
      <c r="A65" s="1305" t="s">
        <v>55</v>
      </c>
      <c r="B65" s="1305" t="s">
        <v>28</v>
      </c>
      <c r="C65" s="1306">
        <v>3</v>
      </c>
      <c r="D65" s="1306">
        <v>54523</v>
      </c>
      <c r="E65" s="1306">
        <v>1</v>
      </c>
      <c r="F65" s="1306">
        <v>0</v>
      </c>
    </row>
    <row r="66" spans="1:6">
      <c r="A66" s="1305" t="s">
        <v>55</v>
      </c>
      <c r="B66" s="1305" t="s">
        <v>57</v>
      </c>
      <c r="C66" s="1306">
        <v>0</v>
      </c>
      <c r="D66" s="1306">
        <v>0</v>
      </c>
      <c r="E66" s="1306">
        <v>0</v>
      </c>
      <c r="F66" s="1306">
        <v>0</v>
      </c>
    </row>
    <row r="67" spans="1:6">
      <c r="A67" s="1307" t="s">
        <v>55</v>
      </c>
      <c r="B67" s="1307" t="s">
        <v>58</v>
      </c>
      <c r="C67" s="1306">
        <v>0</v>
      </c>
      <c r="D67" s="1306">
        <v>0</v>
      </c>
      <c r="E67" s="1306">
        <v>0</v>
      </c>
      <c r="F67" s="1306">
        <v>0</v>
      </c>
    </row>
    <row r="68" spans="1:6">
      <c r="A68" s="1300" t="s">
        <v>55</v>
      </c>
      <c r="B68" s="1300" t="s">
        <v>59</v>
      </c>
      <c r="C68" s="1309">
        <v>0</v>
      </c>
      <c r="D68" s="1309">
        <v>0</v>
      </c>
      <c r="E68" s="1309">
        <v>9</v>
      </c>
      <c r="F68" s="1309">
        <v>156105</v>
      </c>
    </row>
    <row r="69" spans="1:6" ht="15.75" thickBot="1">
      <c r="A69" s="334"/>
      <c r="B69" s="330"/>
      <c r="C69" s="330"/>
      <c r="D69" s="330"/>
      <c r="E69" s="330"/>
      <c r="F69" s="330"/>
    </row>
    <row r="70" spans="1:6" ht="19.5">
      <c r="A70" s="1297" t="s">
        <v>60</v>
      </c>
      <c r="B70" s="331" t="s">
        <v>407</v>
      </c>
      <c r="C70" s="331" t="s">
        <v>764</v>
      </c>
      <c r="D70" s="331"/>
      <c r="E70" s="331"/>
      <c r="F70" s="335"/>
    </row>
    <row r="71" spans="1:6" ht="20.25" thickBot="1">
      <c r="A71" s="1316"/>
      <c r="B71" s="337"/>
      <c r="C71" s="337"/>
      <c r="D71" s="338" t="s">
        <v>447</v>
      </c>
      <c r="E71" s="337"/>
      <c r="F71" s="339"/>
    </row>
    <row r="72" spans="1:6" ht="16.5" thickTop="1" thickBot="1">
      <c r="A72" s="1302" t="s">
        <v>61</v>
      </c>
      <c r="B72" s="1303" t="s">
        <v>62</v>
      </c>
      <c r="C72" s="1317" t="s">
        <v>727</v>
      </c>
      <c r="D72" s="1318"/>
      <c r="E72" s="1318"/>
      <c r="F72" s="1304"/>
    </row>
    <row r="73" spans="1:6">
      <c r="A73" s="1305" t="s">
        <v>63</v>
      </c>
      <c r="B73" s="1305" t="s">
        <v>709</v>
      </c>
      <c r="C73" s="1319" t="s">
        <v>711</v>
      </c>
      <c r="D73" s="1320">
        <v>28856161</v>
      </c>
      <c r="E73" s="450"/>
      <c r="F73" s="330"/>
    </row>
    <row r="74" spans="1:6">
      <c r="A74" s="1305" t="s">
        <v>63</v>
      </c>
      <c r="B74" s="1305" t="s">
        <v>710</v>
      </c>
      <c r="C74" s="1319" t="s">
        <v>712</v>
      </c>
      <c r="D74" s="1320">
        <v>885012.09499323228</v>
      </c>
      <c r="E74" s="450"/>
      <c r="F74" s="330"/>
    </row>
    <row r="75" spans="1:6">
      <c r="A75" s="1305" t="s">
        <v>64</v>
      </c>
      <c r="B75" s="1305" t="s">
        <v>709</v>
      </c>
      <c r="C75" s="1319" t="s">
        <v>713</v>
      </c>
      <c r="D75" s="1320">
        <v>2739296</v>
      </c>
      <c r="E75" s="450"/>
      <c r="F75" s="330"/>
    </row>
    <row r="76" spans="1:6">
      <c r="A76" s="1305" t="s">
        <v>64</v>
      </c>
      <c r="B76" s="1305" t="s">
        <v>710</v>
      </c>
      <c r="C76" s="1319" t="s">
        <v>714</v>
      </c>
      <c r="D76" s="1320">
        <v>236020.09499323228</v>
      </c>
      <c r="E76" s="450"/>
      <c r="F76" s="330"/>
    </row>
    <row r="77" spans="1:6">
      <c r="A77" s="1305" t="s">
        <v>65</v>
      </c>
      <c r="B77" s="1305" t="s">
        <v>709</v>
      </c>
      <c r="C77" s="1319" t="s">
        <v>715</v>
      </c>
      <c r="D77" s="1320">
        <v>0</v>
      </c>
      <c r="E77" s="450"/>
      <c r="F77" s="330"/>
    </row>
    <row r="78" spans="1:6">
      <c r="A78" s="1300" t="s">
        <v>65</v>
      </c>
      <c r="B78" s="1300" t="s">
        <v>710</v>
      </c>
      <c r="C78" s="1300" t="s">
        <v>716</v>
      </c>
      <c r="D78" s="1321">
        <v>0</v>
      </c>
      <c r="E78" s="1322"/>
      <c r="F78" s="333"/>
    </row>
    <row r="79" spans="1:6">
      <c r="A79" s="1323"/>
      <c r="B79" s="1323"/>
      <c r="C79" s="330"/>
      <c r="D79" s="330"/>
      <c r="E79" s="330"/>
      <c r="F79" s="330"/>
    </row>
    <row r="80" spans="1:6" ht="15.75" thickBot="1">
      <c r="A80" s="1323"/>
      <c r="B80" s="1323"/>
      <c r="C80" s="330"/>
      <c r="D80" s="330"/>
      <c r="E80" s="330"/>
      <c r="F80" s="330"/>
    </row>
    <row r="81" spans="1:6" ht="20.25" thickBot="1">
      <c r="A81" s="1297" t="s">
        <v>333</v>
      </c>
      <c r="B81" s="1324" t="s">
        <v>393</v>
      </c>
      <c r="C81" s="331" t="s">
        <v>912</v>
      </c>
      <c r="D81" s="331"/>
      <c r="E81" s="331"/>
      <c r="F81" s="335"/>
    </row>
    <row r="82" spans="1:6" ht="16.5" thickTop="1" thickBot="1">
      <c r="A82" s="1302" t="s">
        <v>334</v>
      </c>
      <c r="B82" s="1318"/>
      <c r="C82" s="1318"/>
      <c r="D82" s="1303"/>
      <c r="E82" s="1303"/>
      <c r="F82" s="1304"/>
    </row>
    <row r="83" spans="1:6">
      <c r="A83" s="1305" t="s">
        <v>335</v>
      </c>
      <c r="B83" s="1320">
        <v>185531.81001353543</v>
      </c>
      <c r="C83" s="450"/>
      <c r="D83" s="330"/>
      <c r="E83" s="330"/>
      <c r="F83" s="330"/>
    </row>
    <row r="84" spans="1:6">
      <c r="A84" s="1300" t="s">
        <v>336</v>
      </c>
      <c r="B84" s="1321">
        <v>0</v>
      </c>
      <c r="C84" s="1322"/>
      <c r="D84" s="333"/>
      <c r="E84" s="333"/>
      <c r="F84" s="333"/>
    </row>
    <row r="85" spans="1:6">
      <c r="A85" s="1323"/>
      <c r="B85" s="1325"/>
      <c r="C85" s="330"/>
      <c r="D85" s="330"/>
      <c r="E85" s="330"/>
      <c r="F85" s="330"/>
    </row>
    <row r="86" spans="1:6" ht="15.75" thickBot="1">
      <c r="A86" s="334"/>
      <c r="B86" s="330"/>
      <c r="C86" s="330"/>
      <c r="D86" s="330"/>
      <c r="E86" s="330"/>
      <c r="F86" s="330"/>
    </row>
    <row r="87" spans="1:6" ht="20.25" thickBot="1">
      <c r="A87" s="1297" t="s">
        <v>66</v>
      </c>
      <c r="B87" s="331" t="s">
        <v>393</v>
      </c>
      <c r="C87" s="331" t="s">
        <v>410</v>
      </c>
      <c r="D87" s="331"/>
      <c r="E87" s="331"/>
      <c r="F87" s="335"/>
    </row>
    <row r="88" spans="1:6" ht="16.5" thickTop="1" thickBot="1">
      <c r="A88" s="1302" t="s">
        <v>4</v>
      </c>
      <c r="B88" s="1303" t="s">
        <v>169</v>
      </c>
      <c r="C88" s="1303"/>
      <c r="D88" s="1303"/>
      <c r="E88" s="1303"/>
      <c r="F88" s="1304"/>
    </row>
    <row r="89" spans="1:6">
      <c r="A89" s="1305" t="s">
        <v>557</v>
      </c>
      <c r="B89" s="1306">
        <v>0</v>
      </c>
      <c r="C89" s="330"/>
      <c r="D89" s="330"/>
      <c r="E89" s="330"/>
      <c r="F89" s="330"/>
    </row>
    <row r="90" spans="1:6">
      <c r="A90" s="1305" t="s">
        <v>558</v>
      </c>
      <c r="B90" s="1306">
        <v>0</v>
      </c>
      <c r="C90" s="330"/>
      <c r="D90" s="330"/>
      <c r="E90" s="330"/>
      <c r="F90" s="330"/>
    </row>
    <row r="91" spans="1:6">
      <c r="A91" s="1305" t="s">
        <v>67</v>
      </c>
      <c r="B91" s="1306">
        <v>888.41477926230812</v>
      </c>
      <c r="C91" s="330"/>
      <c r="D91" s="330"/>
      <c r="E91" s="330"/>
      <c r="F91" s="330"/>
    </row>
    <row r="92" spans="1:6">
      <c r="A92" s="1300" t="s">
        <v>68</v>
      </c>
      <c r="B92" s="1301">
        <v>2251.5566094094329</v>
      </c>
      <c r="C92" s="333"/>
      <c r="D92" s="333"/>
      <c r="E92" s="333"/>
      <c r="F92" s="333"/>
    </row>
    <row r="93" spans="1:6">
      <c r="A93" s="334"/>
      <c r="B93" s="330"/>
      <c r="C93" s="330"/>
      <c r="D93" s="330"/>
      <c r="E93" s="330"/>
      <c r="F93" s="330"/>
    </row>
    <row r="94" spans="1:6" ht="15.75" thickBot="1">
      <c r="A94" s="334"/>
      <c r="B94" s="330"/>
      <c r="C94" s="330"/>
      <c r="D94" s="330"/>
      <c r="E94" s="330"/>
      <c r="F94" s="330"/>
    </row>
    <row r="95" spans="1:6" ht="20.25" thickBot="1">
      <c r="A95" s="1297" t="s">
        <v>69</v>
      </c>
      <c r="B95" s="331" t="s">
        <v>393</v>
      </c>
      <c r="C95" s="331" t="s">
        <v>411</v>
      </c>
      <c r="D95" s="331"/>
      <c r="E95" s="331"/>
      <c r="F95" s="335"/>
    </row>
    <row r="96" spans="1:6" ht="16.5" thickTop="1" thickBot="1">
      <c r="A96" s="1302" t="s">
        <v>4</v>
      </c>
      <c r="B96" s="1303" t="s">
        <v>5</v>
      </c>
      <c r="C96" s="1303"/>
      <c r="D96" s="1303"/>
      <c r="E96" s="1303"/>
      <c r="F96" s="1304"/>
    </row>
    <row r="97" spans="1:6">
      <c r="A97" s="1305" t="s">
        <v>70</v>
      </c>
      <c r="B97" s="1306">
        <v>2687</v>
      </c>
      <c r="C97" s="330"/>
      <c r="D97" s="330"/>
      <c r="E97" s="330"/>
      <c r="F97" s="330"/>
    </row>
    <row r="98" spans="1:6">
      <c r="A98" s="1305" t="s">
        <v>71</v>
      </c>
      <c r="B98" s="1306">
        <v>5</v>
      </c>
      <c r="C98" s="330"/>
      <c r="D98" s="330"/>
      <c r="E98" s="330"/>
      <c r="F98" s="330"/>
    </row>
    <row r="99" spans="1:6">
      <c r="A99" s="1305" t="s">
        <v>72</v>
      </c>
      <c r="B99" s="1306">
        <v>10</v>
      </c>
      <c r="C99" s="330"/>
      <c r="D99" s="330"/>
      <c r="E99" s="330"/>
      <c r="F99" s="330"/>
    </row>
    <row r="100" spans="1:6">
      <c r="A100" s="1305" t="s">
        <v>73</v>
      </c>
      <c r="B100" s="1306">
        <v>375</v>
      </c>
      <c r="C100" s="330"/>
      <c r="D100" s="330"/>
      <c r="E100" s="330"/>
      <c r="F100" s="330"/>
    </row>
    <row r="101" spans="1:6">
      <c r="A101" s="1305" t="s">
        <v>74</v>
      </c>
      <c r="B101" s="1306">
        <v>16</v>
      </c>
      <c r="C101" s="330"/>
      <c r="D101" s="330"/>
      <c r="E101" s="330"/>
      <c r="F101" s="330"/>
    </row>
    <row r="102" spans="1:6">
      <c r="A102" s="1305" t="s">
        <v>75</v>
      </c>
      <c r="B102" s="1306">
        <v>52</v>
      </c>
      <c r="C102" s="330"/>
      <c r="D102" s="330"/>
      <c r="E102" s="330"/>
      <c r="F102" s="330"/>
    </row>
    <row r="103" spans="1:6">
      <c r="A103" s="1305" t="s">
        <v>76</v>
      </c>
      <c r="B103" s="1306">
        <v>69</v>
      </c>
      <c r="C103" s="330"/>
      <c r="D103" s="330"/>
      <c r="E103" s="330"/>
      <c r="F103" s="330"/>
    </row>
    <row r="104" spans="1:6">
      <c r="A104" s="1305" t="s">
        <v>77</v>
      </c>
      <c r="B104" s="1306">
        <v>325</v>
      </c>
      <c r="C104" s="330"/>
      <c r="D104" s="330"/>
      <c r="E104" s="330"/>
      <c r="F104" s="330"/>
    </row>
    <row r="105" spans="1:6">
      <c r="A105" s="1300" t="s">
        <v>78</v>
      </c>
      <c r="B105" s="1309">
        <v>1</v>
      </c>
      <c r="C105" s="333"/>
      <c r="D105" s="333"/>
      <c r="E105" s="333"/>
      <c r="F105" s="333"/>
    </row>
    <row r="106" spans="1:6">
      <c r="A106" s="334"/>
      <c r="B106" s="330"/>
      <c r="C106" s="330"/>
      <c r="D106" s="330"/>
      <c r="E106" s="330"/>
      <c r="F106" s="330"/>
    </row>
    <row r="107" spans="1:6" ht="15.75" thickBot="1">
      <c r="A107" s="334"/>
      <c r="B107" s="330"/>
      <c r="C107" s="330"/>
      <c r="D107" s="330"/>
      <c r="E107" s="330"/>
      <c r="F107" s="330"/>
    </row>
    <row r="108" spans="1:6" ht="20.25" thickBot="1">
      <c r="A108" s="1297" t="s">
        <v>660</v>
      </c>
      <c r="B108" s="331" t="s">
        <v>393</v>
      </c>
      <c r="C108" s="331" t="s">
        <v>410</v>
      </c>
      <c r="D108" s="331"/>
      <c r="E108" s="331"/>
      <c r="F108" s="335"/>
    </row>
    <row r="109" spans="1:6" ht="16.5" thickTop="1" thickBot="1">
      <c r="A109" s="1302" t="s">
        <v>4</v>
      </c>
      <c r="B109" s="1303" t="s">
        <v>5</v>
      </c>
      <c r="C109" s="1303"/>
      <c r="D109" s="1303"/>
      <c r="E109" s="1303"/>
      <c r="F109" s="1304"/>
    </row>
    <row r="110" spans="1:6">
      <c r="A110" s="1305" t="s">
        <v>661</v>
      </c>
      <c r="B110" s="1306">
        <v>0</v>
      </c>
      <c r="C110" s="330"/>
      <c r="D110" s="330"/>
      <c r="E110" s="330"/>
      <c r="F110" s="330"/>
    </row>
    <row r="111" spans="1:6">
      <c r="A111" s="1326" t="s">
        <v>662</v>
      </c>
      <c r="B111" s="1327">
        <v>0</v>
      </c>
      <c r="C111" s="1329"/>
      <c r="D111" s="1329"/>
      <c r="E111" s="1329"/>
      <c r="F111" s="1329"/>
    </row>
    <row r="112" spans="1:6">
      <c r="A112" s="1305"/>
      <c r="B112" s="330"/>
      <c r="C112" s="330"/>
      <c r="D112" s="330"/>
      <c r="E112" s="330"/>
      <c r="F112" s="330"/>
    </row>
    <row r="113" spans="1:6" ht="15.75" thickBot="1">
      <c r="A113" s="1300"/>
      <c r="B113" s="333"/>
      <c r="C113" s="333"/>
      <c r="D113" s="333"/>
      <c r="E113" s="333"/>
      <c r="F113" s="333"/>
    </row>
    <row r="114" spans="1:6" ht="20.25" thickBot="1">
      <c r="A114" s="1297" t="s">
        <v>79</v>
      </c>
      <c r="B114" s="331" t="s">
        <v>393</v>
      </c>
      <c r="C114" s="331" t="s">
        <v>410</v>
      </c>
      <c r="D114" s="331"/>
      <c r="E114" s="331"/>
      <c r="F114" s="335"/>
    </row>
    <row r="115" spans="1:6" ht="16.5" thickTop="1" thickBot="1">
      <c r="A115" s="340"/>
      <c r="B115" s="341" t="s">
        <v>80</v>
      </c>
      <c r="C115" s="341" t="s">
        <v>81</v>
      </c>
      <c r="D115" s="341"/>
      <c r="E115" s="341"/>
      <c r="F115" s="342"/>
    </row>
    <row r="116" spans="1:6" ht="16.5" thickTop="1" thickBot="1">
      <c r="A116" s="1302" t="s">
        <v>4</v>
      </c>
      <c r="B116" s="1303" t="s">
        <v>5</v>
      </c>
      <c r="C116" s="1303" t="s">
        <v>5</v>
      </c>
      <c r="D116" s="1303"/>
      <c r="E116" s="1303"/>
      <c r="F116" s="1304"/>
    </row>
    <row r="117" spans="1:6">
      <c r="A117" s="1305" t="s">
        <v>82</v>
      </c>
      <c r="B117" s="1306">
        <v>0</v>
      </c>
      <c r="C117" s="1306">
        <v>0</v>
      </c>
      <c r="D117" s="330"/>
      <c r="E117" s="330"/>
      <c r="F117" s="330"/>
    </row>
    <row r="118" spans="1:6">
      <c r="A118" s="1305" t="s">
        <v>83</v>
      </c>
      <c r="B118" s="1306">
        <v>0</v>
      </c>
      <c r="C118" s="1306">
        <v>0</v>
      </c>
      <c r="D118" s="330"/>
      <c r="E118" s="330"/>
      <c r="F118" s="330"/>
    </row>
    <row r="119" spans="1:6">
      <c r="A119" s="1305" t="s">
        <v>31</v>
      </c>
      <c r="B119" s="1306">
        <v>0</v>
      </c>
      <c r="C119" s="1306">
        <v>0</v>
      </c>
      <c r="D119" s="330"/>
      <c r="E119" s="330"/>
      <c r="F119" s="330"/>
    </row>
    <row r="120" spans="1:6">
      <c r="A120" s="1305" t="s">
        <v>84</v>
      </c>
      <c r="B120" s="1306">
        <v>0</v>
      </c>
      <c r="C120" s="1306">
        <v>0</v>
      </c>
      <c r="D120" s="330"/>
      <c r="E120" s="330"/>
      <c r="F120" s="330"/>
    </row>
    <row r="121" spans="1:6">
      <c r="A121" s="1305" t="s">
        <v>85</v>
      </c>
      <c r="B121" s="1306">
        <v>0</v>
      </c>
      <c r="C121" s="1306">
        <v>0</v>
      </c>
      <c r="D121" s="330"/>
      <c r="E121" s="330"/>
      <c r="F121" s="330"/>
    </row>
    <row r="122" spans="1:6">
      <c r="A122" s="1305" t="s">
        <v>86</v>
      </c>
      <c r="B122" s="1306">
        <v>0</v>
      </c>
      <c r="C122" s="1306">
        <v>0</v>
      </c>
      <c r="D122" s="330"/>
      <c r="E122" s="330"/>
      <c r="F122" s="330"/>
    </row>
    <row r="123" spans="1:6">
      <c r="A123" s="1305" t="s">
        <v>87</v>
      </c>
      <c r="B123" s="1306">
        <v>11</v>
      </c>
      <c r="C123" s="1306">
        <v>0</v>
      </c>
      <c r="D123" s="330"/>
      <c r="E123" s="330"/>
      <c r="F123" s="330"/>
    </row>
    <row r="124" spans="1:6" s="43" customFormat="1">
      <c r="A124" s="1307" t="s">
        <v>88</v>
      </c>
      <c r="B124" s="1328">
        <v>0</v>
      </c>
      <c r="C124" s="1328">
        <v>0</v>
      </c>
      <c r="D124" s="336"/>
      <c r="E124" s="336"/>
      <c r="F124" s="336"/>
    </row>
    <row r="125" spans="1:6">
      <c r="A125" s="1300" t="s">
        <v>906</v>
      </c>
      <c r="B125" s="1328">
        <v>0</v>
      </c>
      <c r="C125" s="1328">
        <v>0</v>
      </c>
      <c r="D125" s="330"/>
      <c r="E125" s="330"/>
      <c r="F125" s="330"/>
    </row>
    <row r="126" spans="1:6" ht="15.75" thickBot="1">
      <c r="A126" s="1323"/>
      <c r="B126" s="330"/>
      <c r="C126" s="330"/>
      <c r="D126" s="330"/>
      <c r="E126" s="330"/>
      <c r="F126" s="330"/>
    </row>
    <row r="127" spans="1:6" ht="20.25" thickBot="1">
      <c r="A127" s="1297" t="s">
        <v>292</v>
      </c>
      <c r="B127" s="331" t="s">
        <v>393</v>
      </c>
      <c r="C127" s="331" t="s">
        <v>410</v>
      </c>
      <c r="D127" s="331"/>
      <c r="E127" s="331"/>
      <c r="F127" s="335"/>
    </row>
    <row r="128" spans="1:6" ht="16.5" thickTop="1" thickBot="1">
      <c r="A128" s="1302" t="s">
        <v>4</v>
      </c>
      <c r="B128" s="1303" t="s">
        <v>5</v>
      </c>
      <c r="C128" s="1303"/>
      <c r="D128" s="1303"/>
      <c r="E128" s="1303"/>
      <c r="F128" s="1304"/>
    </row>
    <row r="129" spans="1:6">
      <c r="A129" s="1305" t="s">
        <v>293</v>
      </c>
      <c r="B129" s="1306">
        <v>22</v>
      </c>
      <c r="C129" s="330"/>
      <c r="D129" s="330"/>
      <c r="E129" s="330"/>
      <c r="F129" s="330"/>
    </row>
    <row r="130" spans="1:6">
      <c r="A130" s="1305" t="s">
        <v>294</v>
      </c>
      <c r="B130" s="1306">
        <v>0</v>
      </c>
      <c r="C130" s="330"/>
      <c r="D130" s="330"/>
      <c r="E130" s="330"/>
      <c r="F130" s="330"/>
    </row>
    <row r="131" spans="1:6">
      <c r="A131" s="1305" t="s">
        <v>295</v>
      </c>
      <c r="B131" s="1306">
        <v>0</v>
      </c>
      <c r="C131" s="330"/>
      <c r="D131" s="330"/>
      <c r="E131" s="330"/>
      <c r="F131" s="330"/>
    </row>
    <row r="132" spans="1:6">
      <c r="A132" s="1300" t="s">
        <v>296</v>
      </c>
      <c r="B132" s="1301">
        <v>2</v>
      </c>
      <c r="C132" s="333"/>
      <c r="D132" s="333"/>
      <c r="E132" s="333"/>
      <c r="F132" s="333"/>
    </row>
    <row r="133" spans="1:6">
      <c r="A133" s="330"/>
      <c r="B133" s="330"/>
      <c r="C133" s="330"/>
      <c r="D133" s="330"/>
      <c r="E133" s="330"/>
      <c r="F133" s="330"/>
    </row>
    <row r="134" spans="1:6">
      <c r="A134" s="1325"/>
      <c r="B134" s="330"/>
      <c r="C134" s="330"/>
      <c r="D134" s="330"/>
      <c r="E134" s="330"/>
      <c r="F134" s="330"/>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tint="-0.34998626667073579"/>
  </sheetPr>
  <dimension ref="A1:N53"/>
  <sheetViews>
    <sheetView showGridLines="0" topLeftCell="A19" workbookViewId="0">
      <selection activeCell="H41" sqref="H41"/>
    </sheetView>
  </sheetViews>
  <sheetFormatPr defaultRowHeight="15"/>
  <cols>
    <col min="1" max="1" width="46.7109375" bestFit="1" customWidth="1"/>
    <col min="2" max="2" width="38.5703125" style="520" customWidth="1"/>
    <col min="7" max="7" width="26.5703125" bestFit="1" customWidth="1"/>
  </cols>
  <sheetData>
    <row r="1" spans="1:12" ht="18.75" thickBot="1">
      <c r="A1" s="121" t="s">
        <v>179</v>
      </c>
      <c r="B1" s="506"/>
      <c r="E1" s="636"/>
      <c r="F1" s="636"/>
    </row>
    <row r="2" spans="1:12">
      <c r="A2" s="44" t="s">
        <v>686</v>
      </c>
      <c r="B2" s="507"/>
      <c r="E2" s="636"/>
      <c r="F2" s="636"/>
    </row>
    <row r="3" spans="1:12">
      <c r="A3" s="44"/>
      <c r="B3" s="507"/>
      <c r="E3" s="636"/>
      <c r="F3" s="636"/>
    </row>
    <row r="4" spans="1:12" ht="18">
      <c r="A4" s="137" t="s">
        <v>180</v>
      </c>
      <c r="B4" s="508" t="s">
        <v>387</v>
      </c>
      <c r="E4" s="636"/>
      <c r="F4" s="636"/>
    </row>
    <row r="5" spans="1:12" ht="21">
      <c r="A5" s="116" t="s">
        <v>182</v>
      </c>
      <c r="B5" s="509"/>
      <c r="E5" s="879"/>
      <c r="F5" s="880"/>
      <c r="G5" s="890"/>
      <c r="H5" s="890"/>
      <c r="I5" s="9"/>
      <c r="J5" s="9"/>
    </row>
    <row r="6" spans="1:12">
      <c r="A6" s="117" t="s">
        <v>183</v>
      </c>
      <c r="B6" s="510">
        <v>3.9849787380274715</v>
      </c>
      <c r="E6" s="881"/>
      <c r="F6" s="881"/>
      <c r="G6" s="891"/>
      <c r="H6" s="891"/>
      <c r="I6" s="10"/>
      <c r="J6" s="10"/>
      <c r="K6" s="10"/>
      <c r="L6" s="10"/>
    </row>
    <row r="7" spans="1:12">
      <c r="A7" s="117" t="s">
        <v>6</v>
      </c>
      <c r="B7" s="510">
        <v>144.74764565450877</v>
      </c>
      <c r="E7" s="636"/>
      <c r="F7" s="636"/>
      <c r="G7" s="892"/>
      <c r="H7" s="892"/>
      <c r="K7" s="10"/>
      <c r="L7" s="10"/>
    </row>
    <row r="8" spans="1:12">
      <c r="A8" s="117" t="s">
        <v>7</v>
      </c>
      <c r="B8" s="510">
        <v>91.875878397574567</v>
      </c>
      <c r="E8" s="636"/>
      <c r="F8" s="636"/>
      <c r="G8" s="892"/>
      <c r="H8" s="892"/>
      <c r="K8" s="10"/>
      <c r="L8" s="10"/>
    </row>
    <row r="9" spans="1:12">
      <c r="A9" s="117" t="s">
        <v>8</v>
      </c>
      <c r="B9" s="510">
        <v>31.466379225633727</v>
      </c>
      <c r="E9" s="881"/>
      <c r="F9" s="881"/>
      <c r="G9" s="891"/>
      <c r="H9" s="891"/>
      <c r="I9" s="10"/>
      <c r="J9" s="10"/>
      <c r="K9" s="10"/>
      <c r="L9" s="10"/>
    </row>
    <row r="10" spans="1:12">
      <c r="A10" s="117" t="s">
        <v>9</v>
      </c>
      <c r="B10" s="510">
        <v>47.265136268950577</v>
      </c>
      <c r="E10" s="882"/>
      <c r="F10" s="882"/>
      <c r="G10" s="893"/>
      <c r="H10" s="893"/>
      <c r="I10" s="11"/>
      <c r="J10" s="11"/>
      <c r="K10" s="10"/>
      <c r="L10" s="10"/>
    </row>
    <row r="11" spans="1:12">
      <c r="A11" s="117" t="s">
        <v>10</v>
      </c>
      <c r="B11" s="510">
        <v>47.685070955670071</v>
      </c>
      <c r="E11" s="636"/>
      <c r="F11" s="882"/>
      <c r="G11" s="893"/>
      <c r="H11" s="893"/>
      <c r="I11" s="11"/>
      <c r="J11" s="11"/>
      <c r="K11" s="10"/>
      <c r="L11" s="10"/>
    </row>
    <row r="12" spans="1:12">
      <c r="A12" s="118" t="s">
        <v>16</v>
      </c>
      <c r="B12" s="510">
        <v>8</v>
      </c>
      <c r="E12" s="882"/>
      <c r="F12" s="881"/>
      <c r="G12" s="891"/>
      <c r="H12" s="891"/>
      <c r="I12" s="10"/>
      <c r="J12" s="10"/>
      <c r="K12" s="10"/>
      <c r="L12" s="10"/>
    </row>
    <row r="13" spans="1:12">
      <c r="A13" s="118" t="s">
        <v>17</v>
      </c>
      <c r="B13" s="510">
        <v>5</v>
      </c>
      <c r="E13" s="881"/>
      <c r="F13" s="881"/>
      <c r="G13" s="891"/>
      <c r="H13" s="891"/>
      <c r="I13" s="10"/>
      <c r="J13" s="10"/>
      <c r="K13" s="10"/>
      <c r="L13" s="10"/>
    </row>
    <row r="14" spans="1:12">
      <c r="A14" s="118" t="s">
        <v>184</v>
      </c>
      <c r="B14" s="510">
        <v>1.5</v>
      </c>
      <c r="E14" s="881"/>
      <c r="F14" s="881"/>
      <c r="G14" s="891"/>
      <c r="H14" s="891"/>
      <c r="I14" s="10"/>
      <c r="J14" s="10"/>
      <c r="K14" s="10"/>
      <c r="L14" s="10"/>
    </row>
    <row r="15" spans="1:12">
      <c r="A15" s="118" t="s">
        <v>185</v>
      </c>
      <c r="B15" s="510">
        <v>18</v>
      </c>
      <c r="E15" s="881"/>
      <c r="F15" s="881"/>
      <c r="G15" s="891"/>
      <c r="H15" s="891"/>
      <c r="I15" s="10"/>
      <c r="J15" s="10"/>
      <c r="K15" s="10"/>
      <c r="L15" s="10"/>
    </row>
    <row r="16" spans="1:12">
      <c r="A16" s="118" t="s">
        <v>186</v>
      </c>
      <c r="B16" s="511">
        <v>10</v>
      </c>
      <c r="E16" s="881"/>
      <c r="F16" s="881"/>
      <c r="G16" s="891"/>
      <c r="H16" s="891"/>
      <c r="I16" s="10"/>
      <c r="J16" s="10"/>
      <c r="K16" s="10"/>
      <c r="L16" s="10"/>
    </row>
    <row r="17" spans="1:12" s="43" customFormat="1" ht="15.75" thickBot="1">
      <c r="A17" s="119"/>
      <c r="B17" s="512"/>
      <c r="E17" s="883"/>
      <c r="F17" s="883"/>
      <c r="G17" s="154"/>
      <c r="H17" s="154"/>
      <c r="I17" s="154"/>
      <c r="J17" s="154"/>
      <c r="K17" s="154"/>
      <c r="L17" s="154"/>
    </row>
    <row r="18" spans="1:12" s="43" customFormat="1" ht="15.75" thickBot="1">
      <c r="A18" s="195"/>
      <c r="B18" s="513"/>
      <c r="E18" s="883"/>
      <c r="F18" s="883"/>
      <c r="G18" s="154"/>
      <c r="H18" s="154"/>
      <c r="I18" s="154"/>
      <c r="J18" s="154"/>
      <c r="K18" s="154"/>
      <c r="L18" s="154"/>
    </row>
    <row r="19" spans="1:12" ht="18.75" thickBot="1">
      <c r="A19" s="121" t="s">
        <v>187</v>
      </c>
      <c r="B19" s="506"/>
      <c r="E19" s="881"/>
      <c r="F19" s="881"/>
      <c r="G19" s="10"/>
      <c r="H19" s="10"/>
      <c r="I19" s="10"/>
      <c r="J19" s="10"/>
      <c r="K19" s="10"/>
      <c r="L19" s="10"/>
    </row>
    <row r="20" spans="1:12">
      <c r="A20" s="44" t="s">
        <v>686</v>
      </c>
      <c r="B20" s="507"/>
      <c r="E20" s="881"/>
      <c r="F20" s="881"/>
      <c r="G20" s="10"/>
      <c r="H20" s="10"/>
      <c r="I20" s="10"/>
      <c r="J20" s="10"/>
      <c r="K20" s="10"/>
      <c r="L20" s="10"/>
    </row>
    <row r="21" spans="1:12">
      <c r="A21" s="44"/>
      <c r="B21" s="507"/>
      <c r="E21" s="881"/>
      <c r="F21" s="881"/>
      <c r="G21" s="10"/>
      <c r="H21" s="10"/>
      <c r="I21" s="10"/>
      <c r="J21" s="10"/>
      <c r="K21" s="10"/>
      <c r="L21" s="10"/>
    </row>
    <row r="22" spans="1:12" ht="18">
      <c r="A22" s="138" t="s">
        <v>180</v>
      </c>
      <c r="B22" s="514" t="s">
        <v>387</v>
      </c>
      <c r="E22" s="881"/>
      <c r="F22" s="881"/>
      <c r="G22" s="10"/>
      <c r="H22" s="10"/>
      <c r="I22" s="10"/>
      <c r="J22" s="10"/>
      <c r="K22" s="10"/>
      <c r="L22" s="10"/>
    </row>
    <row r="23" spans="1:12" s="72" customFormat="1">
      <c r="A23" s="118" t="s">
        <v>182</v>
      </c>
      <c r="B23" s="510">
        <v>11.063457018926419</v>
      </c>
      <c r="E23" s="884"/>
      <c r="F23" s="884"/>
      <c r="G23" s="894"/>
      <c r="H23" s="894"/>
    </row>
    <row r="24" spans="1:12">
      <c r="A24" s="117" t="s">
        <v>183</v>
      </c>
      <c r="B24" s="510">
        <v>4.2231090152811745</v>
      </c>
      <c r="E24" s="881"/>
      <c r="F24" s="881"/>
      <c r="G24" s="891"/>
      <c r="H24" s="891"/>
      <c r="I24" s="10"/>
      <c r="J24" s="10"/>
      <c r="K24" s="10"/>
      <c r="L24" s="10"/>
    </row>
    <row r="25" spans="1:12">
      <c r="A25" s="117" t="s">
        <v>6</v>
      </c>
      <c r="B25" s="510">
        <v>36.593077723873904</v>
      </c>
      <c r="E25" s="881"/>
      <c r="F25" s="881"/>
      <c r="G25" s="891"/>
      <c r="H25" s="891"/>
      <c r="I25" s="10"/>
      <c r="J25" s="10"/>
      <c r="K25" s="10"/>
      <c r="L25" s="10"/>
    </row>
    <row r="26" spans="1:12">
      <c r="A26" s="117" t="s">
        <v>7</v>
      </c>
      <c r="B26" s="510">
        <v>2.6304221411181921</v>
      </c>
      <c r="E26" s="881"/>
      <c r="F26" s="881"/>
      <c r="G26" s="891"/>
      <c r="H26" s="891"/>
      <c r="I26" s="10"/>
      <c r="J26" s="10"/>
      <c r="K26" s="10"/>
      <c r="L26" s="10"/>
    </row>
    <row r="27" spans="1:12">
      <c r="A27" s="117" t="s">
        <v>8</v>
      </c>
      <c r="B27" s="510">
        <v>1.3742356711711319</v>
      </c>
      <c r="E27" s="881"/>
      <c r="F27" s="881"/>
      <c r="G27" s="891"/>
      <c r="H27" s="891"/>
      <c r="I27" s="10"/>
      <c r="J27" s="10"/>
      <c r="K27" s="10"/>
      <c r="L27" s="10"/>
    </row>
    <row r="28" spans="1:12">
      <c r="A28" s="117" t="s">
        <v>9</v>
      </c>
      <c r="B28" s="510">
        <v>9.3577839260338891</v>
      </c>
      <c r="E28" s="881"/>
      <c r="F28" s="881"/>
      <c r="G28" s="891"/>
      <c r="H28" s="891"/>
      <c r="I28" s="10"/>
      <c r="J28" s="10"/>
      <c r="K28" s="10"/>
      <c r="L28" s="10"/>
    </row>
    <row r="29" spans="1:12">
      <c r="A29" s="117" t="s">
        <v>10</v>
      </c>
      <c r="B29" s="510">
        <v>3.8951527391088074</v>
      </c>
      <c r="E29" s="881"/>
      <c r="F29" s="881"/>
      <c r="G29" s="891"/>
      <c r="H29" s="891"/>
      <c r="I29" s="10"/>
      <c r="J29" s="10"/>
      <c r="K29" s="10"/>
      <c r="L29" s="10"/>
    </row>
    <row r="30" spans="1:12">
      <c r="A30" s="118" t="s">
        <v>184</v>
      </c>
      <c r="B30" s="510">
        <v>4.4707729193512042</v>
      </c>
      <c r="E30" s="881"/>
      <c r="F30" s="881"/>
      <c r="G30" s="891"/>
      <c r="H30" s="891"/>
      <c r="I30" s="10"/>
      <c r="J30" s="10"/>
      <c r="K30" s="10"/>
      <c r="L30" s="10"/>
    </row>
    <row r="31" spans="1:12">
      <c r="A31" s="117" t="s">
        <v>11</v>
      </c>
      <c r="B31" s="510">
        <v>1.6075002802320002</v>
      </c>
      <c r="E31" s="881"/>
      <c r="F31" s="881"/>
      <c r="G31" s="891"/>
      <c r="H31" s="891"/>
      <c r="I31" s="10"/>
      <c r="J31" s="10"/>
      <c r="K31" s="10"/>
      <c r="L31" s="10"/>
    </row>
    <row r="32" spans="1:12">
      <c r="A32" s="117" t="s">
        <v>12</v>
      </c>
      <c r="B32" s="510">
        <v>4.8225008406960015</v>
      </c>
      <c r="E32" s="881"/>
      <c r="F32" s="881"/>
      <c r="G32" s="891"/>
      <c r="H32" s="891"/>
      <c r="I32" s="10"/>
      <c r="J32" s="10"/>
      <c r="K32" s="10"/>
      <c r="L32" s="10"/>
    </row>
    <row r="33" spans="1:14">
      <c r="A33" s="117" t="s">
        <v>13</v>
      </c>
      <c r="B33" s="510">
        <v>6.3685027042560023</v>
      </c>
      <c r="E33" s="881"/>
      <c r="F33" s="881"/>
      <c r="G33" s="891"/>
      <c r="H33" s="891"/>
      <c r="I33" s="10"/>
      <c r="J33" s="10"/>
      <c r="K33" s="10"/>
      <c r="L33" s="10"/>
    </row>
    <row r="34" spans="1:14">
      <c r="A34" s="117" t="s">
        <v>14</v>
      </c>
      <c r="B34" s="510">
        <v>4.6362973013280016</v>
      </c>
      <c r="E34" s="881"/>
      <c r="F34" s="881"/>
      <c r="G34" s="891"/>
      <c r="H34" s="891"/>
      <c r="I34" s="10"/>
      <c r="J34" s="10"/>
      <c r="K34" s="10"/>
      <c r="L34" s="10"/>
    </row>
    <row r="35" spans="1:14">
      <c r="A35" s="117" t="s">
        <v>15</v>
      </c>
      <c r="B35" s="510">
        <v>12.338973989496003</v>
      </c>
      <c r="E35" s="881"/>
      <c r="F35" s="881"/>
      <c r="G35" s="891"/>
      <c r="H35" s="891"/>
      <c r="I35" s="10"/>
      <c r="J35" s="10"/>
      <c r="K35" s="10"/>
      <c r="L35" s="10"/>
    </row>
    <row r="36" spans="1:14">
      <c r="A36" s="118" t="s">
        <v>16</v>
      </c>
      <c r="B36" s="510">
        <v>0.19</v>
      </c>
      <c r="E36" s="881"/>
      <c r="F36" s="881"/>
      <c r="G36" s="891"/>
      <c r="H36" s="891"/>
      <c r="I36" s="10"/>
      <c r="J36" s="10"/>
      <c r="K36" s="10"/>
      <c r="L36" s="10"/>
    </row>
    <row r="37" spans="1:14">
      <c r="A37" s="118" t="s">
        <v>17</v>
      </c>
      <c r="B37" s="510">
        <v>0.13</v>
      </c>
      <c r="E37" s="636"/>
      <c r="F37" s="636"/>
      <c r="G37" s="892"/>
      <c r="H37" s="892"/>
    </row>
    <row r="38" spans="1:14">
      <c r="A38" s="118" t="s">
        <v>185</v>
      </c>
      <c r="B38" s="510">
        <v>1.56</v>
      </c>
      <c r="E38" s="636"/>
      <c r="F38" s="636"/>
      <c r="G38" s="892"/>
      <c r="H38" s="892"/>
    </row>
    <row r="39" spans="1:14">
      <c r="A39" s="118" t="s">
        <v>186</v>
      </c>
      <c r="B39" s="510">
        <v>0.76</v>
      </c>
      <c r="E39" s="636"/>
      <c r="F39" s="636"/>
      <c r="G39" s="892"/>
      <c r="H39" s="892"/>
    </row>
    <row r="40" spans="1:14">
      <c r="A40" s="118" t="s">
        <v>18</v>
      </c>
      <c r="B40" s="511">
        <v>2.3665847743388067E-2</v>
      </c>
      <c r="E40" s="636"/>
      <c r="F40" s="636"/>
      <c r="G40" s="892"/>
      <c r="H40" s="892"/>
    </row>
    <row r="41" spans="1:14" ht="15.75" thickBot="1">
      <c r="A41" s="119"/>
      <c r="B41" s="515"/>
      <c r="E41" s="636"/>
      <c r="F41" s="636"/>
    </row>
    <row r="42" spans="1:14" s="43" customFormat="1" ht="15.75" thickBot="1">
      <c r="A42" s="196"/>
      <c r="B42" s="513"/>
      <c r="E42" s="885"/>
      <c r="F42" s="885"/>
      <c r="G42" s="197"/>
      <c r="H42" s="197"/>
      <c r="I42" s="197"/>
      <c r="J42" s="197"/>
      <c r="K42" s="197"/>
      <c r="L42" s="197"/>
      <c r="M42" s="197"/>
      <c r="N42" s="197"/>
    </row>
    <row r="43" spans="1:14" ht="15.75" thickBot="1">
      <c r="A43" s="121" t="s">
        <v>188</v>
      </c>
      <c r="B43" s="516"/>
      <c r="E43" s="636"/>
      <c r="F43" s="636"/>
    </row>
    <row r="44" spans="1:14">
      <c r="A44" s="44" t="s">
        <v>687</v>
      </c>
      <c r="B44" s="507"/>
      <c r="E44" s="636"/>
      <c r="F44" s="636"/>
    </row>
    <row r="45" spans="1:14">
      <c r="A45" s="44"/>
      <c r="B45" s="507"/>
      <c r="E45" s="636"/>
      <c r="F45" s="636"/>
    </row>
    <row r="46" spans="1:14" ht="18">
      <c r="A46" s="137" t="s">
        <v>189</v>
      </c>
      <c r="B46" s="508" t="s">
        <v>584</v>
      </c>
      <c r="E46" s="636"/>
      <c r="F46" s="636"/>
    </row>
    <row r="47" spans="1:14">
      <c r="A47" s="116" t="s">
        <v>190</v>
      </c>
      <c r="B47" s="517">
        <v>0.90444945251923381</v>
      </c>
      <c r="E47" s="636"/>
      <c r="F47" s="636"/>
    </row>
    <row r="48" spans="1:14">
      <c r="A48" s="118" t="s">
        <v>191</v>
      </c>
      <c r="B48" s="510">
        <v>0.92146189948389634</v>
      </c>
      <c r="E48" s="636"/>
      <c r="F48" s="636"/>
    </row>
    <row r="49" spans="1:12">
      <c r="A49" s="118" t="s">
        <v>184</v>
      </c>
      <c r="B49" s="510">
        <v>3.1178436104027169E-2</v>
      </c>
      <c r="E49" s="636"/>
      <c r="F49" s="636"/>
    </row>
    <row r="50" spans="1:12">
      <c r="A50" s="118" t="s">
        <v>18</v>
      </c>
      <c r="B50" s="510">
        <v>9.6253703573780981E-4</v>
      </c>
      <c r="E50" s="881"/>
      <c r="F50" s="881"/>
      <c r="G50" s="10"/>
      <c r="H50" s="10"/>
      <c r="I50" s="10"/>
      <c r="J50" s="10"/>
      <c r="K50" s="10"/>
      <c r="L50" s="10"/>
    </row>
    <row r="51" spans="1:12">
      <c r="A51" s="118" t="s">
        <v>16</v>
      </c>
      <c r="B51" s="510">
        <v>6.4143617723768122E-3</v>
      </c>
      <c r="E51" s="881"/>
      <c r="F51" s="881"/>
      <c r="G51" s="10"/>
      <c r="H51" s="10"/>
      <c r="I51" s="10"/>
      <c r="J51" s="10"/>
      <c r="K51" s="10"/>
      <c r="L51" s="10"/>
    </row>
    <row r="52" spans="1:12" ht="15.75" thickBot="1">
      <c r="A52" s="119" t="s">
        <v>126</v>
      </c>
      <c r="B52" s="518">
        <v>9.5361269794874456E-2</v>
      </c>
      <c r="E52" s="636"/>
      <c r="F52" s="636"/>
    </row>
    <row r="53" spans="1:12">
      <c r="B53" s="519"/>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0" tint="-0.34998626667073579"/>
  </sheetPr>
  <dimension ref="A1:D19"/>
  <sheetViews>
    <sheetView showGridLines="0" workbookViewId="0">
      <selection activeCell="B20" sqref="B20"/>
    </sheetView>
  </sheetViews>
  <sheetFormatPr defaultRowHeight="15"/>
  <cols>
    <col min="1" max="1" width="80" customWidth="1"/>
    <col min="2" max="2" width="36" style="450" customWidth="1"/>
    <col min="3" max="3" width="70.28515625" style="523" customWidth="1"/>
  </cols>
  <sheetData>
    <row r="1" spans="1:3" s="330" customFormat="1" ht="15.75" thickBot="1">
      <c r="A1" s="367" t="s">
        <v>635</v>
      </c>
      <c r="B1" s="521"/>
      <c r="C1" s="522"/>
    </row>
    <row r="2" spans="1:3" s="330" customFormat="1">
      <c r="A2" s="371"/>
      <c r="B2" s="487"/>
      <c r="C2" s="524"/>
    </row>
    <row r="3" spans="1:3" s="330" customFormat="1">
      <c r="A3" s="369"/>
      <c r="B3" s="525">
        <v>2014</v>
      </c>
      <c r="C3" s="372" t="s">
        <v>181</v>
      </c>
    </row>
    <row r="4" spans="1:3">
      <c r="A4" s="120" t="s">
        <v>300</v>
      </c>
      <c r="B4" s="526">
        <f>4458664.95623876/1000</f>
        <v>4458.6649562387593</v>
      </c>
      <c r="C4" s="139" t="s">
        <v>688</v>
      </c>
    </row>
    <row r="5" spans="1:3" ht="15.75" thickBot="1">
      <c r="A5" s="904" t="s">
        <v>634</v>
      </c>
      <c r="B5" s="905">
        <v>673536</v>
      </c>
      <c r="C5" s="906" t="s">
        <v>735</v>
      </c>
    </row>
    <row r="11" spans="1:3">
      <c r="B11" s="774"/>
    </row>
    <row r="19" spans="4:4">
      <c r="D19" s="5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0" tint="-0.34998626667073579"/>
  </sheetPr>
  <dimension ref="A1:B5"/>
  <sheetViews>
    <sheetView showGridLines="0" workbookViewId="0">
      <selection activeCell="E21" sqref="E21"/>
    </sheetView>
  </sheetViews>
  <sheetFormatPr defaultRowHeight="15"/>
  <cols>
    <col min="1" max="1" width="32.42578125" customWidth="1"/>
    <col min="2" max="2" width="57.42578125" customWidth="1"/>
  </cols>
  <sheetData>
    <row r="1" spans="1:2" s="330" customFormat="1" ht="15.75" thickBot="1">
      <c r="A1" s="367" t="s">
        <v>448</v>
      </c>
      <c r="B1" s="368"/>
    </row>
    <row r="2" spans="1:2" s="330" customFormat="1">
      <c r="A2" s="359"/>
      <c r="B2" s="366"/>
    </row>
    <row r="3" spans="1:2" s="330" customFormat="1" ht="18">
      <c r="A3" s="369"/>
      <c r="B3" s="370" t="s">
        <v>451</v>
      </c>
    </row>
    <row r="4" spans="1:2" ht="18">
      <c r="A4" s="120" t="s">
        <v>449</v>
      </c>
      <c r="B4" s="527">
        <v>310</v>
      </c>
    </row>
    <row r="5" spans="1:2" ht="18.75" thickBot="1">
      <c r="A5" s="115" t="s">
        <v>450</v>
      </c>
      <c r="B5" s="528">
        <v>21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34998626667073579"/>
  </sheetPr>
  <dimension ref="A1:M4"/>
  <sheetViews>
    <sheetView showGridLines="0" workbookViewId="0">
      <selection activeCell="E4" sqref="E4"/>
    </sheetView>
  </sheetViews>
  <sheetFormatPr defaultRowHeight="15"/>
  <cols>
    <col min="1" max="1" width="29" bestFit="1" customWidth="1"/>
    <col min="2" max="2" width="11.85546875" customWidth="1"/>
    <col min="3" max="3" width="13.85546875" customWidth="1"/>
    <col min="4" max="4" width="12" customWidth="1"/>
    <col min="5" max="5" width="11.42578125" customWidth="1"/>
    <col min="7" max="7" width="13.140625" customWidth="1"/>
    <col min="8" max="8" width="15.42578125" customWidth="1"/>
    <col min="9" max="9" width="29.7109375" customWidth="1"/>
    <col min="10" max="10" width="28.7109375" customWidth="1"/>
    <col min="11" max="11" width="12.85546875" customWidth="1"/>
    <col min="12" max="12" width="16.85546875" bestFit="1" customWidth="1"/>
    <col min="13" max="13" width="41.85546875" bestFit="1" customWidth="1"/>
  </cols>
  <sheetData>
    <row r="1" spans="1:13" s="330" customFormat="1" ht="22.7" customHeight="1" thickBot="1">
      <c r="A1" s="363"/>
      <c r="B1" s="364" t="s">
        <v>198</v>
      </c>
      <c r="C1" s="364" t="s">
        <v>199</v>
      </c>
      <c r="D1" s="364" t="s">
        <v>200</v>
      </c>
      <c r="E1" s="364" t="s">
        <v>201</v>
      </c>
      <c r="F1" s="364" t="s">
        <v>119</v>
      </c>
      <c r="G1" s="364" t="s">
        <v>202</v>
      </c>
      <c r="H1" s="364" t="s">
        <v>203</v>
      </c>
      <c r="I1" s="364" t="s">
        <v>204</v>
      </c>
      <c r="J1" s="364" t="s">
        <v>205</v>
      </c>
      <c r="K1" s="364" t="s">
        <v>206</v>
      </c>
      <c r="L1" s="364" t="s">
        <v>207</v>
      </c>
      <c r="M1" s="365" t="s">
        <v>290</v>
      </c>
    </row>
    <row r="2" spans="1:13" s="330" customFormat="1">
      <c r="A2" s="359" t="s">
        <v>438</v>
      </c>
      <c r="B2" s="336"/>
      <c r="C2" s="336"/>
      <c r="D2" s="336"/>
      <c r="E2" s="336"/>
      <c r="F2" s="336"/>
      <c r="G2" s="336"/>
      <c r="H2" s="336"/>
      <c r="I2" s="336"/>
      <c r="J2" s="336"/>
      <c r="K2" s="336"/>
      <c r="L2" s="336"/>
      <c r="M2" s="366"/>
    </row>
    <row r="3" spans="1:13">
      <c r="A3" s="44"/>
      <c r="B3" s="43"/>
      <c r="C3" s="43"/>
      <c r="D3" s="43"/>
      <c r="E3" s="43"/>
      <c r="F3" s="43"/>
      <c r="G3" s="43"/>
      <c r="H3" s="43"/>
      <c r="I3" s="43"/>
      <c r="J3" s="43"/>
      <c r="K3" s="43"/>
      <c r="L3" s="43"/>
      <c r="M3" s="96"/>
    </row>
    <row r="4" spans="1:13" ht="15.75" thickBot="1">
      <c r="A4" s="210" t="s">
        <v>439</v>
      </c>
      <c r="B4" s="315">
        <v>0.20200000000000001</v>
      </c>
      <c r="C4" s="315">
        <v>0.22700000000000001</v>
      </c>
      <c r="D4" s="315">
        <v>0.26700000000000002</v>
      </c>
      <c r="E4" s="315">
        <v>0.26700000000000002</v>
      </c>
      <c r="F4" s="315">
        <v>0.249</v>
      </c>
      <c r="G4" s="315">
        <v>0.35099999999999998</v>
      </c>
      <c r="H4" s="315">
        <v>0.35399999999999998</v>
      </c>
      <c r="I4" s="315">
        <v>0.26400000000000001</v>
      </c>
      <c r="J4" s="315">
        <v>0</v>
      </c>
      <c r="K4" s="315">
        <v>0</v>
      </c>
      <c r="L4" s="315">
        <v>0</v>
      </c>
      <c r="M4" s="316">
        <v>0.33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C9"/>
  <sheetViews>
    <sheetView workbookViewId="0">
      <selection activeCell="B28" sqref="B28"/>
    </sheetView>
  </sheetViews>
  <sheetFormatPr defaultRowHeight="15"/>
  <cols>
    <col min="1" max="1" width="39.140625" bestFit="1" customWidth="1"/>
    <col min="2" max="2" width="54.5703125" customWidth="1"/>
    <col min="3" max="3" width="111.28515625" customWidth="1"/>
  </cols>
  <sheetData>
    <row r="1" spans="1:3" ht="15.75" thickBot="1"/>
    <row r="2" spans="1:3" s="382" customFormat="1" ht="55.5" customHeight="1" thickBot="1">
      <c r="A2" s="411" t="s">
        <v>383</v>
      </c>
      <c r="B2" s="773"/>
      <c r="C2" s="410"/>
    </row>
    <row r="3" spans="1:3" s="15" customFormat="1" ht="15.75">
      <c r="A3" s="98"/>
      <c r="B3" s="70"/>
      <c r="C3" s="99"/>
    </row>
    <row r="4" spans="1:3" s="330" customFormat="1">
      <c r="A4" s="390" t="s">
        <v>362</v>
      </c>
      <c r="B4" s="412" t="s">
        <v>374</v>
      </c>
      <c r="C4" s="413" t="s">
        <v>373</v>
      </c>
    </row>
    <row r="5" spans="1:3" s="330" customFormat="1">
      <c r="A5" s="414"/>
      <c r="B5" s="336"/>
      <c r="C5" s="366"/>
    </row>
    <row r="6" spans="1:3" s="330" customFormat="1">
      <c r="A6" s="896" t="s">
        <v>700</v>
      </c>
      <c r="B6" s="415" t="s">
        <v>699</v>
      </c>
      <c r="C6" s="416" t="s">
        <v>357</v>
      </c>
    </row>
    <row r="7" spans="1:3" s="330" customFormat="1">
      <c r="A7" s="896" t="s">
        <v>698</v>
      </c>
      <c r="B7" s="417" t="s">
        <v>611</v>
      </c>
      <c r="C7" s="418" t="s">
        <v>610</v>
      </c>
    </row>
    <row r="8" spans="1:3" s="330" customFormat="1">
      <c r="A8" s="445"/>
      <c r="B8" s="417"/>
      <c r="C8" s="418"/>
    </row>
    <row r="9" spans="1:3" ht="21">
      <c r="A9" s="126" t="s">
        <v>474</v>
      </c>
      <c r="B9" s="125"/>
      <c r="C9" s="122"/>
    </row>
  </sheetData>
  <hyperlinks>
    <hyperlink ref="A7" location="'Inventaris 2014'!A1" display="'Inventaris 2014'!A1"/>
    <hyperlink ref="A6" location="'SEAP template'!A1" display="'SEAP template'!A1"/>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0" tint="-0.34998626667073579"/>
  </sheetPr>
  <dimension ref="A1:K34"/>
  <sheetViews>
    <sheetView showGridLines="0" workbookViewId="0">
      <selection activeCell="B4" sqref="B4"/>
    </sheetView>
  </sheetViews>
  <sheetFormatPr defaultColWidth="9.140625" defaultRowHeight="15"/>
  <cols>
    <col min="1" max="1" width="82.7109375" style="330" customWidth="1"/>
    <col min="2" max="2" width="30.28515625" style="863" customWidth="1"/>
    <col min="3" max="3" width="12" style="863" customWidth="1"/>
    <col min="4" max="4" width="9.140625" style="863"/>
    <col min="5" max="5" width="50.42578125" style="863" customWidth="1"/>
    <col min="6" max="6" width="19.28515625" style="863" customWidth="1"/>
    <col min="7" max="7" width="9.140625" style="863"/>
    <col min="8" max="8" width="23.42578125" style="863" customWidth="1"/>
    <col min="9" max="10" width="9.140625" style="863"/>
    <col min="11" max="11" width="80.140625" style="863" customWidth="1"/>
    <col min="12" max="16384" width="9.140625" style="863"/>
  </cols>
  <sheetData>
    <row r="1" spans="1:11">
      <c r="A1" s="358" t="s">
        <v>490</v>
      </c>
      <c r="B1" s="198"/>
      <c r="C1" s="198"/>
      <c r="D1" s="198"/>
      <c r="E1" s="198"/>
      <c r="F1" s="198"/>
      <c r="G1" s="198"/>
      <c r="H1" s="198"/>
      <c r="I1" s="198"/>
      <c r="J1" s="198"/>
      <c r="K1" s="199"/>
    </row>
    <row r="2" spans="1:11">
      <c r="A2" s="359"/>
      <c r="B2" s="43"/>
      <c r="C2" s="43"/>
      <c r="D2" s="43"/>
      <c r="E2" s="43"/>
      <c r="F2" s="43"/>
      <c r="G2" s="43"/>
      <c r="H2" s="43"/>
      <c r="I2" s="43"/>
      <c r="J2" s="43"/>
      <c r="K2" s="96"/>
    </row>
    <row r="3" spans="1:11">
      <c r="A3" s="359" t="s">
        <v>508</v>
      </c>
      <c r="B3" s="49">
        <f ca="1">IF(ISERROR('SEAP template'!C27),0,'SEAP template'!C27)</f>
        <v>30630.200547631117</v>
      </c>
      <c r="C3" s="43" t="s">
        <v>169</v>
      </c>
      <c r="D3" s="43"/>
      <c r="E3" s="154"/>
      <c r="F3" s="43"/>
      <c r="G3" s="43"/>
      <c r="H3" s="43"/>
      <c r="I3" s="43"/>
      <c r="J3" s="43"/>
      <c r="K3" s="96"/>
    </row>
    <row r="4" spans="1:11">
      <c r="A4" s="359" t="s">
        <v>170</v>
      </c>
      <c r="B4" s="49">
        <f>IF(ISERROR('SEAP template'!B78+'SEAP template'!C78),0,'SEAP template'!B78+'SEAP template'!C78)</f>
        <v>3139.9713886717409</v>
      </c>
      <c r="C4" s="43" t="s">
        <v>169</v>
      </c>
      <c r="D4" s="43"/>
      <c r="E4" s="43"/>
      <c r="F4" s="43"/>
      <c r="G4" s="43"/>
      <c r="H4" s="43"/>
      <c r="I4" s="43"/>
      <c r="J4" s="43"/>
      <c r="K4" s="96"/>
    </row>
    <row r="5" spans="1:11">
      <c r="A5" s="359" t="s">
        <v>545</v>
      </c>
      <c r="B5" s="49">
        <f>IF(ISERROR('Eigen informatie GS &amp; warmtenet'!B4),0,'Eigen informatie GS &amp; warmtenet'!B4)</f>
        <v>0</v>
      </c>
      <c r="C5" s="43" t="s">
        <v>169</v>
      </c>
      <c r="D5" s="43"/>
      <c r="E5" s="43"/>
      <c r="F5" s="43"/>
      <c r="G5" s="43"/>
      <c r="H5" s="43"/>
      <c r="I5" s="43"/>
      <c r="J5" s="43"/>
      <c r="K5" s="96"/>
    </row>
    <row r="6" spans="1:11">
      <c r="A6" s="359" t="s">
        <v>171</v>
      </c>
      <c r="B6" s="530">
        <f>E6</f>
        <v>0.221</v>
      </c>
      <c r="C6" s="43" t="s">
        <v>172</v>
      </c>
      <c r="D6" s="43"/>
      <c r="E6" s="922">
        <v>0.221</v>
      </c>
      <c r="F6" s="43" t="s">
        <v>783</v>
      </c>
      <c r="G6" s="43" t="s">
        <v>854</v>
      </c>
      <c r="H6" s="43"/>
      <c r="I6" s="43"/>
      <c r="J6" s="43"/>
      <c r="K6" s="96"/>
    </row>
    <row r="7" spans="1:11">
      <c r="A7" s="359"/>
      <c r="B7" s="452"/>
      <c r="C7" s="43"/>
      <c r="D7" s="43"/>
      <c r="E7" s="43"/>
      <c r="F7" s="48"/>
      <c r="G7" s="43"/>
      <c r="H7" s="43"/>
      <c r="I7" s="43"/>
      <c r="J7" s="43"/>
      <c r="K7" s="96"/>
    </row>
    <row r="8" spans="1:11">
      <c r="A8" s="359"/>
      <c r="B8" s="452"/>
      <c r="C8" s="43"/>
      <c r="D8" s="43"/>
      <c r="E8" s="43"/>
      <c r="F8" s="48"/>
      <c r="G8" s="43"/>
      <c r="H8" s="921"/>
      <c r="I8" s="155"/>
      <c r="J8" s="43"/>
      <c r="K8" s="96"/>
    </row>
    <row r="9" spans="1:11">
      <c r="A9" s="359" t="s">
        <v>174</v>
      </c>
      <c r="B9" s="49">
        <f>IF(ISERROR('SEAP template'!Q78),0,'SEAP template'!Q78)</f>
        <v>0</v>
      </c>
      <c r="C9" s="43" t="s">
        <v>173</v>
      </c>
      <c r="D9" s="43"/>
      <c r="E9" s="43"/>
      <c r="F9" s="43"/>
      <c r="G9" s="43"/>
      <c r="H9" s="43"/>
      <c r="I9" s="43"/>
      <c r="J9" s="43"/>
      <c r="K9" s="96"/>
    </row>
    <row r="10" spans="1:11">
      <c r="A10" s="359" t="s">
        <v>413</v>
      </c>
      <c r="B10" s="48">
        <v>0</v>
      </c>
      <c r="C10" s="43" t="s">
        <v>173</v>
      </c>
      <c r="D10" s="154"/>
      <c r="E10" s="43"/>
      <c r="F10" s="43"/>
      <c r="G10" s="43"/>
      <c r="H10" s="43"/>
      <c r="I10" s="43"/>
      <c r="J10" s="43"/>
      <c r="K10" s="96"/>
    </row>
    <row r="11" spans="1:11">
      <c r="A11" s="359"/>
      <c r="B11" s="452"/>
      <c r="C11" s="43"/>
      <c r="D11" s="43"/>
      <c r="E11" s="43"/>
      <c r="F11" s="43"/>
      <c r="G11" s="43"/>
      <c r="H11" s="43"/>
      <c r="I11" s="43"/>
      <c r="J11" s="43"/>
      <c r="K11" s="96"/>
    </row>
    <row r="12" spans="1:11">
      <c r="A12" s="360" t="s">
        <v>175</v>
      </c>
      <c r="B12" s="529">
        <f ca="1">IF((B4+B5)&gt;B3,(B9+B10)/(B4+B5),((B3-B4-B5)*B6+B9+B10)/B3)</f>
        <v>0.19834478833015273</v>
      </c>
      <c r="C12" s="43" t="s">
        <v>172</v>
      </c>
      <c r="D12" s="43"/>
      <c r="E12" s="154"/>
      <c r="F12" s="43"/>
      <c r="G12" s="43"/>
      <c r="H12" s="43"/>
      <c r="I12" s="43"/>
      <c r="J12" s="43"/>
      <c r="K12" s="96"/>
    </row>
    <row r="13" spans="1:11" ht="15.75" thickBot="1">
      <c r="A13" s="361"/>
      <c r="B13" s="108"/>
      <c r="C13" s="108"/>
      <c r="D13" s="108"/>
      <c r="E13" s="108"/>
      <c r="F13" s="108"/>
      <c r="G13" s="108"/>
      <c r="H13" s="108"/>
      <c r="I13" s="108"/>
      <c r="J13" s="108"/>
      <c r="K13" s="109"/>
    </row>
    <row r="14" spans="1:11" s="43" customFormat="1" ht="15.75" thickBot="1">
      <c r="A14" s="336"/>
    </row>
    <row r="15" spans="1:11">
      <c r="A15" s="362" t="s">
        <v>491</v>
      </c>
      <c r="B15" s="200"/>
      <c r="C15" s="200"/>
      <c r="D15" s="200"/>
      <c r="E15" s="200"/>
      <c r="F15" s="200"/>
      <c r="G15" s="200"/>
      <c r="H15" s="200"/>
      <c r="I15" s="200"/>
      <c r="J15" s="200"/>
      <c r="K15" s="201"/>
    </row>
    <row r="16" spans="1:11">
      <c r="A16" s="359"/>
      <c r="B16" s="43"/>
      <c r="C16" s="43"/>
      <c r="D16" s="43"/>
      <c r="E16" s="43"/>
      <c r="F16" s="43"/>
      <c r="G16" s="43"/>
      <c r="H16" s="43"/>
      <c r="I16" s="43"/>
      <c r="J16" s="43"/>
      <c r="K16" s="96"/>
    </row>
    <row r="17" spans="1:11">
      <c r="A17" s="359" t="s">
        <v>176</v>
      </c>
      <c r="B17" s="49">
        <f>IF(ISERROR('SEAP template'!Q90),0,'SEAP template'!Q90)</f>
        <v>0</v>
      </c>
      <c r="C17" s="43" t="s">
        <v>173</v>
      </c>
      <c r="D17" s="43"/>
      <c r="E17" s="43"/>
      <c r="F17" s="43"/>
      <c r="G17" s="43"/>
      <c r="H17" s="43"/>
      <c r="I17" s="43"/>
      <c r="J17" s="43"/>
      <c r="K17" s="96"/>
    </row>
    <row r="18" spans="1:11">
      <c r="A18" s="359" t="s">
        <v>177</v>
      </c>
      <c r="B18" s="49">
        <f>IF(ISERROR('Eigen informatie GS &amp; warmtenet'!B52),0,'Eigen informatie GS &amp; warmtenet'!B52)</f>
        <v>0</v>
      </c>
      <c r="C18" s="43" t="s">
        <v>173</v>
      </c>
      <c r="D18" s="43"/>
      <c r="E18" s="43"/>
      <c r="F18" s="43"/>
      <c r="G18" s="43"/>
      <c r="H18" s="43"/>
      <c r="I18" s="43"/>
      <c r="J18" s="43"/>
      <c r="K18" s="96"/>
    </row>
    <row r="19" spans="1:11">
      <c r="A19" s="359" t="s">
        <v>301</v>
      </c>
      <c r="B19" s="49">
        <f>IF(ISERROR('Eigen informatie GS &amp; warmtenet'!B53),0,'Eigen informatie GS &amp; warmtenet'!B53)</f>
        <v>0</v>
      </c>
      <c r="C19" s="43" t="s">
        <v>173</v>
      </c>
      <c r="D19" s="43"/>
      <c r="E19" s="43"/>
      <c r="F19" s="43"/>
      <c r="G19" s="43"/>
      <c r="H19" s="43"/>
      <c r="I19" s="43"/>
      <c r="J19" s="43"/>
      <c r="K19" s="96"/>
    </row>
    <row r="20" spans="1:11">
      <c r="A20" s="359" t="s">
        <v>509</v>
      </c>
      <c r="B20" s="49">
        <f ca="1">IF(ISERROR('SEAP template'!D27),0,('SEAP template'!D27))</f>
        <v>0</v>
      </c>
      <c r="C20" s="43" t="s">
        <v>169</v>
      </c>
      <c r="D20" s="43"/>
      <c r="E20" s="154"/>
      <c r="F20" s="154"/>
      <c r="G20" s="43"/>
      <c r="H20" s="43"/>
      <c r="I20" s="43"/>
      <c r="J20" s="43"/>
      <c r="K20" s="96"/>
    </row>
    <row r="21" spans="1:11">
      <c r="A21" s="359"/>
      <c r="B21" s="43"/>
      <c r="C21" s="43"/>
      <c r="D21" s="43"/>
      <c r="E21" s="43"/>
      <c r="F21" s="43"/>
      <c r="G21" s="43"/>
      <c r="H21" s="43"/>
      <c r="I21" s="43"/>
      <c r="J21" s="43"/>
      <c r="K21" s="96"/>
    </row>
    <row r="22" spans="1:11" s="43" customFormat="1">
      <c r="A22" s="360" t="s">
        <v>178</v>
      </c>
      <c r="B22" s="531">
        <f ca="1">IF(B20=0,0,(B17+B18-B19)/B20)</f>
        <v>0</v>
      </c>
      <c r="C22" s="43" t="s">
        <v>172</v>
      </c>
      <c r="K22" s="96"/>
    </row>
    <row r="23" spans="1:11" ht="15.75" thickBot="1">
      <c r="A23" s="361"/>
      <c r="B23" s="108"/>
      <c r="C23" s="108"/>
      <c r="D23" s="108"/>
      <c r="E23" s="108"/>
      <c r="F23" s="108"/>
      <c r="G23" s="108"/>
      <c r="H23" s="108"/>
      <c r="I23" s="108"/>
      <c r="J23" s="108"/>
      <c r="K23" s="109"/>
    </row>
    <row r="34" spans="1:1">
      <c r="A34" s="330" t="s">
        <v>235</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0" tint="-0.34998626667073579"/>
  </sheetPr>
  <dimension ref="A1:H33"/>
  <sheetViews>
    <sheetView showGridLines="0" workbookViewId="0">
      <selection activeCell="H1" sqref="H1"/>
    </sheetView>
  </sheetViews>
  <sheetFormatPr defaultColWidth="9.140625" defaultRowHeight="15"/>
  <cols>
    <col min="1" max="1" width="56.85546875" style="864" bestFit="1" customWidth="1"/>
    <col min="2" max="2" width="22.7109375" style="314" customWidth="1"/>
    <col min="3" max="3" width="31.42578125" style="314" customWidth="1"/>
    <col min="4" max="4" width="22.28515625" style="314" customWidth="1"/>
    <col min="5" max="5" width="12.140625" style="314" customWidth="1"/>
    <col min="6" max="6" width="37.28515625" style="232" bestFit="1" customWidth="1"/>
    <col min="7" max="16384" width="9.140625" style="15"/>
  </cols>
  <sheetData>
    <row r="1" spans="1:8" s="314" customFormat="1">
      <c r="A1" s="864" t="s">
        <v>727</v>
      </c>
      <c r="B1" s="864" t="s">
        <v>307</v>
      </c>
      <c r="C1" s="864" t="s">
        <v>311</v>
      </c>
      <c r="D1" s="864" t="s">
        <v>312</v>
      </c>
      <c r="E1" s="864" t="s">
        <v>313</v>
      </c>
      <c r="F1" s="864" t="s">
        <v>314</v>
      </c>
      <c r="H1" s="1073" t="s">
        <v>900</v>
      </c>
    </row>
    <row r="2" spans="1:8">
      <c r="A2" s="314" t="str">
        <f>CONCATENATE(TableECFTransport[[#This Row],[Voertuigtype]],"_",TableECFTransport[[#This Row],[Wegtype]],"_",TableECFTransport[[#This Row],[Brandstoftechnologie]],"_",TableECFTransport[[#This Row],[Brandstof]])</f>
        <v>Tram_gemiddeld_Electric_Electric</v>
      </c>
      <c r="B2" s="314" t="s">
        <v>329</v>
      </c>
      <c r="C2" s="314" t="s">
        <v>341</v>
      </c>
      <c r="D2" s="314" t="s">
        <v>309</v>
      </c>
      <c r="E2" s="314" t="s">
        <v>309</v>
      </c>
      <c r="F2" s="1066">
        <v>1.269E-8</v>
      </c>
    </row>
    <row r="3" spans="1:8">
      <c r="A3" s="314" t="str">
        <f>CONCATENATE(TableECFTransport[[#This Row],[Voertuigtype]],"_",TableECFTransport[[#This Row],[Wegtype]],"_",TableECFTransport[[#This Row],[Brandstoftechnologie]],"_",TableECFTransport[[#This Row],[Brandstof]])</f>
        <v>BUS_Genummerde wegen_Diesel_Diesel</v>
      </c>
      <c r="B3" s="314" t="s">
        <v>725</v>
      </c>
      <c r="C3" s="314" t="s">
        <v>63</v>
      </c>
      <c r="D3" s="314" t="s">
        <v>201</v>
      </c>
      <c r="E3" s="314" t="s">
        <v>201</v>
      </c>
      <c r="F3" s="1066">
        <v>9.5796200000000001E-9</v>
      </c>
    </row>
    <row r="4" spans="1:8">
      <c r="A4" s="314" t="str">
        <f>CONCATENATE(TableECFTransport[[#This Row],[Voertuigtype]],"_",TableECFTransport[[#This Row],[Wegtype]],"_",TableECFTransport[[#This Row],[Brandstoftechnologie]],"_",TableECFTransport[[#This Row],[Brandstof]])</f>
        <v>BUS_Niet-genummerde wegen_Diesel_Diesel</v>
      </c>
      <c r="B4" s="314" t="s">
        <v>725</v>
      </c>
      <c r="C4" s="314" t="s">
        <v>64</v>
      </c>
      <c r="D4" s="314" t="s">
        <v>201</v>
      </c>
      <c r="E4" s="314" t="s">
        <v>201</v>
      </c>
      <c r="F4" s="1066">
        <v>1.7256799999999999E-8</v>
      </c>
    </row>
    <row r="5" spans="1:8">
      <c r="A5" s="314" t="str">
        <f>CONCATENATE(TableECFTransport[[#This Row],[Voertuigtype]],"_",TableECFTransport[[#This Row],[Wegtype]],"_",TableECFTransport[[#This Row],[Brandstoftechnologie]],"_",TableECFTransport[[#This Row],[Brandstof]])</f>
        <v>BUS_Genummerde wegen_Diesel Hybrid CS_Diesel</v>
      </c>
      <c r="B5" s="314" t="s">
        <v>725</v>
      </c>
      <c r="C5" s="314" t="s">
        <v>63</v>
      </c>
      <c r="D5" s="314" t="s">
        <v>316</v>
      </c>
      <c r="E5" s="314" t="s">
        <v>201</v>
      </c>
      <c r="F5" s="1066">
        <v>9.5796200000000001E-9</v>
      </c>
    </row>
    <row r="6" spans="1:8" s="864" customFormat="1">
      <c r="A6" s="314" t="str">
        <f>CONCATENATE(TableECFTransport[[#This Row],[Voertuigtype]],"_",TableECFTransport[[#This Row],[Wegtype]],"_",TableECFTransport[[#This Row],[Brandstoftechnologie]],"_",TableECFTransport[[#This Row],[Brandstof]])</f>
        <v>BUS_Niet-genummerde wegen_Diesel Hybrid CS_Diesel</v>
      </c>
      <c r="B6" s="314" t="s">
        <v>725</v>
      </c>
      <c r="C6" s="314" t="s">
        <v>64</v>
      </c>
      <c r="D6" s="314" t="s">
        <v>316</v>
      </c>
      <c r="E6" s="314" t="s">
        <v>201</v>
      </c>
      <c r="F6" s="1066">
        <v>1.7256799999999999E-8</v>
      </c>
    </row>
    <row r="7" spans="1:8">
      <c r="A7" s="314" t="str">
        <f>CONCATENATE(TableECFTransport[[#This Row],[Voertuigtype]],"_",TableECFTransport[[#This Row],[Wegtype]],"_",TableECFTransport[[#This Row],[Brandstoftechnologie]],"_",TableECFTransport[[#This Row],[Brandstof]])</f>
        <v>Lichte voertuigen_Genummerde wegen_CNG_CNG</v>
      </c>
      <c r="B7" s="314" t="s">
        <v>709</v>
      </c>
      <c r="C7" s="314" t="s">
        <v>63</v>
      </c>
      <c r="D7" s="314" t="s">
        <v>308</v>
      </c>
      <c r="E7" s="314" t="s">
        <v>308</v>
      </c>
      <c r="F7" s="1066">
        <v>2.50742E-9</v>
      </c>
    </row>
    <row r="8" spans="1:8">
      <c r="A8" s="314" t="str">
        <f>CONCATENATE(TableECFTransport[[#This Row],[Voertuigtype]],"_",TableECFTransport[[#This Row],[Wegtype]],"_",TableECFTransport[[#This Row],[Brandstoftechnologie]],"_",TableECFTransport[[#This Row],[Brandstof]])</f>
        <v>Lichte voertuigen_Genummerde wegen_Diesel_Diesel</v>
      </c>
      <c r="B8" s="314" t="s">
        <v>709</v>
      </c>
      <c r="C8" s="314" t="s">
        <v>63</v>
      </c>
      <c r="D8" s="314" t="s">
        <v>201</v>
      </c>
      <c r="E8" s="314" t="s">
        <v>201</v>
      </c>
      <c r="F8" s="1066">
        <v>2.17278E-9</v>
      </c>
    </row>
    <row r="9" spans="1:8">
      <c r="A9" s="314" t="str">
        <f>CONCATENATE(TableECFTransport[[#This Row],[Voertuigtype]],"_",TableECFTransport[[#This Row],[Wegtype]],"_",TableECFTransport[[#This Row],[Brandstoftechnologie]],"_",TableECFTransport[[#This Row],[Brandstof]])</f>
        <v>Lichte voertuigen_Genummerde wegen_E85_E85</v>
      </c>
      <c r="B9" s="314" t="s">
        <v>709</v>
      </c>
      <c r="C9" s="314" t="s">
        <v>63</v>
      </c>
      <c r="D9" s="314" t="s">
        <v>663</v>
      </c>
      <c r="E9" s="314" t="s">
        <v>663</v>
      </c>
      <c r="F9" s="1066">
        <v>2.1804300000000001E-9</v>
      </c>
    </row>
    <row r="10" spans="1:8">
      <c r="A10" s="314" t="str">
        <f>CONCATENATE(TableECFTransport[[#This Row],[Voertuigtype]],"_",TableECFTransport[[#This Row],[Wegtype]],"_",TableECFTransport[[#This Row],[Brandstoftechnologie]],"_",TableECFTransport[[#This Row],[Brandstof]])</f>
        <v>Lichte voertuigen_Genummerde wegen_Electric_Electric</v>
      </c>
      <c r="B10" s="314" t="s">
        <v>709</v>
      </c>
      <c r="C10" s="314" t="s">
        <v>63</v>
      </c>
      <c r="D10" s="314" t="s">
        <v>309</v>
      </c>
      <c r="E10" s="314" t="s">
        <v>309</v>
      </c>
      <c r="F10" s="1066">
        <v>8.4999999999999996E-10</v>
      </c>
    </row>
    <row r="11" spans="1:8">
      <c r="A11" s="314" t="str">
        <f>CONCATENATE(TableECFTransport[[#This Row],[Voertuigtype]],"_",TableECFTransport[[#This Row],[Wegtype]],"_",TableECFTransport[[#This Row],[Brandstoftechnologie]],"_",TableECFTransport[[#This Row],[Brandstof]])</f>
        <v>Lichte voertuigen_Genummerde wegen_LPG_LPG</v>
      </c>
      <c r="B11" s="314" t="s">
        <v>709</v>
      </c>
      <c r="C11" s="314" t="s">
        <v>63</v>
      </c>
      <c r="D11" s="314" t="s">
        <v>118</v>
      </c>
      <c r="E11" s="314" t="s">
        <v>118</v>
      </c>
      <c r="F11" s="1066">
        <v>2.2111200000000001E-9</v>
      </c>
    </row>
    <row r="12" spans="1:8">
      <c r="A12" s="314" t="str">
        <f>CONCATENATE(TableECFTransport[[#This Row],[Voertuigtype]],"_",TableECFTransport[[#This Row],[Wegtype]],"_",TableECFTransport[[#This Row],[Brandstoftechnologie]],"_",TableECFTransport[[#This Row],[Brandstof]])</f>
        <v>Lichte voertuigen_Genummerde wegen_Petrol_Petrol</v>
      </c>
      <c r="B12" s="314" t="s">
        <v>709</v>
      </c>
      <c r="C12" s="314" t="s">
        <v>63</v>
      </c>
      <c r="D12" s="314" t="s">
        <v>310</v>
      </c>
      <c r="E12" s="314" t="s">
        <v>310</v>
      </c>
      <c r="F12" s="1066">
        <v>2.1804300000000001E-9</v>
      </c>
    </row>
    <row r="13" spans="1:8">
      <c r="A13" s="314" t="str">
        <f>CONCATENATE(TableECFTransport[[#This Row],[Voertuigtype]],"_",TableECFTransport[[#This Row],[Wegtype]],"_",TableECFTransport[[#This Row],[Brandstoftechnologie]],"_",TableECFTransport[[#This Row],[Brandstof]])</f>
        <v>Lichte voertuigen_Genummerde wegen_Petrol Hybrid_Petrol</v>
      </c>
      <c r="B13" s="314" t="s">
        <v>709</v>
      </c>
      <c r="C13" s="314" t="s">
        <v>63</v>
      </c>
      <c r="D13" s="314" t="s">
        <v>743</v>
      </c>
      <c r="E13" s="314" t="s">
        <v>310</v>
      </c>
      <c r="F13" s="1066">
        <v>1.4435800000000001E-9</v>
      </c>
    </row>
    <row r="14" spans="1:8">
      <c r="A14" s="314" t="str">
        <f>CONCATENATE(TableECFTransport[[#This Row],[Voertuigtype]],"_",TableECFTransport[[#This Row],[Wegtype]],"_",TableECFTransport[[#This Row],[Brandstoftechnologie]],"_",TableECFTransport[[#This Row],[Brandstof]])</f>
        <v>Lichte voertuigen_Niet-genummerde wegen_CNG_CNG</v>
      </c>
      <c r="B14" s="314" t="s">
        <v>709</v>
      </c>
      <c r="C14" s="314" t="s">
        <v>64</v>
      </c>
      <c r="D14" s="314" t="s">
        <v>308</v>
      </c>
      <c r="E14" s="314" t="s">
        <v>308</v>
      </c>
      <c r="F14" s="1066">
        <v>4.2936199999999999E-9</v>
      </c>
    </row>
    <row r="15" spans="1:8">
      <c r="A15" s="314" t="str">
        <f>CONCATENATE(TableECFTransport[[#This Row],[Voertuigtype]],"_",TableECFTransport[[#This Row],[Wegtype]],"_",TableECFTransport[[#This Row],[Brandstoftechnologie]],"_",TableECFTransport[[#This Row],[Brandstof]])</f>
        <v>Lichte voertuigen_Niet-genummerde wegen_Diesel_Diesel</v>
      </c>
      <c r="B15" s="314" t="s">
        <v>709</v>
      </c>
      <c r="C15" s="314" t="s">
        <v>64</v>
      </c>
      <c r="D15" s="314" t="s">
        <v>201</v>
      </c>
      <c r="E15" s="314" t="s">
        <v>201</v>
      </c>
      <c r="F15" s="1066">
        <v>3.3050300000000001E-9</v>
      </c>
    </row>
    <row r="16" spans="1:8">
      <c r="A16" s="314" t="str">
        <f>CONCATENATE(TableECFTransport[[#This Row],[Voertuigtype]],"_",TableECFTransport[[#This Row],[Wegtype]],"_",TableECFTransport[[#This Row],[Brandstoftechnologie]],"_",TableECFTransport[[#This Row],[Brandstof]])</f>
        <v>Lichte voertuigen_Niet-genummerde wegen_E85_E85</v>
      </c>
      <c r="B16" s="314" t="s">
        <v>709</v>
      </c>
      <c r="C16" s="314" t="s">
        <v>64</v>
      </c>
      <c r="D16" s="314" t="s">
        <v>663</v>
      </c>
      <c r="E16" s="314" t="s">
        <v>663</v>
      </c>
      <c r="F16" s="1066">
        <v>3.6050400000000002E-9</v>
      </c>
    </row>
    <row r="17" spans="1:7">
      <c r="A17" s="314" t="str">
        <f>CONCATENATE(TableECFTransport[[#This Row],[Voertuigtype]],"_",TableECFTransport[[#This Row],[Wegtype]],"_",TableECFTransport[[#This Row],[Brandstoftechnologie]],"_",TableECFTransport[[#This Row],[Brandstof]])</f>
        <v>Lichte voertuigen_Niet-genummerde wegen_Electric_Electric</v>
      </c>
      <c r="B17" s="314" t="s">
        <v>709</v>
      </c>
      <c r="C17" s="314" t="s">
        <v>64</v>
      </c>
      <c r="D17" s="314" t="s">
        <v>309</v>
      </c>
      <c r="E17" s="314" t="s">
        <v>309</v>
      </c>
      <c r="F17" s="1066">
        <v>8.4999999999999996E-10</v>
      </c>
    </row>
    <row r="18" spans="1:7">
      <c r="A18" s="314" t="str">
        <f>CONCATENATE(TableECFTransport[[#This Row],[Voertuigtype]],"_",TableECFTransport[[#This Row],[Wegtype]],"_",TableECFTransport[[#This Row],[Brandstoftechnologie]],"_",TableECFTransport[[#This Row],[Brandstof]])</f>
        <v>Lichte voertuigen_Niet-genummerde wegen_LPG_LPG</v>
      </c>
      <c r="B18" s="314" t="s">
        <v>709</v>
      </c>
      <c r="C18" s="314" t="s">
        <v>64</v>
      </c>
      <c r="D18" s="314" t="s">
        <v>118</v>
      </c>
      <c r="E18" s="314" t="s">
        <v>118</v>
      </c>
      <c r="F18" s="1066">
        <v>3.5831299999999998E-9</v>
      </c>
    </row>
    <row r="19" spans="1:7">
      <c r="A19" s="314" t="str">
        <f>CONCATENATE(TableECFTransport[[#This Row],[Voertuigtype]],"_",TableECFTransport[[#This Row],[Wegtype]],"_",TableECFTransport[[#This Row],[Brandstoftechnologie]],"_",TableECFTransport[[#This Row],[Brandstof]])</f>
        <v>Lichte voertuigen_Niet-genummerde wegen_Petrol_Petrol</v>
      </c>
      <c r="B19" s="314" t="s">
        <v>709</v>
      </c>
      <c r="C19" s="314" t="s">
        <v>64</v>
      </c>
      <c r="D19" s="314" t="s">
        <v>310</v>
      </c>
      <c r="E19" s="314" t="s">
        <v>310</v>
      </c>
      <c r="F19" s="1066">
        <v>3.6050400000000002E-9</v>
      </c>
    </row>
    <row r="20" spans="1:7">
      <c r="A20" s="314" t="str">
        <f>CONCATENATE(TableECFTransport[[#This Row],[Voertuigtype]],"_",TableECFTransport[[#This Row],[Wegtype]],"_",TableECFTransport[[#This Row],[Brandstoftechnologie]],"_",TableECFTransport[[#This Row],[Brandstof]])</f>
        <v>Lichte voertuigen_Niet-genummerde wegen_Petrol Hybrid_Petrol</v>
      </c>
      <c r="B20" s="314" t="s">
        <v>709</v>
      </c>
      <c r="C20" s="314" t="s">
        <v>64</v>
      </c>
      <c r="D20" s="314" t="s">
        <v>743</v>
      </c>
      <c r="E20" s="314" t="s">
        <v>310</v>
      </c>
      <c r="F20" s="1066">
        <v>2.5222599999999999E-9</v>
      </c>
    </row>
    <row r="21" spans="1:7">
      <c r="A21" s="314" t="str">
        <f>CONCATENATE(TableECFTransport[[#This Row],[Voertuigtype]],"_",TableECFTransport[[#This Row],[Wegtype]],"_",TableECFTransport[[#This Row],[Brandstoftechnologie]],"_",TableECFTransport[[#This Row],[Brandstof]])</f>
        <v>Lichte voertuigen_snelwegen_CNG_CNG</v>
      </c>
      <c r="B21" s="314" t="s">
        <v>709</v>
      </c>
      <c r="C21" s="314" t="s">
        <v>726</v>
      </c>
      <c r="D21" s="314" t="s">
        <v>308</v>
      </c>
      <c r="E21" s="314" t="s">
        <v>308</v>
      </c>
      <c r="F21" s="1066">
        <v>2.5388900000000001E-9</v>
      </c>
    </row>
    <row r="22" spans="1:7">
      <c r="A22" s="314" t="str">
        <f>CONCATENATE(TableECFTransport[[#This Row],[Voertuigtype]],"_",TableECFTransport[[#This Row],[Wegtype]],"_",TableECFTransport[[#This Row],[Brandstoftechnologie]],"_",TableECFTransport[[#This Row],[Brandstof]])</f>
        <v>Lichte voertuigen_snelwegen_Diesel_Diesel</v>
      </c>
      <c r="B22" s="314" t="s">
        <v>709</v>
      </c>
      <c r="C22" s="314" t="s">
        <v>726</v>
      </c>
      <c r="D22" s="314" t="s">
        <v>201</v>
      </c>
      <c r="E22" s="314" t="s">
        <v>201</v>
      </c>
      <c r="F22" s="1066">
        <v>2.4668800000000001E-9</v>
      </c>
    </row>
    <row r="23" spans="1:7">
      <c r="A23" s="314" t="str">
        <f>CONCATENATE(TableECFTransport[[#This Row],[Voertuigtype]],"_",TableECFTransport[[#This Row],[Wegtype]],"_",TableECFTransport[[#This Row],[Brandstoftechnologie]],"_",TableECFTransport[[#This Row],[Brandstof]])</f>
        <v>Lichte voertuigen_snelwegen_E85_E85</v>
      </c>
      <c r="B23" s="314" t="s">
        <v>709</v>
      </c>
      <c r="C23" s="314" t="s">
        <v>726</v>
      </c>
      <c r="D23" s="314" t="s">
        <v>663</v>
      </c>
      <c r="E23" s="314" t="s">
        <v>663</v>
      </c>
      <c r="F23" s="1066">
        <v>2.3093699999999999E-9</v>
      </c>
    </row>
    <row r="24" spans="1:7">
      <c r="A24" s="314" t="str">
        <f>CONCATENATE(TableECFTransport[[#This Row],[Voertuigtype]],"_",TableECFTransport[[#This Row],[Wegtype]],"_",TableECFTransport[[#This Row],[Brandstoftechnologie]],"_",TableECFTransport[[#This Row],[Brandstof]])</f>
        <v>Lichte voertuigen_snelwegen_Electric_Electric</v>
      </c>
      <c r="B24" s="314" t="s">
        <v>709</v>
      </c>
      <c r="C24" s="314" t="s">
        <v>726</v>
      </c>
      <c r="D24" s="314" t="s">
        <v>309</v>
      </c>
      <c r="E24" s="314" t="s">
        <v>309</v>
      </c>
      <c r="F24" s="1066">
        <v>8.4999999999999996E-10</v>
      </c>
    </row>
    <row r="25" spans="1:7">
      <c r="A25" s="314" t="str">
        <f>CONCATENATE(TableECFTransport[[#This Row],[Voertuigtype]],"_",TableECFTransport[[#This Row],[Wegtype]],"_",TableECFTransport[[#This Row],[Brandstoftechnologie]],"_",TableECFTransport[[#This Row],[Brandstof]])</f>
        <v>Lichte voertuigen_snelwegen_LPG_LPG</v>
      </c>
      <c r="B25" s="314" t="s">
        <v>709</v>
      </c>
      <c r="C25" s="314" t="s">
        <v>726</v>
      </c>
      <c r="D25" s="314" t="s">
        <v>118</v>
      </c>
      <c r="E25" s="314" t="s">
        <v>118</v>
      </c>
      <c r="F25" s="1066">
        <v>2.7919100000000001E-9</v>
      </c>
    </row>
    <row r="26" spans="1:7">
      <c r="A26" s="314" t="str">
        <f>CONCATENATE(TableECFTransport[[#This Row],[Voertuigtype]],"_",TableECFTransport[[#This Row],[Wegtype]],"_",TableECFTransport[[#This Row],[Brandstoftechnologie]],"_",TableECFTransport[[#This Row],[Brandstof]])</f>
        <v>Lichte voertuigen_snelwegen_Petrol_Petrol</v>
      </c>
      <c r="B26" s="314" t="s">
        <v>709</v>
      </c>
      <c r="C26" s="314" t="s">
        <v>726</v>
      </c>
      <c r="D26" s="314" t="s">
        <v>310</v>
      </c>
      <c r="E26" s="314" t="s">
        <v>310</v>
      </c>
      <c r="F26" s="1066">
        <v>2.3093699999999999E-9</v>
      </c>
    </row>
    <row r="27" spans="1:7">
      <c r="A27" s="314" t="str">
        <f>CONCATENATE(TableECFTransport[[#This Row],[Voertuigtype]],"_",TableECFTransport[[#This Row],[Wegtype]],"_",TableECFTransport[[#This Row],[Brandstoftechnologie]],"_",TableECFTransport[[#This Row],[Brandstof]])</f>
        <v>Lichte voertuigen_snelwegen_Petrol Hybrid_Petrol</v>
      </c>
      <c r="B27" s="314" t="s">
        <v>709</v>
      </c>
      <c r="C27" s="314" t="s">
        <v>726</v>
      </c>
      <c r="D27" s="314" t="s">
        <v>743</v>
      </c>
      <c r="E27" s="314" t="s">
        <v>310</v>
      </c>
      <c r="F27" s="1066">
        <v>1.8273000000000001E-9</v>
      </c>
      <c r="G27" s="887"/>
    </row>
    <row r="28" spans="1:7">
      <c r="A28" s="314" t="str">
        <f>CONCATENATE(TableECFTransport[[#This Row],[Voertuigtype]],"_",TableECFTransport[[#This Row],[Wegtype]],"_",TableECFTransport[[#This Row],[Brandstoftechnologie]],"_",TableECFTransport[[#This Row],[Brandstof]])</f>
        <v>Zware voertuigen_Genummerde wegen_Diesel_Diesel</v>
      </c>
      <c r="B28" s="314" t="s">
        <v>710</v>
      </c>
      <c r="C28" s="314" t="s">
        <v>63</v>
      </c>
      <c r="D28" s="314" t="s">
        <v>201</v>
      </c>
      <c r="E28" s="314" t="s">
        <v>201</v>
      </c>
      <c r="F28" s="1066">
        <v>9.9027800000000004E-9</v>
      </c>
    </row>
    <row r="29" spans="1:7">
      <c r="A29" s="314" t="str">
        <f>CONCATENATE(TableECFTransport[[#This Row],[Voertuigtype]],"_",TableECFTransport[[#This Row],[Wegtype]],"_",TableECFTransport[[#This Row],[Brandstoftechnologie]],"_",TableECFTransport[[#This Row],[Brandstof]])</f>
        <v>Zware voertuigen_Genummerde wegen_Petrol_Petrol</v>
      </c>
      <c r="B29" s="314" t="s">
        <v>710</v>
      </c>
      <c r="C29" s="314" t="s">
        <v>63</v>
      </c>
      <c r="D29" s="314" t="s">
        <v>310</v>
      </c>
      <c r="E29" s="314" t="s">
        <v>310</v>
      </c>
      <c r="F29" s="1066">
        <v>6.5147399999999998E-9</v>
      </c>
    </row>
    <row r="30" spans="1:7">
      <c r="A30" s="314" t="str">
        <f>CONCATENATE(TableECFTransport[[#This Row],[Voertuigtype]],"_",TableECFTransport[[#This Row],[Wegtype]],"_",TableECFTransport[[#This Row],[Brandstoftechnologie]],"_",TableECFTransport[[#This Row],[Brandstof]])</f>
        <v>Zware voertuigen_Niet-genummerde wegen_Diesel_Diesel</v>
      </c>
      <c r="B30" s="314" t="s">
        <v>710</v>
      </c>
      <c r="C30" s="314" t="s">
        <v>64</v>
      </c>
      <c r="D30" s="314" t="s">
        <v>201</v>
      </c>
      <c r="E30" s="314" t="s">
        <v>201</v>
      </c>
      <c r="F30" s="1066">
        <v>1.27942E-8</v>
      </c>
    </row>
    <row r="31" spans="1:7">
      <c r="A31" s="314" t="str">
        <f>CONCATENATE(TableECFTransport[[#This Row],[Voertuigtype]],"_",TableECFTransport[[#This Row],[Wegtype]],"_",TableECFTransport[[#This Row],[Brandstoftechnologie]],"_",TableECFTransport[[#This Row],[Brandstof]])</f>
        <v>Zware voertuigen_Niet-genummerde wegen_Petrol_Petrol</v>
      </c>
      <c r="B31" s="314" t="s">
        <v>710</v>
      </c>
      <c r="C31" s="314" t="s">
        <v>64</v>
      </c>
      <c r="D31" s="314" t="s">
        <v>310</v>
      </c>
      <c r="E31" s="314" t="s">
        <v>310</v>
      </c>
      <c r="F31" s="1067">
        <v>1.0425799999999999E-8</v>
      </c>
    </row>
    <row r="32" spans="1:7">
      <c r="A32" s="314" t="str">
        <f>CONCATENATE(TableECFTransport[[#This Row],[Voertuigtype]],"_",TableECFTransport[[#This Row],[Wegtype]],"_",TableECFTransport[[#This Row],[Brandstoftechnologie]],"_",TableECFTransport[[#This Row],[Brandstof]])</f>
        <v>Zware voertuigen_snelwegen_Diesel_Diesel</v>
      </c>
      <c r="B32" s="314" t="s">
        <v>710</v>
      </c>
      <c r="C32" s="314" t="s">
        <v>726</v>
      </c>
      <c r="D32" s="314" t="s">
        <v>201</v>
      </c>
      <c r="E32" s="314" t="s">
        <v>201</v>
      </c>
      <c r="F32" s="1067">
        <v>9.4556599999999996E-9</v>
      </c>
    </row>
    <row r="33" spans="1:6">
      <c r="A33" s="314" t="str">
        <f>CONCATENATE(TableECFTransport[[#This Row],[Voertuigtype]],"_",TableECFTransport[[#This Row],[Wegtype]],"_",TableECFTransport[[#This Row],[Brandstoftechnologie]],"_",TableECFTransport[[#This Row],[Brandstof]])</f>
        <v>Zware voertuigen_snelwegen_Petrol_Petrol</v>
      </c>
      <c r="B33" s="314" t="s">
        <v>710</v>
      </c>
      <c r="C33" s="314" t="s">
        <v>726</v>
      </c>
      <c r="D33" s="314" t="s">
        <v>310</v>
      </c>
      <c r="E33" s="314" t="s">
        <v>310</v>
      </c>
      <c r="F33" s="1067">
        <v>6.6095599999999997E-9</v>
      </c>
    </row>
  </sheetData>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0.34998626667073579"/>
  </sheetPr>
  <dimension ref="A1:AE35"/>
  <sheetViews>
    <sheetView showGridLines="0" zoomScale="80" zoomScaleNormal="80" workbookViewId="0">
      <pane xSplit="2" ySplit="4" topLeftCell="M5" activePane="bottomRight" state="frozen"/>
      <selection activeCell="B35" sqref="B35"/>
      <selection pane="topRight" activeCell="B35" sqref="B35"/>
      <selection pane="bottomLeft" activeCell="B35" sqref="B35"/>
      <selection pane="bottomRight" activeCell="Y19" sqref="Y19"/>
    </sheetView>
  </sheetViews>
  <sheetFormatPr defaultRowHeight="15"/>
  <cols>
    <col min="1" max="1" width="22.28515625" style="43" customWidth="1"/>
    <col min="2" max="2" width="69" style="43" customWidth="1"/>
    <col min="3" max="3" width="9.28515625" bestFit="1" customWidth="1"/>
    <col min="4" max="6" width="10.140625" bestFit="1" customWidth="1"/>
    <col min="7" max="19" width="9.28515625" bestFit="1" customWidth="1"/>
    <col min="20" max="20" width="10.140625" bestFit="1" customWidth="1"/>
    <col min="21" max="22" width="9.28515625" bestFit="1" customWidth="1"/>
    <col min="23" max="23" width="10.140625" bestFit="1" customWidth="1"/>
    <col min="24" max="24" width="9.28515625" bestFit="1" customWidth="1"/>
    <col min="25" max="25" width="11.85546875" customWidth="1"/>
    <col min="26" max="26" width="10.140625" bestFit="1" customWidth="1"/>
    <col min="27" max="28" width="9.140625" style="7"/>
    <col min="29" max="30" width="10.140625" bestFit="1" customWidth="1"/>
  </cols>
  <sheetData>
    <row r="1" spans="1:29" s="2" customFormat="1" ht="11.25">
      <c r="A1" s="1201">
        <v>2014</v>
      </c>
      <c r="B1" s="1202"/>
      <c r="C1" s="76" t="s">
        <v>112</v>
      </c>
      <c r="D1" s="77" t="s">
        <v>113</v>
      </c>
      <c r="E1" s="76" t="s">
        <v>114</v>
      </c>
      <c r="F1" s="78" t="s">
        <v>115</v>
      </c>
      <c r="G1" s="77" t="s">
        <v>116</v>
      </c>
      <c r="H1" s="77" t="s">
        <v>117</v>
      </c>
      <c r="I1" s="76" t="s">
        <v>118</v>
      </c>
      <c r="J1" s="76" t="s">
        <v>119</v>
      </c>
      <c r="K1" s="76" t="s">
        <v>120</v>
      </c>
      <c r="L1" s="76" t="s">
        <v>121</v>
      </c>
      <c r="M1" s="77" t="s">
        <v>122</v>
      </c>
      <c r="N1" s="77" t="s">
        <v>123</v>
      </c>
      <c r="O1" s="77" t="s">
        <v>124</v>
      </c>
      <c r="P1" s="77" t="s">
        <v>125</v>
      </c>
      <c r="Q1" s="77" t="s">
        <v>126</v>
      </c>
      <c r="R1" s="79" t="s">
        <v>127</v>
      </c>
      <c r="S1" s="77" t="s">
        <v>128</v>
      </c>
      <c r="T1" s="77" t="s">
        <v>129</v>
      </c>
      <c r="U1" s="77" t="s">
        <v>130</v>
      </c>
      <c r="V1" s="78" t="s">
        <v>131</v>
      </c>
      <c r="W1" s="78" t="s">
        <v>132</v>
      </c>
      <c r="X1" s="77" t="s">
        <v>133</v>
      </c>
      <c r="Y1" s="76" t="s">
        <v>134</v>
      </c>
      <c r="Z1" s="76" t="s">
        <v>135</v>
      </c>
      <c r="AA1" s="80" t="s">
        <v>136</v>
      </c>
      <c r="AB1" s="81" t="s">
        <v>137</v>
      </c>
      <c r="AC1" s="78" t="s">
        <v>115</v>
      </c>
    </row>
    <row r="2" spans="1:29" s="2" customFormat="1" ht="11.25">
      <c r="A2" s="1203"/>
      <c r="B2" s="1204"/>
      <c r="C2" s="82"/>
      <c r="D2" s="82"/>
      <c r="E2" s="82"/>
      <c r="F2" s="83" t="s">
        <v>138</v>
      </c>
      <c r="G2" s="84" t="s">
        <v>139</v>
      </c>
      <c r="H2" s="85" t="s">
        <v>140</v>
      </c>
      <c r="I2" s="82"/>
      <c r="J2" s="82"/>
      <c r="K2" s="84"/>
      <c r="L2" s="85" t="s">
        <v>141</v>
      </c>
      <c r="M2" s="85" t="s">
        <v>142</v>
      </c>
      <c r="N2" s="85" t="s">
        <v>143</v>
      </c>
      <c r="O2" s="85"/>
      <c r="P2" s="85" t="s">
        <v>144</v>
      </c>
      <c r="Q2" s="84" t="s">
        <v>145</v>
      </c>
      <c r="R2" s="86" t="s">
        <v>146</v>
      </c>
      <c r="S2" s="85" t="s">
        <v>147</v>
      </c>
      <c r="T2" s="85" t="s">
        <v>148</v>
      </c>
      <c r="U2" s="85" t="s">
        <v>148</v>
      </c>
      <c r="V2" s="83"/>
      <c r="W2" s="83" t="s">
        <v>149</v>
      </c>
      <c r="X2" s="85" t="s">
        <v>150</v>
      </c>
      <c r="Y2" s="85"/>
      <c r="Z2" s="85" t="s">
        <v>151</v>
      </c>
      <c r="AA2" s="87"/>
      <c r="AB2" s="87" t="s">
        <v>152</v>
      </c>
      <c r="AC2" s="83"/>
    </row>
    <row r="3" spans="1:29" s="2" customFormat="1" ht="11.25">
      <c r="A3" s="1203"/>
      <c r="B3" s="1204"/>
      <c r="C3" s="85" t="s">
        <v>153</v>
      </c>
      <c r="D3" s="85" t="s">
        <v>153</v>
      </c>
      <c r="E3" s="85" t="s">
        <v>153</v>
      </c>
      <c r="F3" s="83" t="s">
        <v>153</v>
      </c>
      <c r="G3" s="84" t="s">
        <v>153</v>
      </c>
      <c r="H3" s="85" t="s">
        <v>153</v>
      </c>
      <c r="I3" s="85" t="s">
        <v>153</v>
      </c>
      <c r="J3" s="85" t="s">
        <v>153</v>
      </c>
      <c r="K3" s="84" t="s">
        <v>153</v>
      </c>
      <c r="L3" s="85" t="s">
        <v>153</v>
      </c>
      <c r="M3" s="85" t="s">
        <v>153</v>
      </c>
      <c r="N3" s="85" t="s">
        <v>153</v>
      </c>
      <c r="O3" s="85" t="s">
        <v>153</v>
      </c>
      <c r="P3" s="85" t="s">
        <v>153</v>
      </c>
      <c r="Q3" s="84" t="s">
        <v>153</v>
      </c>
      <c r="R3" s="86" t="s">
        <v>153</v>
      </c>
      <c r="S3" s="85" t="s">
        <v>153</v>
      </c>
      <c r="T3" s="85" t="s">
        <v>153</v>
      </c>
      <c r="U3" s="85" t="s">
        <v>153</v>
      </c>
      <c r="V3" s="83" t="s">
        <v>153</v>
      </c>
      <c r="W3" s="83" t="s">
        <v>153</v>
      </c>
      <c r="X3" s="85" t="s">
        <v>153</v>
      </c>
      <c r="Y3" s="85" t="s">
        <v>153</v>
      </c>
      <c r="Z3" s="85" t="s">
        <v>153</v>
      </c>
      <c r="AA3" s="87" t="s">
        <v>153</v>
      </c>
      <c r="AB3" s="87" t="s">
        <v>153</v>
      </c>
      <c r="AC3" s="83" t="s">
        <v>153</v>
      </c>
    </row>
    <row r="4" spans="1:29" s="2" customFormat="1" ht="11.25">
      <c r="A4" s="1205"/>
      <c r="B4" s="1206"/>
      <c r="C4" s="88"/>
      <c r="D4" s="88"/>
      <c r="E4" s="88"/>
      <c r="F4" s="89"/>
      <c r="G4" s="90"/>
      <c r="H4" s="88"/>
      <c r="I4" s="88"/>
      <c r="J4" s="88"/>
      <c r="K4" s="90"/>
      <c r="L4" s="88"/>
      <c r="M4" s="88"/>
      <c r="N4" s="88"/>
      <c r="O4" s="88"/>
      <c r="P4" s="88"/>
      <c r="Q4" s="90"/>
      <c r="R4" s="91"/>
      <c r="S4" s="88"/>
      <c r="T4" s="88"/>
      <c r="U4" s="88"/>
      <c r="V4" s="89"/>
      <c r="W4" s="89"/>
      <c r="X4" s="88"/>
      <c r="Y4" s="88"/>
      <c r="Z4" s="88"/>
      <c r="AA4" s="92"/>
      <c r="AB4" s="92"/>
      <c r="AC4" s="89"/>
    </row>
    <row r="5" spans="1:29" s="2" customFormat="1">
      <c r="A5" s="152" t="s">
        <v>393</v>
      </c>
      <c r="B5" s="895" t="s">
        <v>741</v>
      </c>
      <c r="C5" s="145"/>
      <c r="D5" s="145"/>
      <c r="E5" s="145"/>
      <c r="F5" s="145"/>
      <c r="G5" s="146"/>
      <c r="H5" s="145"/>
      <c r="I5" s="145"/>
      <c r="J5" s="145"/>
      <c r="K5" s="146"/>
      <c r="L5" s="145"/>
      <c r="M5" s="145"/>
      <c r="N5" s="145"/>
      <c r="O5" s="145"/>
      <c r="P5" s="145"/>
      <c r="Q5" s="146"/>
      <c r="R5" s="146"/>
      <c r="S5" s="145"/>
      <c r="T5" s="145"/>
      <c r="U5" s="145"/>
      <c r="V5" s="145"/>
      <c r="W5" s="145"/>
      <c r="X5" s="145"/>
      <c r="Y5" s="145"/>
      <c r="Z5" s="145"/>
      <c r="AA5" s="147"/>
      <c r="AB5" s="147"/>
      <c r="AC5" s="148"/>
    </row>
    <row r="6" spans="1:29" s="2" customFormat="1">
      <c r="A6" s="211"/>
      <c r="B6" s="212"/>
      <c r="C6" s="150"/>
      <c r="D6" s="150"/>
      <c r="E6" s="150"/>
      <c r="F6" s="150"/>
      <c r="G6" s="149"/>
      <c r="H6" s="150"/>
      <c r="I6" s="150"/>
      <c r="J6" s="150"/>
      <c r="K6" s="149"/>
      <c r="L6" s="150"/>
      <c r="M6" s="150"/>
      <c r="N6" s="150"/>
      <c r="O6" s="150"/>
      <c r="P6" s="150"/>
      <c r="Q6" s="149"/>
      <c r="R6" s="149"/>
      <c r="S6" s="150"/>
      <c r="T6" s="150"/>
      <c r="U6" s="150"/>
      <c r="V6" s="150"/>
      <c r="W6" s="150"/>
      <c r="X6" s="150"/>
      <c r="Y6" s="150"/>
      <c r="Z6" s="150"/>
      <c r="AA6" s="151"/>
      <c r="AB6" s="151"/>
      <c r="AC6" s="213"/>
    </row>
    <row r="7" spans="1:29">
      <c r="A7" s="214" t="s">
        <v>154</v>
      </c>
      <c r="B7" s="215"/>
      <c r="C7" s="836">
        <v>0</v>
      </c>
      <c r="D7" s="836">
        <v>1.8018969387317698</v>
      </c>
      <c r="E7" s="836">
        <v>0</v>
      </c>
      <c r="F7" s="837">
        <v>1.8018969387317698</v>
      </c>
      <c r="G7" s="836">
        <v>0</v>
      </c>
      <c r="H7" s="836">
        <v>0</v>
      </c>
      <c r="I7" s="836">
        <v>1.4544188625769157</v>
      </c>
      <c r="J7" s="836">
        <v>0.64249392195859678</v>
      </c>
      <c r="K7" s="836">
        <v>0</v>
      </c>
      <c r="L7" s="836">
        <v>65.847309356287937</v>
      </c>
      <c r="M7" s="836">
        <v>0</v>
      </c>
      <c r="N7" s="836">
        <v>0</v>
      </c>
      <c r="O7" s="836">
        <v>0</v>
      </c>
      <c r="P7" s="836">
        <v>0</v>
      </c>
      <c r="Q7" s="836">
        <v>0</v>
      </c>
      <c r="R7" s="837">
        <v>67.944222140823456</v>
      </c>
      <c r="S7" s="836">
        <v>77.259963703713566</v>
      </c>
      <c r="T7" s="836">
        <v>0</v>
      </c>
      <c r="U7" s="836">
        <v>0</v>
      </c>
      <c r="V7" s="837">
        <v>77.259963703713566</v>
      </c>
      <c r="W7" s="837">
        <v>147.00608278326879</v>
      </c>
      <c r="X7" s="836">
        <v>0</v>
      </c>
      <c r="Y7" s="836">
        <v>10.980456101172695</v>
      </c>
      <c r="Z7" s="836">
        <v>39.784373392967233</v>
      </c>
      <c r="AA7" s="838">
        <v>0</v>
      </c>
      <c r="AB7" s="838">
        <v>0</v>
      </c>
      <c r="AC7" s="837">
        <v>197.77091227740874</v>
      </c>
    </row>
    <row r="8" spans="1:29">
      <c r="A8" s="216" t="s">
        <v>155</v>
      </c>
      <c r="B8" s="217"/>
      <c r="C8" s="839">
        <v>0</v>
      </c>
      <c r="D8" s="839">
        <v>0</v>
      </c>
      <c r="E8" s="839">
        <v>0</v>
      </c>
      <c r="F8" s="840">
        <v>0</v>
      </c>
      <c r="G8" s="839">
        <v>0</v>
      </c>
      <c r="H8" s="839">
        <v>0</v>
      </c>
      <c r="I8" s="839">
        <v>0.38635506316567747</v>
      </c>
      <c r="J8" s="839">
        <v>2.4877382136960411E-3</v>
      </c>
      <c r="K8" s="839">
        <v>0</v>
      </c>
      <c r="L8" s="839">
        <v>5.9740046491093821</v>
      </c>
      <c r="M8" s="839">
        <v>0</v>
      </c>
      <c r="N8" s="839">
        <v>0.32517674669033059</v>
      </c>
      <c r="O8" s="839">
        <v>0</v>
      </c>
      <c r="P8" s="839">
        <v>0</v>
      </c>
      <c r="Q8" s="839">
        <v>0</v>
      </c>
      <c r="R8" s="840">
        <v>6.6880241971790868</v>
      </c>
      <c r="S8" s="839">
        <v>39.19797319198959</v>
      </c>
      <c r="T8" s="839">
        <v>0</v>
      </c>
      <c r="U8" s="839">
        <v>0</v>
      </c>
      <c r="V8" s="840">
        <v>39.19797319198959</v>
      </c>
      <c r="W8" s="840">
        <v>45.885997389168679</v>
      </c>
      <c r="X8" s="839">
        <v>1.5626139999999999</v>
      </c>
      <c r="Y8" s="839">
        <v>3.6445493694070867</v>
      </c>
      <c r="Z8" s="839">
        <v>42.732954177521805</v>
      </c>
      <c r="AA8" s="841">
        <v>0</v>
      </c>
      <c r="AB8" s="841">
        <v>0</v>
      </c>
      <c r="AC8" s="840">
        <v>93.826114936097568</v>
      </c>
    </row>
    <row r="9" spans="1:29">
      <c r="A9" s="3"/>
      <c r="B9" s="6" t="s">
        <v>156</v>
      </c>
      <c r="C9" s="842">
        <v>0</v>
      </c>
      <c r="D9" s="842">
        <v>0</v>
      </c>
      <c r="E9" s="842">
        <v>0</v>
      </c>
      <c r="F9" s="843">
        <v>0</v>
      </c>
      <c r="G9" s="842">
        <v>0</v>
      </c>
      <c r="H9" s="842">
        <v>0</v>
      </c>
      <c r="I9" s="842">
        <v>0.18805127147062564</v>
      </c>
      <c r="J9" s="842">
        <v>0</v>
      </c>
      <c r="K9" s="842">
        <v>0</v>
      </c>
      <c r="L9" s="842">
        <v>0.96258602768452872</v>
      </c>
      <c r="M9" s="842">
        <v>0</v>
      </c>
      <c r="N9" s="842">
        <v>0</v>
      </c>
      <c r="O9" s="842">
        <v>0</v>
      </c>
      <c r="P9" s="842">
        <v>0</v>
      </c>
      <c r="Q9" s="842">
        <v>0</v>
      </c>
      <c r="R9" s="843">
        <v>1.1506372991551543</v>
      </c>
      <c r="S9" s="842">
        <v>4.6060123715387284</v>
      </c>
      <c r="T9" s="842">
        <v>0</v>
      </c>
      <c r="U9" s="842">
        <v>0</v>
      </c>
      <c r="V9" s="843">
        <v>4.6060123715387284</v>
      </c>
      <c r="W9" s="843">
        <v>5.756649670693883</v>
      </c>
      <c r="X9" s="842">
        <v>0</v>
      </c>
      <c r="Y9" s="842">
        <v>1.1544162330910002E-3</v>
      </c>
      <c r="Z9" s="842">
        <v>4.4798424941205699</v>
      </c>
      <c r="AA9" s="844">
        <v>0</v>
      </c>
      <c r="AB9" s="844">
        <v>0</v>
      </c>
      <c r="AC9" s="843">
        <v>10.237646581047544</v>
      </c>
    </row>
    <row r="10" spans="1:29">
      <c r="A10" s="3"/>
      <c r="B10" s="6" t="s">
        <v>157</v>
      </c>
      <c r="C10" s="842">
        <v>0</v>
      </c>
      <c r="D10" s="842">
        <v>0</v>
      </c>
      <c r="E10" s="842">
        <v>0</v>
      </c>
      <c r="F10" s="843">
        <v>0</v>
      </c>
      <c r="G10" s="842">
        <v>0</v>
      </c>
      <c r="H10" s="842">
        <v>0</v>
      </c>
      <c r="I10" s="842">
        <v>2.5434689508073175E-3</v>
      </c>
      <c r="J10" s="842">
        <v>0</v>
      </c>
      <c r="K10" s="842">
        <v>0</v>
      </c>
      <c r="L10" s="842">
        <v>0.38840488197599315</v>
      </c>
      <c r="M10" s="842">
        <v>0</v>
      </c>
      <c r="N10" s="842">
        <v>0</v>
      </c>
      <c r="O10" s="842">
        <v>0</v>
      </c>
      <c r="P10" s="842">
        <v>0</v>
      </c>
      <c r="Q10" s="842">
        <v>0</v>
      </c>
      <c r="R10" s="843">
        <v>0.39094835092680047</v>
      </c>
      <c r="S10" s="842">
        <v>4.9827726545172037</v>
      </c>
      <c r="T10" s="842">
        <v>0</v>
      </c>
      <c r="U10" s="842">
        <v>0</v>
      </c>
      <c r="V10" s="843">
        <v>4.9827726545172037</v>
      </c>
      <c r="W10" s="843">
        <v>5.3737210054440041</v>
      </c>
      <c r="X10" s="842">
        <v>0</v>
      </c>
      <c r="Y10" s="842">
        <v>2.5808792800000001E-2</v>
      </c>
      <c r="Z10" s="842">
        <v>3.1950531410885459</v>
      </c>
      <c r="AA10" s="844">
        <v>0</v>
      </c>
      <c r="AB10" s="844">
        <v>0</v>
      </c>
      <c r="AC10" s="843">
        <v>8.5945829393325504</v>
      </c>
    </row>
    <row r="11" spans="1:29">
      <c r="A11" s="3"/>
      <c r="B11" s="6" t="s">
        <v>158</v>
      </c>
      <c r="C11" s="842">
        <v>0</v>
      </c>
      <c r="D11" s="842">
        <v>0</v>
      </c>
      <c r="E11" s="842">
        <v>0</v>
      </c>
      <c r="F11" s="843">
        <v>0</v>
      </c>
      <c r="G11" s="842">
        <v>0</v>
      </c>
      <c r="H11" s="842">
        <v>0</v>
      </c>
      <c r="I11" s="842">
        <v>1.1988667792392855E-3</v>
      </c>
      <c r="J11" s="842">
        <v>0</v>
      </c>
      <c r="K11" s="842">
        <v>0</v>
      </c>
      <c r="L11" s="842">
        <v>0.45398883240775129</v>
      </c>
      <c r="M11" s="842">
        <v>0</v>
      </c>
      <c r="N11" s="842">
        <v>0</v>
      </c>
      <c r="O11" s="842">
        <v>0</v>
      </c>
      <c r="P11" s="842">
        <v>0</v>
      </c>
      <c r="Q11" s="842">
        <v>0</v>
      </c>
      <c r="R11" s="843">
        <v>0.45518769918699059</v>
      </c>
      <c r="S11" s="842">
        <v>5.2543792692141817</v>
      </c>
      <c r="T11" s="842">
        <v>0</v>
      </c>
      <c r="U11" s="842">
        <v>0</v>
      </c>
      <c r="V11" s="843">
        <v>5.2543792692141817</v>
      </c>
      <c r="W11" s="843">
        <v>5.7095669684011723</v>
      </c>
      <c r="X11" s="842">
        <v>0</v>
      </c>
      <c r="Y11" s="842">
        <v>1.72634592E-3</v>
      </c>
      <c r="Z11" s="842">
        <v>1.734297976874539</v>
      </c>
      <c r="AA11" s="844">
        <v>0</v>
      </c>
      <c r="AB11" s="844">
        <v>0</v>
      </c>
      <c r="AC11" s="843">
        <v>7.4455912911957114</v>
      </c>
    </row>
    <row r="12" spans="1:29">
      <c r="A12" s="3"/>
      <c r="B12" s="6" t="s">
        <v>159</v>
      </c>
      <c r="C12" s="842">
        <v>0</v>
      </c>
      <c r="D12" s="842">
        <v>0</v>
      </c>
      <c r="E12" s="842">
        <v>0</v>
      </c>
      <c r="F12" s="843">
        <v>0</v>
      </c>
      <c r="G12" s="842">
        <v>0</v>
      </c>
      <c r="H12" s="842">
        <v>0</v>
      </c>
      <c r="I12" s="842">
        <v>4.7480898068489423E-2</v>
      </c>
      <c r="J12" s="842">
        <v>2.4877382136960411E-3</v>
      </c>
      <c r="K12" s="842">
        <v>0</v>
      </c>
      <c r="L12" s="842">
        <v>1.8548565516115612</v>
      </c>
      <c r="M12" s="842">
        <v>0</v>
      </c>
      <c r="N12" s="842">
        <v>0</v>
      </c>
      <c r="O12" s="842">
        <v>0</v>
      </c>
      <c r="P12" s="842">
        <v>0</v>
      </c>
      <c r="Q12" s="842">
        <v>0</v>
      </c>
      <c r="R12" s="843">
        <v>1.9048251878937466</v>
      </c>
      <c r="S12" s="842">
        <v>13.249669542869039</v>
      </c>
      <c r="T12" s="842">
        <v>0</v>
      </c>
      <c r="U12" s="842">
        <v>0</v>
      </c>
      <c r="V12" s="843">
        <v>13.249669542869039</v>
      </c>
      <c r="W12" s="843">
        <v>15.154494730762785</v>
      </c>
      <c r="X12" s="842">
        <v>0</v>
      </c>
      <c r="Y12" s="842">
        <v>0.164040295496649</v>
      </c>
      <c r="Z12" s="842">
        <v>16.388848285638097</v>
      </c>
      <c r="AA12" s="844">
        <v>0</v>
      </c>
      <c r="AB12" s="844">
        <v>0</v>
      </c>
      <c r="AC12" s="843">
        <v>31.70738331189753</v>
      </c>
    </row>
    <row r="13" spans="1:29">
      <c r="A13" s="3"/>
      <c r="B13" s="6" t="s">
        <v>160</v>
      </c>
      <c r="C13" s="842">
        <v>0</v>
      </c>
      <c r="D13" s="842">
        <v>0</v>
      </c>
      <c r="E13" s="842">
        <v>0</v>
      </c>
      <c r="F13" s="843">
        <v>0</v>
      </c>
      <c r="G13" s="842">
        <v>0</v>
      </c>
      <c r="H13" s="842">
        <v>0</v>
      </c>
      <c r="I13" s="842">
        <v>0.13076736474406536</v>
      </c>
      <c r="J13" s="842">
        <v>0</v>
      </c>
      <c r="K13" s="842">
        <v>0</v>
      </c>
      <c r="L13" s="842">
        <v>1.5760537564738728</v>
      </c>
      <c r="M13" s="842">
        <v>0</v>
      </c>
      <c r="N13" s="842">
        <v>7.3193953011374245E-5</v>
      </c>
      <c r="O13" s="842">
        <v>0</v>
      </c>
      <c r="P13" s="842">
        <v>0</v>
      </c>
      <c r="Q13" s="842">
        <v>0</v>
      </c>
      <c r="R13" s="843">
        <v>1.7068943151709495</v>
      </c>
      <c r="S13" s="842">
        <v>7.5150473511522025</v>
      </c>
      <c r="T13" s="842">
        <v>0</v>
      </c>
      <c r="U13" s="842">
        <v>0</v>
      </c>
      <c r="V13" s="843">
        <v>7.5150473511522025</v>
      </c>
      <c r="W13" s="843">
        <v>9.2219416663231524</v>
      </c>
      <c r="X13" s="842">
        <v>0</v>
      </c>
      <c r="Y13" s="842">
        <v>9.8762551701792003E-2</v>
      </c>
      <c r="Z13" s="842">
        <v>12.174788822660046</v>
      </c>
      <c r="AA13" s="844">
        <v>0</v>
      </c>
      <c r="AB13" s="844">
        <v>0</v>
      </c>
      <c r="AC13" s="843">
        <v>21.495493040684991</v>
      </c>
    </row>
    <row r="14" spans="1:29">
      <c r="A14" s="218"/>
      <c r="B14" s="219" t="s">
        <v>161</v>
      </c>
      <c r="C14" s="845">
        <v>0</v>
      </c>
      <c r="D14" s="845">
        <v>0</v>
      </c>
      <c r="E14" s="845">
        <v>0</v>
      </c>
      <c r="F14" s="846">
        <v>0</v>
      </c>
      <c r="G14" s="842">
        <v>0</v>
      </c>
      <c r="H14" s="842">
        <v>0</v>
      </c>
      <c r="I14" s="842">
        <v>1.6313193152450424E-2</v>
      </c>
      <c r="J14" s="842">
        <v>0</v>
      </c>
      <c r="K14" s="842">
        <v>0</v>
      </c>
      <c r="L14" s="842">
        <v>0.73811459895567511</v>
      </c>
      <c r="M14" s="842">
        <v>0</v>
      </c>
      <c r="N14" s="842">
        <v>0.32510355273731922</v>
      </c>
      <c r="O14" s="842">
        <v>0</v>
      </c>
      <c r="P14" s="842">
        <v>0</v>
      </c>
      <c r="Q14" s="842">
        <v>0</v>
      </c>
      <c r="R14" s="846">
        <v>1.0795313448454447</v>
      </c>
      <c r="S14" s="842">
        <v>3.5900920026982375</v>
      </c>
      <c r="T14" s="845">
        <v>0</v>
      </c>
      <c r="U14" s="845">
        <v>0</v>
      </c>
      <c r="V14" s="846">
        <v>3.5900920026982375</v>
      </c>
      <c r="W14" s="846">
        <v>4.6696233475436824</v>
      </c>
      <c r="X14" s="842">
        <v>1.5626139999999999</v>
      </c>
      <c r="Y14" s="842">
        <v>3.3530569672555548</v>
      </c>
      <c r="Z14" s="842">
        <v>4.7601234571400015</v>
      </c>
      <c r="AA14" s="847">
        <v>0</v>
      </c>
      <c r="AB14" s="847">
        <v>0</v>
      </c>
      <c r="AC14" s="846">
        <v>14.345417771939239</v>
      </c>
    </row>
    <row r="15" spans="1:29">
      <c r="A15" s="216" t="s">
        <v>162</v>
      </c>
      <c r="B15" s="220"/>
      <c r="C15" s="848">
        <v>0</v>
      </c>
      <c r="D15" s="848">
        <v>3.6387030269999843E-2</v>
      </c>
      <c r="E15" s="848">
        <v>0.16730195192000002</v>
      </c>
      <c r="F15" s="848">
        <v>0.20368898218999987</v>
      </c>
      <c r="G15" s="848">
        <v>0</v>
      </c>
      <c r="H15" s="848">
        <v>0</v>
      </c>
      <c r="I15" s="848">
        <v>2.4699585435312246</v>
      </c>
      <c r="J15" s="848">
        <v>0.18076869619754402</v>
      </c>
      <c r="K15" s="848">
        <v>0</v>
      </c>
      <c r="L15" s="848">
        <v>10.48331928749155</v>
      </c>
      <c r="M15" s="848">
        <v>0</v>
      </c>
      <c r="N15" s="848">
        <v>0.58336168531888621</v>
      </c>
      <c r="O15" s="848">
        <v>0</v>
      </c>
      <c r="P15" s="848">
        <v>0</v>
      </c>
      <c r="Q15" s="848">
        <v>0</v>
      </c>
      <c r="R15" s="848">
        <v>13.717408212539207</v>
      </c>
      <c r="S15" s="848">
        <v>29.687273077981512</v>
      </c>
      <c r="T15" s="848">
        <v>0</v>
      </c>
      <c r="U15" s="848">
        <v>0</v>
      </c>
      <c r="V15" s="848">
        <v>29.687273077981512</v>
      </c>
      <c r="W15" s="848">
        <v>43.608370272710722</v>
      </c>
      <c r="X15" s="848">
        <v>0</v>
      </c>
      <c r="Y15" s="848">
        <f>SUM(Y16:Y24)</f>
        <v>2.6449321248634603</v>
      </c>
      <c r="Z15" s="848">
        <v>48.551357025498532</v>
      </c>
      <c r="AA15" s="850">
        <v>0</v>
      </c>
      <c r="AB15" s="850">
        <v>0</v>
      </c>
      <c r="AC15" s="849">
        <f>SUM(W15:Z15)</f>
        <v>94.804659423072707</v>
      </c>
    </row>
    <row r="16" spans="1:29">
      <c r="A16" s="5"/>
      <c r="B16" s="6" t="s">
        <v>34</v>
      </c>
      <c r="C16" s="851">
        <v>0</v>
      </c>
      <c r="D16" s="851">
        <v>0</v>
      </c>
      <c r="E16" s="851">
        <v>0</v>
      </c>
      <c r="F16" s="843">
        <v>0</v>
      </c>
      <c r="G16" s="851">
        <v>0</v>
      </c>
      <c r="H16" s="851">
        <v>0</v>
      </c>
      <c r="I16" s="851">
        <v>1.8014999999999999E-3</v>
      </c>
      <c r="J16" s="851">
        <v>0</v>
      </c>
      <c r="K16" s="851">
        <v>0</v>
      </c>
      <c r="L16" s="851">
        <v>1.2682986835230003E-2</v>
      </c>
      <c r="M16" s="851">
        <v>0</v>
      </c>
      <c r="N16" s="851">
        <v>0</v>
      </c>
      <c r="O16" s="851">
        <v>0</v>
      </c>
      <c r="P16" s="851">
        <v>0</v>
      </c>
      <c r="Q16" s="851">
        <v>0</v>
      </c>
      <c r="R16" s="843">
        <v>1.4484486835230003E-2</v>
      </c>
      <c r="S16" s="851">
        <v>0.28289200612560084</v>
      </c>
      <c r="T16" s="851">
        <v>0</v>
      </c>
      <c r="U16" s="851">
        <v>0</v>
      </c>
      <c r="V16" s="852">
        <v>0.28289200612560084</v>
      </c>
      <c r="W16" s="843">
        <v>0.29737649296083085</v>
      </c>
      <c r="X16" s="851">
        <v>0</v>
      </c>
      <c r="Y16" s="851">
        <v>0</v>
      </c>
      <c r="Z16" s="851">
        <v>0.71840011679999893</v>
      </c>
      <c r="AA16" s="844">
        <v>0</v>
      </c>
      <c r="AB16" s="844">
        <v>0</v>
      </c>
      <c r="AC16" s="843">
        <f t="shared" ref="AC16:AC24" si="0">SUM(W16:Z16)</f>
        <v>1.0157766097608298</v>
      </c>
    </row>
    <row r="17" spans="1:31">
      <c r="A17" s="5"/>
      <c r="B17" s="6" t="s">
        <v>37</v>
      </c>
      <c r="C17" s="851">
        <v>0</v>
      </c>
      <c r="D17" s="851">
        <v>0</v>
      </c>
      <c r="E17" s="851">
        <v>0.15007461450000004</v>
      </c>
      <c r="F17" s="843">
        <v>0.15007461450000004</v>
      </c>
      <c r="G17" s="851">
        <v>0</v>
      </c>
      <c r="H17" s="851">
        <v>0</v>
      </c>
      <c r="I17" s="851">
        <v>1.3711180399999998E-3</v>
      </c>
      <c r="J17" s="851">
        <v>0</v>
      </c>
      <c r="K17" s="851">
        <v>0</v>
      </c>
      <c r="L17" s="851">
        <v>6.3396528591240023E-2</v>
      </c>
      <c r="M17" s="851">
        <v>0</v>
      </c>
      <c r="N17" s="851">
        <v>0</v>
      </c>
      <c r="O17" s="851">
        <v>0</v>
      </c>
      <c r="P17" s="851">
        <v>0</v>
      </c>
      <c r="Q17" s="851">
        <v>0</v>
      </c>
      <c r="R17" s="843">
        <v>6.4767646631240017E-2</v>
      </c>
      <c r="S17" s="851">
        <v>0.51127783694160023</v>
      </c>
      <c r="T17" s="851">
        <v>0</v>
      </c>
      <c r="U17" s="851">
        <v>0</v>
      </c>
      <c r="V17" s="852">
        <v>0.51127783694160023</v>
      </c>
      <c r="W17" s="843">
        <v>0.72612009807284028</v>
      </c>
      <c r="X17" s="851">
        <v>0</v>
      </c>
      <c r="Y17" s="851">
        <v>0</v>
      </c>
      <c r="Z17" s="851">
        <v>0.31973047919999953</v>
      </c>
      <c r="AA17" s="844">
        <v>0</v>
      </c>
      <c r="AB17" s="844">
        <v>0</v>
      </c>
      <c r="AC17" s="843">
        <f t="shared" si="0"/>
        <v>1.0458505772728399</v>
      </c>
    </row>
    <row r="18" spans="1:31">
      <c r="A18" s="5"/>
      <c r="B18" s="6" t="s">
        <v>35</v>
      </c>
      <c r="C18" s="851">
        <v>0</v>
      </c>
      <c r="D18" s="851">
        <v>0</v>
      </c>
      <c r="E18" s="851">
        <v>0</v>
      </c>
      <c r="F18" s="843">
        <v>0</v>
      </c>
      <c r="G18" s="851">
        <v>0</v>
      </c>
      <c r="H18" s="851">
        <v>0</v>
      </c>
      <c r="I18" s="851">
        <v>6.436917966859633E-2</v>
      </c>
      <c r="J18" s="851">
        <v>0</v>
      </c>
      <c r="K18" s="851">
        <v>0</v>
      </c>
      <c r="L18" s="851">
        <v>0.79081834482437452</v>
      </c>
      <c r="M18" s="851">
        <v>0</v>
      </c>
      <c r="N18" s="851">
        <v>1.5272040825354818E-2</v>
      </c>
      <c r="O18" s="851">
        <v>0</v>
      </c>
      <c r="P18" s="851">
        <v>0</v>
      </c>
      <c r="Q18" s="851">
        <v>0</v>
      </c>
      <c r="R18" s="843">
        <v>0.87045956531832569</v>
      </c>
      <c r="S18" s="851">
        <v>3.662031461885543</v>
      </c>
      <c r="T18" s="851">
        <v>0</v>
      </c>
      <c r="U18" s="851">
        <v>0</v>
      </c>
      <c r="V18" s="852">
        <v>3.662031461885543</v>
      </c>
      <c r="W18" s="843">
        <v>4.5324910272038688</v>
      </c>
      <c r="X18" s="851">
        <v>0</v>
      </c>
      <c r="Y18" s="851">
        <v>6.4616340319999993E-2</v>
      </c>
      <c r="Z18" s="851">
        <v>2.5720408157649741</v>
      </c>
      <c r="AA18" s="844">
        <v>0</v>
      </c>
      <c r="AB18" s="844">
        <v>0</v>
      </c>
      <c r="AC18" s="843">
        <f t="shared" si="0"/>
        <v>7.1691481832888426</v>
      </c>
    </row>
    <row r="19" spans="1:31">
      <c r="A19" s="5"/>
      <c r="B19" s="6" t="s">
        <v>32</v>
      </c>
      <c r="C19" s="851">
        <v>0</v>
      </c>
      <c r="D19" s="851">
        <v>0</v>
      </c>
      <c r="E19" s="851">
        <v>0</v>
      </c>
      <c r="F19" s="843">
        <v>0</v>
      </c>
      <c r="G19" s="851">
        <v>0</v>
      </c>
      <c r="H19" s="851">
        <v>0</v>
      </c>
      <c r="I19" s="851">
        <v>2.2614942071388806</v>
      </c>
      <c r="J19" s="851">
        <v>0.18076869619754402</v>
      </c>
      <c r="K19" s="851">
        <v>0</v>
      </c>
      <c r="L19" s="851">
        <v>6.2706681804894941</v>
      </c>
      <c r="M19" s="851">
        <v>0</v>
      </c>
      <c r="N19" s="851">
        <v>0.21193853931782766</v>
      </c>
      <c r="O19" s="851">
        <v>0</v>
      </c>
      <c r="P19" s="851">
        <v>0</v>
      </c>
      <c r="Q19" s="851">
        <v>0</v>
      </c>
      <c r="R19" s="843">
        <v>8.9248696231437457</v>
      </c>
      <c r="S19" s="851">
        <v>3.9377154094853708</v>
      </c>
      <c r="T19" s="851">
        <v>0</v>
      </c>
      <c r="U19" s="851">
        <v>0</v>
      </c>
      <c r="V19" s="852">
        <v>3.9377154094853708</v>
      </c>
      <c r="W19" s="843">
        <v>12.862585032629116</v>
      </c>
      <c r="X19" s="851">
        <v>0</v>
      </c>
      <c r="Y19" s="851">
        <v>0.66259845429999986</v>
      </c>
      <c r="Z19" s="851">
        <v>8.2248419981479568</v>
      </c>
      <c r="AA19" s="844">
        <v>0</v>
      </c>
      <c r="AB19" s="844">
        <v>0</v>
      </c>
      <c r="AC19" s="843">
        <f t="shared" si="0"/>
        <v>21.750025485077074</v>
      </c>
    </row>
    <row r="20" spans="1:31">
      <c r="A20" s="5"/>
      <c r="B20" s="6" t="s">
        <v>40</v>
      </c>
      <c r="C20" s="851">
        <v>0</v>
      </c>
      <c r="D20" s="851">
        <v>3.4802639999999885E-2</v>
      </c>
      <c r="E20" s="851">
        <v>0</v>
      </c>
      <c r="F20" s="843">
        <v>3.4802639999999885E-2</v>
      </c>
      <c r="G20" s="851">
        <v>0</v>
      </c>
      <c r="H20" s="851">
        <v>0</v>
      </c>
      <c r="I20" s="851">
        <v>1.4824289035641225E-2</v>
      </c>
      <c r="J20" s="851">
        <v>0</v>
      </c>
      <c r="K20" s="851">
        <v>0</v>
      </c>
      <c r="L20" s="851">
        <v>2.686359855936808</v>
      </c>
      <c r="M20" s="851">
        <v>0</v>
      </c>
      <c r="N20" s="851">
        <v>6.0526121450941245E-2</v>
      </c>
      <c r="O20" s="851">
        <v>0</v>
      </c>
      <c r="P20" s="851">
        <v>0</v>
      </c>
      <c r="Q20" s="851">
        <v>0</v>
      </c>
      <c r="R20" s="843">
        <v>2.7617102664233903</v>
      </c>
      <c r="S20" s="851">
        <v>9.0088680128658041</v>
      </c>
      <c r="T20" s="851">
        <v>0</v>
      </c>
      <c r="U20" s="851">
        <v>0</v>
      </c>
      <c r="V20" s="852">
        <v>9.0088680128658041</v>
      </c>
      <c r="W20" s="843">
        <v>11.805380919289195</v>
      </c>
      <c r="X20" s="851">
        <v>0</v>
      </c>
      <c r="Y20" s="851">
        <v>0.76650614430000008</v>
      </c>
      <c r="Z20" s="851">
        <v>1.4541530292414042</v>
      </c>
      <c r="AA20" s="844">
        <v>0</v>
      </c>
      <c r="AB20" s="844">
        <v>0</v>
      </c>
      <c r="AC20" s="843">
        <f t="shared" si="0"/>
        <v>14.026040092830598</v>
      </c>
    </row>
    <row r="21" spans="1:31">
      <c r="A21" s="5"/>
      <c r="B21" s="6" t="s">
        <v>39</v>
      </c>
      <c r="C21" s="851">
        <v>0</v>
      </c>
      <c r="D21" s="851">
        <v>0</v>
      </c>
      <c r="E21" s="851">
        <v>0</v>
      </c>
      <c r="F21" s="843">
        <v>0</v>
      </c>
      <c r="G21" s="851">
        <v>0</v>
      </c>
      <c r="H21" s="851">
        <v>0</v>
      </c>
      <c r="I21" s="851">
        <v>8.4678374501490523E-3</v>
      </c>
      <c r="J21" s="851">
        <v>0</v>
      </c>
      <c r="K21" s="851">
        <v>0</v>
      </c>
      <c r="L21" s="851">
        <v>6.7984835940642946E-2</v>
      </c>
      <c r="M21" s="851">
        <v>0</v>
      </c>
      <c r="N21" s="851">
        <v>7.4699146039404696E-2</v>
      </c>
      <c r="O21" s="851">
        <v>0</v>
      </c>
      <c r="P21" s="851">
        <v>0</v>
      </c>
      <c r="Q21" s="851">
        <v>0</v>
      </c>
      <c r="R21" s="843">
        <v>0.15115181943019668</v>
      </c>
      <c r="S21" s="851">
        <v>1.9894708457741683</v>
      </c>
      <c r="T21" s="851">
        <v>0</v>
      </c>
      <c r="U21" s="851">
        <v>0</v>
      </c>
      <c r="V21" s="852">
        <v>1.9894708457741683</v>
      </c>
      <c r="W21" s="843">
        <v>2.1406226652043649</v>
      </c>
      <c r="X21" s="851">
        <v>0</v>
      </c>
      <c r="Y21" s="851">
        <v>3.0108900000000001E-2</v>
      </c>
      <c r="Z21" s="851">
        <v>3.1948205615144181</v>
      </c>
      <c r="AA21" s="844">
        <v>0</v>
      </c>
      <c r="AB21" s="844">
        <v>0</v>
      </c>
      <c r="AC21" s="843">
        <f t="shared" si="0"/>
        <v>5.3655521267187831</v>
      </c>
    </row>
    <row r="22" spans="1:31">
      <c r="A22" s="5"/>
      <c r="B22" s="6" t="s">
        <v>36</v>
      </c>
      <c r="C22" s="851">
        <v>0</v>
      </c>
      <c r="D22" s="851">
        <v>1.5843902699999579E-3</v>
      </c>
      <c r="E22" s="851">
        <v>1.7227337419999999E-2</v>
      </c>
      <c r="F22" s="843">
        <v>1.8811727689999957E-2</v>
      </c>
      <c r="G22" s="851">
        <v>0</v>
      </c>
      <c r="H22" s="851">
        <v>0</v>
      </c>
      <c r="I22" s="851">
        <v>3.8422618351031737E-2</v>
      </c>
      <c r="J22" s="851">
        <v>0</v>
      </c>
      <c r="K22" s="851">
        <v>0</v>
      </c>
      <c r="L22" s="851">
        <v>0.18921479680714254</v>
      </c>
      <c r="M22" s="851">
        <v>0</v>
      </c>
      <c r="N22" s="851">
        <v>0.20725902388535777</v>
      </c>
      <c r="O22" s="851">
        <v>0</v>
      </c>
      <c r="P22" s="851">
        <v>0</v>
      </c>
      <c r="Q22" s="851">
        <v>0</v>
      </c>
      <c r="R22" s="843">
        <v>0.43489643904353203</v>
      </c>
      <c r="S22" s="851">
        <v>0.97659961046980825</v>
      </c>
      <c r="T22" s="851">
        <v>0</v>
      </c>
      <c r="U22" s="851">
        <v>0</v>
      </c>
      <c r="V22" s="852">
        <v>0.97659961046980825</v>
      </c>
      <c r="W22" s="843">
        <v>1.4303077772033403</v>
      </c>
      <c r="X22" s="851">
        <v>0</v>
      </c>
      <c r="Y22" s="851">
        <v>0</v>
      </c>
      <c r="Z22" s="851">
        <v>12.68681322819554</v>
      </c>
      <c r="AA22" s="844">
        <v>0</v>
      </c>
      <c r="AB22" s="844">
        <v>0</v>
      </c>
      <c r="AC22" s="843">
        <f t="shared" si="0"/>
        <v>14.11712100539888</v>
      </c>
    </row>
    <row r="23" spans="1:31">
      <c r="A23" s="5"/>
      <c r="B23" s="6" t="s">
        <v>38</v>
      </c>
      <c r="C23" s="851">
        <v>0</v>
      </c>
      <c r="D23" s="851">
        <v>0</v>
      </c>
      <c r="E23" s="851">
        <v>0</v>
      </c>
      <c r="F23" s="843">
        <v>0</v>
      </c>
      <c r="G23" s="851">
        <v>0</v>
      </c>
      <c r="H23" s="851">
        <v>0</v>
      </c>
      <c r="I23" s="851">
        <v>2.6275246534865578E-2</v>
      </c>
      <c r="J23" s="851">
        <v>0</v>
      </c>
      <c r="K23" s="851">
        <v>0</v>
      </c>
      <c r="L23" s="851">
        <v>0.25160670468093144</v>
      </c>
      <c r="M23" s="851">
        <v>0</v>
      </c>
      <c r="N23" s="851">
        <v>0</v>
      </c>
      <c r="O23" s="851">
        <v>0</v>
      </c>
      <c r="P23" s="851">
        <v>0</v>
      </c>
      <c r="Q23" s="851">
        <v>0</v>
      </c>
      <c r="R23" s="843">
        <v>0.27788195121579701</v>
      </c>
      <c r="S23" s="851">
        <v>1.8850822394960005</v>
      </c>
      <c r="T23" s="851">
        <v>0</v>
      </c>
      <c r="U23" s="851">
        <v>0</v>
      </c>
      <c r="V23" s="852">
        <v>1.8850822394960005</v>
      </c>
      <c r="W23" s="843">
        <v>2.1629641907117976</v>
      </c>
      <c r="X23" s="851">
        <v>0</v>
      </c>
      <c r="Y23" s="851">
        <v>0.87989462346746006</v>
      </c>
      <c r="Z23" s="851">
        <v>5.2620646564070412</v>
      </c>
      <c r="AA23" s="844">
        <v>0</v>
      </c>
      <c r="AB23" s="844">
        <v>0</v>
      </c>
      <c r="AC23" s="843">
        <f t="shared" si="0"/>
        <v>8.3049234705862993</v>
      </c>
    </row>
    <row r="24" spans="1:31">
      <c r="A24" s="221"/>
      <c r="B24" s="219" t="s">
        <v>33</v>
      </c>
      <c r="C24" s="851">
        <v>0</v>
      </c>
      <c r="D24" s="851">
        <v>0</v>
      </c>
      <c r="E24" s="851">
        <v>0</v>
      </c>
      <c r="F24" s="843">
        <v>0</v>
      </c>
      <c r="G24" s="851">
        <v>0</v>
      </c>
      <c r="H24" s="851">
        <v>0</v>
      </c>
      <c r="I24" s="851">
        <v>5.2932547312059999E-2</v>
      </c>
      <c r="J24" s="851">
        <v>0</v>
      </c>
      <c r="K24" s="851">
        <v>0</v>
      </c>
      <c r="L24" s="851">
        <v>0.15058705338568801</v>
      </c>
      <c r="M24" s="851">
        <v>0</v>
      </c>
      <c r="N24" s="851">
        <v>1.3666813800000011E-2</v>
      </c>
      <c r="O24" s="851">
        <v>0</v>
      </c>
      <c r="P24" s="851">
        <v>0</v>
      </c>
      <c r="Q24" s="851">
        <v>0</v>
      </c>
      <c r="R24" s="843">
        <v>0.217186414497748</v>
      </c>
      <c r="S24" s="851">
        <v>7.4333356549376184</v>
      </c>
      <c r="T24" s="851">
        <v>0</v>
      </c>
      <c r="U24" s="851">
        <v>0</v>
      </c>
      <c r="V24" s="852">
        <v>7.4333356549376184</v>
      </c>
      <c r="W24" s="843">
        <v>7.6505220694353664</v>
      </c>
      <c r="X24" s="851">
        <v>0</v>
      </c>
      <c r="Y24" s="851">
        <v>0.24120766247600001</v>
      </c>
      <c r="Z24" s="851">
        <v>14.1184921402272</v>
      </c>
      <c r="AA24" s="844">
        <v>0</v>
      </c>
      <c r="AB24" s="844">
        <v>0</v>
      </c>
      <c r="AC24" s="843">
        <f t="shared" si="0"/>
        <v>22.010221872138565</v>
      </c>
    </row>
    <row r="25" spans="1:31">
      <c r="A25" s="5" t="s">
        <v>671</v>
      </c>
      <c r="B25" s="128"/>
      <c r="C25" s="848">
        <f>SUM(C27:C32)</f>
        <v>0</v>
      </c>
      <c r="D25" s="848">
        <f t="shared" ref="D25:AC25" si="1">SUM(D27:D32)</f>
        <v>0.38818740230221194</v>
      </c>
      <c r="E25" s="848">
        <f t="shared" si="1"/>
        <v>0</v>
      </c>
      <c r="F25" s="849">
        <f t="shared" si="1"/>
        <v>0.38818740230221194</v>
      </c>
      <c r="G25" s="839">
        <f t="shared" si="1"/>
        <v>0</v>
      </c>
      <c r="H25" s="839">
        <f t="shared" si="1"/>
        <v>0</v>
      </c>
      <c r="I25" s="839">
        <f t="shared" si="1"/>
        <v>2.3452658679176817E-2</v>
      </c>
      <c r="J25" s="839">
        <f t="shared" si="1"/>
        <v>9.5354955789076948E-2</v>
      </c>
      <c r="K25" s="839">
        <f t="shared" si="1"/>
        <v>0</v>
      </c>
      <c r="L25" s="839">
        <f t="shared" si="1"/>
        <v>6.1635194848544224</v>
      </c>
      <c r="M25" s="839">
        <f t="shared" si="1"/>
        <v>0</v>
      </c>
      <c r="N25" s="839">
        <f t="shared" si="1"/>
        <v>0.2607055295262285</v>
      </c>
      <c r="O25" s="839">
        <f t="shared" si="1"/>
        <v>0</v>
      </c>
      <c r="P25" s="839">
        <f t="shared" si="1"/>
        <v>0</v>
      </c>
      <c r="Q25" s="839">
        <f t="shared" si="1"/>
        <v>0</v>
      </c>
      <c r="R25" s="849">
        <f t="shared" si="1"/>
        <v>6.5430326288489047</v>
      </c>
      <c r="S25" s="839">
        <f t="shared" si="1"/>
        <v>13.602642191268888</v>
      </c>
      <c r="T25" s="848">
        <f t="shared" si="1"/>
        <v>0</v>
      </c>
      <c r="U25" s="848">
        <f t="shared" si="1"/>
        <v>0</v>
      </c>
      <c r="V25" s="849">
        <f t="shared" si="1"/>
        <v>13.602642191268888</v>
      </c>
      <c r="W25" s="849">
        <f t="shared" si="1"/>
        <v>20.533862222420005</v>
      </c>
      <c r="X25" s="848">
        <f t="shared" si="1"/>
        <v>0</v>
      </c>
      <c r="Y25" s="839">
        <f t="shared" si="1"/>
        <v>3.34466469801735</v>
      </c>
      <c r="Z25" s="841">
        <f t="shared" si="1"/>
        <v>-1.6622817163402364</v>
      </c>
      <c r="AA25" s="850">
        <f t="shared" si="1"/>
        <v>0</v>
      </c>
      <c r="AB25" s="850">
        <f t="shared" si="1"/>
        <v>0</v>
      </c>
      <c r="AC25" s="840">
        <f t="shared" si="1"/>
        <v>22.216245204097117</v>
      </c>
      <c r="AE25" s="38"/>
    </row>
    <row r="26" spans="1:31">
      <c r="A26" s="5"/>
      <c r="B26" s="128"/>
      <c r="C26" s="853"/>
      <c r="D26" s="854"/>
      <c r="E26" s="853"/>
      <c r="F26" s="843"/>
      <c r="G26" s="854"/>
      <c r="H26" s="854"/>
      <c r="I26" s="854"/>
      <c r="J26" s="854"/>
      <c r="K26" s="854"/>
      <c r="L26" s="854"/>
      <c r="M26" s="854"/>
      <c r="N26" s="854"/>
      <c r="O26" s="854"/>
      <c r="P26" s="854"/>
      <c r="Q26" s="854"/>
      <c r="R26" s="843"/>
      <c r="S26" s="854"/>
      <c r="T26" s="853"/>
      <c r="U26" s="853"/>
      <c r="V26" s="843"/>
      <c r="W26" s="843"/>
      <c r="X26" s="853"/>
      <c r="Y26" s="857"/>
      <c r="Z26" s="857">
        <v>2.5320231235595623</v>
      </c>
      <c r="AA26" s="858"/>
      <c r="AB26" s="855"/>
      <c r="AC26" s="856"/>
      <c r="AE26" s="38"/>
    </row>
    <row r="27" spans="1:31">
      <c r="A27" s="3"/>
      <c r="B27" s="6" t="s">
        <v>163</v>
      </c>
      <c r="C27" s="842">
        <v>0</v>
      </c>
      <c r="D27" s="842">
        <v>9.4745424270655746E-3</v>
      </c>
      <c r="E27" s="842">
        <v>0</v>
      </c>
      <c r="F27" s="843">
        <v>9.4745424270655746E-3</v>
      </c>
      <c r="G27" s="842">
        <v>0</v>
      </c>
      <c r="H27" s="842">
        <v>0</v>
      </c>
      <c r="I27" s="842">
        <v>9.6199478427351458E-3</v>
      </c>
      <c r="J27" s="842">
        <v>2.0312438871418172E-4</v>
      </c>
      <c r="K27" s="842">
        <v>0</v>
      </c>
      <c r="L27" s="842">
        <v>3.7838334905316673</v>
      </c>
      <c r="M27" s="842">
        <v>0</v>
      </c>
      <c r="N27" s="842">
        <v>0</v>
      </c>
      <c r="O27" s="842">
        <v>0</v>
      </c>
      <c r="P27" s="842">
        <v>0</v>
      </c>
      <c r="Q27" s="842">
        <v>0</v>
      </c>
      <c r="R27" s="843">
        <v>3.7936565627631165</v>
      </c>
      <c r="S27" s="842">
        <v>6.3914674787559994E-2</v>
      </c>
      <c r="T27" s="842">
        <v>0</v>
      </c>
      <c r="U27" s="842">
        <v>0</v>
      </c>
      <c r="V27" s="843">
        <v>6.3914674787559994E-2</v>
      </c>
      <c r="W27" s="843">
        <v>3.867045779977742</v>
      </c>
      <c r="X27" s="842">
        <v>0</v>
      </c>
      <c r="Y27" s="842">
        <v>1.1258794240529042</v>
      </c>
      <c r="Z27" s="842">
        <v>1.8457960174978298</v>
      </c>
      <c r="AA27" s="844">
        <v>0</v>
      </c>
      <c r="AB27" s="844">
        <v>0</v>
      </c>
      <c r="AC27" s="843">
        <v>6.8387212215284761</v>
      </c>
    </row>
    <row r="28" spans="1:31">
      <c r="A28" s="3"/>
      <c r="B28" s="6" t="s">
        <v>164</v>
      </c>
      <c r="C28" s="842">
        <v>0</v>
      </c>
      <c r="D28" s="842">
        <v>3.9067787030746496E-4</v>
      </c>
      <c r="E28" s="842">
        <v>0</v>
      </c>
      <c r="F28" s="843">
        <v>3.9067787030746496E-4</v>
      </c>
      <c r="G28" s="842">
        <v>0</v>
      </c>
      <c r="H28" s="842">
        <v>0</v>
      </c>
      <c r="I28" s="842">
        <v>2.8618549947438698E-3</v>
      </c>
      <c r="J28" s="842">
        <v>1.7081429587443027E-4</v>
      </c>
      <c r="K28" s="842">
        <v>0</v>
      </c>
      <c r="L28" s="842">
        <v>1.093013556141802</v>
      </c>
      <c r="M28" s="842">
        <v>0</v>
      </c>
      <c r="N28" s="842">
        <v>0</v>
      </c>
      <c r="O28" s="842">
        <v>0</v>
      </c>
      <c r="P28" s="842">
        <v>0</v>
      </c>
      <c r="Q28" s="842">
        <v>0</v>
      </c>
      <c r="R28" s="843">
        <v>1.0960462254324204</v>
      </c>
      <c r="S28" s="842">
        <v>0.22900849645020005</v>
      </c>
      <c r="T28" s="842">
        <v>0</v>
      </c>
      <c r="U28" s="842">
        <v>0</v>
      </c>
      <c r="V28" s="843">
        <v>0.22900849645020005</v>
      </c>
      <c r="W28" s="843">
        <v>1.3254453997529279</v>
      </c>
      <c r="X28" s="842">
        <v>0</v>
      </c>
      <c r="Y28" s="842">
        <v>1.8627878903041739</v>
      </c>
      <c r="Z28" s="842">
        <v>0.12709273506601643</v>
      </c>
      <c r="AA28" s="844">
        <v>0</v>
      </c>
      <c r="AB28" s="844">
        <v>0</v>
      </c>
      <c r="AC28" s="843">
        <v>3.315326025123118</v>
      </c>
    </row>
    <row r="29" spans="1:31">
      <c r="A29" s="3"/>
      <c r="B29" s="6" t="s">
        <v>165</v>
      </c>
      <c r="C29" s="842">
        <v>0</v>
      </c>
      <c r="D29" s="842">
        <v>0.2048901255029934</v>
      </c>
      <c r="E29" s="842">
        <v>0</v>
      </c>
      <c r="F29" s="843">
        <v>0.2048901255029934</v>
      </c>
      <c r="G29" s="842">
        <v>0</v>
      </c>
      <c r="H29" s="842">
        <v>0</v>
      </c>
      <c r="I29" s="842">
        <v>4.5449460986004726E-3</v>
      </c>
      <c r="J29" s="842">
        <v>9.7582854017812595E-4</v>
      </c>
      <c r="K29" s="842">
        <v>0</v>
      </c>
      <c r="L29" s="842">
        <v>0.45220226236886618</v>
      </c>
      <c r="M29" s="842">
        <v>0</v>
      </c>
      <c r="N29" s="842">
        <v>0.21925768068546872</v>
      </c>
      <c r="O29" s="842">
        <v>0</v>
      </c>
      <c r="P29" s="842">
        <v>0</v>
      </c>
      <c r="Q29" s="842">
        <v>0</v>
      </c>
      <c r="R29" s="843">
        <v>0.67698071769311352</v>
      </c>
      <c r="S29" s="842">
        <v>13.309719020031128</v>
      </c>
      <c r="T29" s="842">
        <v>0</v>
      </c>
      <c r="U29" s="842">
        <v>0</v>
      </c>
      <c r="V29" s="843">
        <v>13.309719020031128</v>
      </c>
      <c r="W29" s="843">
        <v>14.191589863227236</v>
      </c>
      <c r="X29" s="842">
        <v>0</v>
      </c>
      <c r="Y29" s="842">
        <v>0.35581227718027197</v>
      </c>
      <c r="Z29" s="842">
        <v>-4.4152627630714534</v>
      </c>
      <c r="AA29" s="844">
        <v>0</v>
      </c>
      <c r="AB29" s="844">
        <v>0</v>
      </c>
      <c r="AC29" s="843">
        <v>10.132139377336054</v>
      </c>
    </row>
    <row r="30" spans="1:31">
      <c r="A30" s="3"/>
      <c r="B30" s="6" t="s">
        <v>166</v>
      </c>
      <c r="C30" s="842">
        <v>0</v>
      </c>
      <c r="D30" s="842">
        <v>0.17343205650184546</v>
      </c>
      <c r="E30" s="842">
        <v>0</v>
      </c>
      <c r="F30" s="843">
        <v>0.17343205650184546</v>
      </c>
      <c r="G30" s="842">
        <v>0</v>
      </c>
      <c r="H30" s="842">
        <v>0</v>
      </c>
      <c r="I30" s="842">
        <v>6.4241520560003309E-3</v>
      </c>
      <c r="J30" s="842">
        <v>4.2097231406107204E-3</v>
      </c>
      <c r="K30" s="842">
        <v>0</v>
      </c>
      <c r="L30" s="842">
        <v>0.82423998608028826</v>
      </c>
      <c r="M30" s="842">
        <v>0</v>
      </c>
      <c r="N30" s="842">
        <v>4.1447848840759749E-2</v>
      </c>
      <c r="O30" s="842">
        <v>0</v>
      </c>
      <c r="P30" s="842">
        <v>0</v>
      </c>
      <c r="Q30" s="842">
        <v>0</v>
      </c>
      <c r="R30" s="843">
        <v>0.87632171011765903</v>
      </c>
      <c r="S30" s="842">
        <v>0</v>
      </c>
      <c r="T30" s="842">
        <v>0</v>
      </c>
      <c r="U30" s="842">
        <v>0</v>
      </c>
      <c r="V30" s="843">
        <v>0</v>
      </c>
      <c r="W30" s="843">
        <v>1.0497537666195045</v>
      </c>
      <c r="X30" s="842">
        <v>0</v>
      </c>
      <c r="Y30" s="842">
        <v>1.8510647999999999E-4</v>
      </c>
      <c r="Z30" s="842">
        <v>0.78009229416737091</v>
      </c>
      <c r="AA30" s="844">
        <v>0</v>
      </c>
      <c r="AB30" s="844">
        <v>0</v>
      </c>
      <c r="AC30" s="843">
        <v>1.8300311672668754</v>
      </c>
    </row>
    <row r="31" spans="1:31">
      <c r="A31" s="3"/>
      <c r="B31" s="6" t="s">
        <v>167</v>
      </c>
      <c r="C31" s="842">
        <v>0</v>
      </c>
      <c r="D31" s="842">
        <v>0</v>
      </c>
      <c r="E31" s="842">
        <v>0</v>
      </c>
      <c r="F31" s="843">
        <v>0</v>
      </c>
      <c r="G31" s="842">
        <v>0</v>
      </c>
      <c r="H31" s="842">
        <v>0</v>
      </c>
      <c r="I31" s="842">
        <v>1.7576870969999996E-6</v>
      </c>
      <c r="J31" s="842">
        <v>8.6829831279295638E-2</v>
      </c>
      <c r="K31" s="842">
        <v>0</v>
      </c>
      <c r="L31" s="842">
        <v>6.8157765275399847E-3</v>
      </c>
      <c r="M31" s="842">
        <v>0</v>
      </c>
      <c r="N31" s="842">
        <v>0</v>
      </c>
      <c r="O31" s="842">
        <v>0</v>
      </c>
      <c r="P31" s="842">
        <v>0</v>
      </c>
      <c r="Q31" s="842">
        <v>0</v>
      </c>
      <c r="R31" s="843">
        <v>9.3647365493932613E-2</v>
      </c>
      <c r="S31" s="842">
        <v>0</v>
      </c>
      <c r="T31" s="842">
        <v>0</v>
      </c>
      <c r="U31" s="842">
        <v>0</v>
      </c>
      <c r="V31" s="843">
        <v>0</v>
      </c>
      <c r="W31" s="843">
        <v>9.3647365493932613E-2</v>
      </c>
      <c r="X31" s="842">
        <v>0</v>
      </c>
      <c r="Y31" s="842">
        <v>0</v>
      </c>
      <c r="Z31" s="842">
        <v>0</v>
      </c>
      <c r="AA31" s="844">
        <v>0</v>
      </c>
      <c r="AB31" s="844">
        <v>0</v>
      </c>
      <c r="AC31" s="843">
        <v>9.3647365493932613E-2</v>
      </c>
    </row>
    <row r="32" spans="1:31">
      <c r="A32" s="4"/>
      <c r="B32" s="127" t="s">
        <v>168</v>
      </c>
      <c r="C32" s="860">
        <v>0</v>
      </c>
      <c r="D32" s="860">
        <v>0</v>
      </c>
      <c r="E32" s="860">
        <v>0</v>
      </c>
      <c r="F32" s="859">
        <v>0</v>
      </c>
      <c r="G32" s="860">
        <v>0</v>
      </c>
      <c r="H32" s="860">
        <v>0</v>
      </c>
      <c r="I32" s="860">
        <v>0</v>
      </c>
      <c r="J32" s="860">
        <v>2.9656341444038409E-3</v>
      </c>
      <c r="K32" s="860">
        <v>0</v>
      </c>
      <c r="L32" s="860">
        <v>3.4144132042592998E-3</v>
      </c>
      <c r="M32" s="860">
        <v>0</v>
      </c>
      <c r="N32" s="860">
        <v>0</v>
      </c>
      <c r="O32" s="860">
        <v>0</v>
      </c>
      <c r="P32" s="860">
        <v>0</v>
      </c>
      <c r="Q32" s="860">
        <v>0</v>
      </c>
      <c r="R32" s="859">
        <v>6.3800473486631407E-3</v>
      </c>
      <c r="S32" s="860">
        <v>0</v>
      </c>
      <c r="T32" s="860">
        <v>0</v>
      </c>
      <c r="U32" s="860">
        <v>0</v>
      </c>
      <c r="V32" s="859">
        <v>0</v>
      </c>
      <c r="W32" s="859">
        <v>6.3800473486631407E-3</v>
      </c>
      <c r="X32" s="860">
        <v>0</v>
      </c>
      <c r="Y32" s="860">
        <v>0</v>
      </c>
      <c r="Z32" s="860">
        <v>0</v>
      </c>
      <c r="AA32" s="861">
        <v>0</v>
      </c>
      <c r="AB32" s="861">
        <v>0</v>
      </c>
      <c r="AC32" s="859">
        <v>6.3800473486631407E-3</v>
      </c>
    </row>
    <row r="35" spans="5:8">
      <c r="E35" s="899"/>
      <c r="F35" s="899"/>
      <c r="G35" s="899"/>
      <c r="H35" s="899"/>
    </row>
  </sheetData>
  <mergeCells count="1">
    <mergeCell ref="A1:B4"/>
  </mergeCells>
  <pageMargins left="0.7" right="0.7" top="0.75" bottom="0.75" header="0.3" footer="0.3"/>
  <pageSetup paperSize="9" orientation="portrait"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5" tint="-0.249977111117893"/>
  </sheetPr>
  <dimension ref="A1:C27"/>
  <sheetViews>
    <sheetView showGridLines="0" topLeftCell="A22" workbookViewId="0">
      <selection activeCell="C19" sqref="C19"/>
    </sheetView>
  </sheetViews>
  <sheetFormatPr defaultRowHeight="15"/>
  <cols>
    <col min="1" max="1" width="54" customWidth="1"/>
    <col min="2" max="2" width="69.85546875" customWidth="1"/>
    <col min="3" max="3" width="117.85546875" bestFit="1" customWidth="1"/>
  </cols>
  <sheetData>
    <row r="1" spans="1:3" ht="15.75" thickBot="1"/>
    <row r="2" spans="1:3" s="11" customFormat="1" ht="60.75" customHeight="1" thickBot="1">
      <c r="A2" s="1207" t="s">
        <v>476</v>
      </c>
      <c r="B2" s="1208"/>
      <c r="C2" s="111"/>
    </row>
    <row r="3" spans="1:3" s="15" customFormat="1" ht="15.75">
      <c r="A3" s="98"/>
      <c r="B3" s="70"/>
      <c r="C3" s="99"/>
    </row>
    <row r="4" spans="1:3">
      <c r="A4" s="95" t="s">
        <v>362</v>
      </c>
      <c r="B4" s="69" t="s">
        <v>374</v>
      </c>
      <c r="C4" s="100" t="s">
        <v>373</v>
      </c>
    </row>
    <row r="5" spans="1:3">
      <c r="A5" s="112"/>
      <c r="B5" s="43"/>
      <c r="C5" s="96"/>
    </row>
    <row r="6" spans="1:3" s="11" customFormat="1" ht="30">
      <c r="A6" s="113" t="s">
        <v>193</v>
      </c>
      <c r="B6" s="130" t="s">
        <v>478</v>
      </c>
      <c r="C6" s="161" t="s">
        <v>494</v>
      </c>
    </row>
    <row r="7" spans="1:3" s="11" customFormat="1">
      <c r="A7" s="132"/>
      <c r="B7" s="133"/>
      <c r="C7" s="134"/>
    </row>
    <row r="8" spans="1:3" s="11" customFormat="1" ht="60">
      <c r="A8" s="113" t="s">
        <v>154</v>
      </c>
      <c r="B8" s="130" t="s">
        <v>478</v>
      </c>
      <c r="C8" s="311" t="s">
        <v>495</v>
      </c>
    </row>
    <row r="9" spans="1:3" s="11" customFormat="1">
      <c r="A9" s="132"/>
      <c r="B9" s="133"/>
      <c r="C9" s="134"/>
    </row>
    <row r="10" spans="1:3" s="11" customFormat="1" ht="60">
      <c r="A10" s="113" t="s">
        <v>155</v>
      </c>
      <c r="B10" s="130" t="s">
        <v>478</v>
      </c>
      <c r="C10" s="311" t="s">
        <v>495</v>
      </c>
    </row>
    <row r="11" spans="1:3" s="11" customFormat="1">
      <c r="A11" s="132"/>
      <c r="B11" s="133"/>
      <c r="C11" s="134"/>
    </row>
    <row r="12" spans="1:3" s="11" customFormat="1" ht="60">
      <c r="A12" s="113" t="s">
        <v>388</v>
      </c>
      <c r="B12" s="130" t="s">
        <v>478</v>
      </c>
      <c r="C12" s="311" t="s">
        <v>495</v>
      </c>
    </row>
    <row r="13" spans="1:3" s="11" customFormat="1">
      <c r="A13" s="132"/>
      <c r="B13" s="133"/>
      <c r="C13" s="134"/>
    </row>
    <row r="14" spans="1:3" s="11" customFormat="1" ht="60">
      <c r="A14" s="113" t="s">
        <v>111</v>
      </c>
      <c r="B14" s="130" t="s">
        <v>496</v>
      </c>
      <c r="C14" s="311" t="s">
        <v>495</v>
      </c>
    </row>
    <row r="15" spans="1:3" s="11" customFormat="1" ht="63">
      <c r="A15" s="123"/>
      <c r="B15" s="130" t="s">
        <v>497</v>
      </c>
      <c r="C15" s="311" t="s">
        <v>501</v>
      </c>
    </row>
    <row r="16" spans="1:3" s="11" customFormat="1">
      <c r="A16" s="132"/>
      <c r="B16" s="133"/>
      <c r="C16" s="134"/>
    </row>
    <row r="17" spans="1:3" s="11" customFormat="1" ht="45">
      <c r="A17" s="113" t="s">
        <v>477</v>
      </c>
      <c r="B17" s="130" t="s">
        <v>551</v>
      </c>
      <c r="C17" s="161" t="s">
        <v>552</v>
      </c>
    </row>
    <row r="18" spans="1:3" s="11" customFormat="1">
      <c r="A18" s="132"/>
      <c r="B18" s="133"/>
      <c r="C18" s="134"/>
    </row>
    <row r="19" spans="1:3" s="11" customFormat="1" ht="60">
      <c r="A19" s="113" t="s">
        <v>391</v>
      </c>
      <c r="B19" s="310" t="s">
        <v>549</v>
      </c>
      <c r="C19" s="161" t="s">
        <v>550</v>
      </c>
    </row>
    <row r="20" spans="1:3" s="11" customFormat="1">
      <c r="A20" s="113"/>
      <c r="B20" s="130"/>
      <c r="C20" s="131"/>
    </row>
    <row r="21" spans="1:3" ht="21">
      <c r="A21" s="126" t="s">
        <v>480</v>
      </c>
      <c r="B21" s="125"/>
      <c r="C21" s="122"/>
    </row>
    <row r="27" spans="1:3">
      <c r="B27" t="s">
        <v>235</v>
      </c>
    </row>
  </sheetData>
  <sheetProtection password="849B" sheet="1" objects="1" scenarios="1"/>
  <mergeCells count="1">
    <mergeCell ref="A2:B2"/>
  </mergeCells>
  <hyperlinks>
    <hyperlink ref="A6" location="'openbare verlichting'!A1" display="openbare verlichting"/>
    <hyperlink ref="A8" location="huishoudens!A1" display="huishoudens"/>
    <hyperlink ref="A10" location="tertiair!A1" display="tertiair"/>
    <hyperlink ref="A12" location="industrie!A1" display="industrie"/>
    <hyperlink ref="A14" location="landbouw!A1" display="landbouw"/>
    <hyperlink ref="A17" location="transport!A1" display="transport"/>
    <hyperlink ref="A19" location="'lokale energieproductie'!A1" display="lokale energieproductie"/>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977111117893"/>
  </sheetPr>
  <dimension ref="A1:P12"/>
  <sheetViews>
    <sheetView showGridLines="0" zoomScale="80" zoomScaleNormal="80" workbookViewId="0">
      <selection sqref="A1:A3"/>
    </sheetView>
  </sheetViews>
  <sheetFormatPr defaultRowHeight="15"/>
  <cols>
    <col min="1" max="1" width="45" bestFit="1" customWidth="1"/>
    <col min="2" max="2" width="24.140625" customWidth="1"/>
    <col min="3" max="3" width="22.42578125" customWidth="1"/>
    <col min="4" max="4" width="18.28515625" customWidth="1"/>
    <col min="5" max="5" width="17.5703125" customWidth="1"/>
    <col min="6" max="6" width="17.7109375" customWidth="1"/>
    <col min="7" max="7" width="18.5703125" customWidth="1"/>
    <col min="8" max="8" width="15.42578125" customWidth="1"/>
    <col min="9" max="9" width="17.140625" customWidth="1"/>
    <col min="10" max="10" width="17" customWidth="1"/>
    <col min="11" max="11" width="18.140625" customWidth="1"/>
    <col min="12" max="12" width="16.28515625" customWidth="1"/>
    <col min="13" max="13" width="16.42578125" customWidth="1"/>
    <col min="14" max="14" width="18.140625" customWidth="1"/>
    <col min="15" max="15" width="14" customWidth="1"/>
    <col min="16" max="16" width="17.42578125" customWidth="1"/>
  </cols>
  <sheetData>
    <row r="1" spans="1:16" s="330" customFormat="1" ht="17.25" thickTop="1" thickBot="1">
      <c r="A1" s="1209" t="s">
        <v>193</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546</v>
      </c>
      <c r="B5" s="30">
        <f>SUM(OV_ov_ele_kWh,OV_rest_ele_kWh)/1000</f>
        <v>576.33900000000006</v>
      </c>
      <c r="C5" s="18" t="s">
        <v>210</v>
      </c>
      <c r="D5" s="18" t="s">
        <v>210</v>
      </c>
      <c r="E5" s="18" t="s">
        <v>210</v>
      </c>
      <c r="F5" s="18" t="s">
        <v>210</v>
      </c>
      <c r="G5" s="18" t="s">
        <v>210</v>
      </c>
      <c r="H5" s="18" t="s">
        <v>210</v>
      </c>
      <c r="I5" s="18" t="s">
        <v>210</v>
      </c>
      <c r="J5" s="18" t="s">
        <v>210</v>
      </c>
      <c r="K5" s="18" t="s">
        <v>210</v>
      </c>
      <c r="L5" s="18" t="s">
        <v>210</v>
      </c>
      <c r="M5" s="18" t="s">
        <v>210</v>
      </c>
      <c r="N5" s="18" t="s">
        <v>210</v>
      </c>
      <c r="O5" s="18" t="s">
        <v>210</v>
      </c>
      <c r="P5" s="18" t="s">
        <v>210</v>
      </c>
    </row>
    <row r="6" spans="1:16">
      <c r="A6" s="16" t="s">
        <v>547</v>
      </c>
      <c r="B6" s="30">
        <f>(IF(ISERROR('Eigen openbare verlichting'!B15),0,'Eigen openbare verlichting'!B15))*(-1)</f>
        <v>0</v>
      </c>
      <c r="C6" s="18" t="s">
        <v>210</v>
      </c>
      <c r="D6" s="18" t="s">
        <v>210</v>
      </c>
      <c r="E6" s="18" t="s">
        <v>210</v>
      </c>
      <c r="F6" s="18" t="s">
        <v>210</v>
      </c>
      <c r="G6" s="18" t="s">
        <v>210</v>
      </c>
      <c r="H6" s="18" t="s">
        <v>210</v>
      </c>
      <c r="I6" s="18" t="s">
        <v>210</v>
      </c>
      <c r="J6" s="18" t="s">
        <v>210</v>
      </c>
      <c r="K6" s="18" t="s">
        <v>210</v>
      </c>
      <c r="L6" s="18" t="s">
        <v>210</v>
      </c>
      <c r="M6" s="18" t="s">
        <v>210</v>
      </c>
      <c r="N6" s="18" t="s">
        <v>210</v>
      </c>
      <c r="O6" s="18" t="s">
        <v>210</v>
      </c>
      <c r="P6" s="18" t="s">
        <v>210</v>
      </c>
    </row>
    <row r="7" spans="1:16">
      <c r="B7" s="19"/>
      <c r="C7" s="19"/>
      <c r="D7" s="19"/>
      <c r="E7" s="19"/>
      <c r="F7" s="19"/>
      <c r="G7" s="19"/>
      <c r="H7" s="19"/>
      <c r="I7" s="19"/>
      <c r="J7" s="19"/>
      <c r="K7" s="19"/>
      <c r="L7" s="19"/>
      <c r="M7" s="19"/>
      <c r="N7" s="19"/>
      <c r="O7" s="19"/>
      <c r="P7" s="19"/>
    </row>
    <row r="8" spans="1:16" s="8" customFormat="1">
      <c r="A8" s="20" t="s">
        <v>481</v>
      </c>
      <c r="B8" s="21">
        <f>MAX((B5+B6),0)</f>
        <v>576.33900000000006</v>
      </c>
      <c r="C8" s="21"/>
      <c r="D8" s="21"/>
      <c r="E8" s="21"/>
      <c r="F8" s="21"/>
      <c r="G8" s="21"/>
      <c r="H8" s="21"/>
      <c r="I8" s="21"/>
      <c r="J8" s="21"/>
      <c r="K8" s="21"/>
      <c r="L8" s="21"/>
      <c r="M8" s="21"/>
      <c r="N8" s="21"/>
      <c r="O8" s="21"/>
      <c r="P8" s="21"/>
    </row>
    <row r="9" spans="1:16">
      <c r="B9" s="19"/>
      <c r="C9" s="19"/>
      <c r="D9" s="19"/>
      <c r="E9" s="19"/>
      <c r="F9" s="19"/>
      <c r="G9" s="19"/>
      <c r="H9" s="19"/>
      <c r="I9" s="19"/>
      <c r="J9" s="19"/>
      <c r="K9" s="19"/>
      <c r="L9" s="19"/>
      <c r="M9" s="19"/>
      <c r="N9" s="19"/>
      <c r="O9" s="19"/>
      <c r="P9" s="19"/>
    </row>
    <row r="10" spans="1:16">
      <c r="A10" s="24" t="s">
        <v>213</v>
      </c>
      <c r="B10" s="25">
        <f ca="1">'EF ele_warmte'!B12</f>
        <v>0.19834478833015273</v>
      </c>
      <c r="C10" s="26"/>
      <c r="D10" s="26"/>
      <c r="E10" s="26"/>
      <c r="F10" s="26"/>
      <c r="G10" s="26"/>
      <c r="H10" s="26"/>
      <c r="I10" s="26"/>
      <c r="J10" s="26"/>
      <c r="K10" s="26"/>
      <c r="L10" s="26"/>
      <c r="M10" s="26"/>
      <c r="N10" s="26"/>
      <c r="O10" s="26"/>
      <c r="P10" s="26"/>
    </row>
    <row r="11" spans="1:16">
      <c r="A11" s="8"/>
      <c r="B11" s="22"/>
      <c r="C11" s="22"/>
      <c r="D11" s="22"/>
      <c r="E11" s="22"/>
      <c r="F11" s="22"/>
      <c r="G11" s="22"/>
      <c r="H11" s="22"/>
      <c r="I11" s="22"/>
      <c r="J11" s="22"/>
      <c r="K11" s="22"/>
      <c r="L11" s="22"/>
      <c r="M11" s="22"/>
      <c r="N11" s="22"/>
      <c r="O11" s="22"/>
      <c r="P11" s="22"/>
    </row>
    <row r="12" spans="1:16">
      <c r="A12" s="20" t="s">
        <v>212</v>
      </c>
      <c r="B12" s="23">
        <f ca="1">B10*B8</f>
        <v>114.31383696141191</v>
      </c>
      <c r="C12" s="160"/>
      <c r="D12" s="160"/>
      <c r="E12" s="160"/>
      <c r="F12" s="160"/>
      <c r="G12" s="160"/>
      <c r="H12" s="160"/>
      <c r="I12" s="160"/>
      <c r="J12" s="160"/>
      <c r="K12" s="160"/>
      <c r="L12" s="160"/>
      <c r="M12" s="160"/>
      <c r="N12" s="160"/>
      <c r="O12" s="160"/>
      <c r="P12" s="160"/>
    </row>
  </sheetData>
  <mergeCells count="6">
    <mergeCell ref="A1:A3"/>
    <mergeCell ref="B1:P1"/>
    <mergeCell ref="B2:B3"/>
    <mergeCell ref="C2:C3"/>
    <mergeCell ref="D2:K2"/>
    <mergeCell ref="L2:P2"/>
  </mergeCell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977111117893"/>
  </sheetPr>
  <dimension ref="A1:P81"/>
  <sheetViews>
    <sheetView showGridLines="0" zoomScale="80" zoomScaleNormal="80" workbookViewId="0">
      <pane xSplit="1" ySplit="3" topLeftCell="C43" activePane="bottomRight" state="frozen"/>
      <selection activeCell="B35" sqref="B35"/>
      <selection pane="topRight" activeCell="B35" sqref="B35"/>
      <selection pane="bottomLeft" activeCell="B35" sqref="B35"/>
      <selection pane="bottomRight" activeCell="E54" sqref="E54"/>
    </sheetView>
  </sheetViews>
  <sheetFormatPr defaultRowHeight="15"/>
  <cols>
    <col min="1" max="1" width="61.7109375" customWidth="1"/>
    <col min="2" max="2" width="37.140625" customWidth="1"/>
    <col min="3" max="3" width="58" bestFit="1" customWidth="1"/>
    <col min="4" max="4" width="66.7109375" customWidth="1"/>
    <col min="5" max="5" width="53.85546875" customWidth="1"/>
    <col min="6" max="6" width="41.42578125" customWidth="1"/>
    <col min="7" max="7" width="14.5703125" customWidth="1"/>
    <col min="8" max="8" width="16" customWidth="1"/>
    <col min="9" max="9" width="19.140625" customWidth="1"/>
    <col min="10" max="10" width="16.140625" customWidth="1"/>
    <col min="11" max="11" width="15.5703125" customWidth="1"/>
    <col min="12" max="12" width="15" customWidth="1"/>
    <col min="13" max="13" width="17.7109375" customWidth="1"/>
    <col min="14" max="14" width="16" customWidth="1"/>
    <col min="15" max="15" width="13.42578125" customWidth="1"/>
    <col min="16" max="16" width="19.28515625" customWidth="1"/>
  </cols>
  <sheetData>
    <row r="1" spans="1:16" s="330" customFormat="1" ht="17.25" thickTop="1" thickBot="1">
      <c r="A1" s="1209" t="s">
        <v>154</v>
      </c>
      <c r="B1" s="1210" t="s">
        <v>194</v>
      </c>
      <c r="C1" s="1211"/>
      <c r="D1" s="1211"/>
      <c r="E1" s="1211"/>
      <c r="F1" s="1211"/>
      <c r="G1" s="1211"/>
      <c r="H1" s="1211"/>
      <c r="I1" s="1211"/>
      <c r="J1" s="1211"/>
      <c r="K1" s="1211"/>
      <c r="L1" s="1211"/>
      <c r="M1" s="1211"/>
      <c r="N1" s="1211"/>
      <c r="O1" s="1211"/>
      <c r="P1" s="1211"/>
    </row>
    <row r="2" spans="1:16" s="330"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6" s="330"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6" s="15" customFormat="1" ht="15.75">
      <c r="A4" s="13"/>
      <c r="B4" s="14"/>
      <c r="C4" s="14"/>
      <c r="D4" s="14"/>
      <c r="E4" s="14"/>
      <c r="F4" s="14"/>
      <c r="G4" s="14"/>
      <c r="H4" s="14"/>
      <c r="I4" s="14"/>
      <c r="J4" s="14"/>
      <c r="K4" s="14"/>
      <c r="L4" s="14"/>
      <c r="M4" s="14"/>
      <c r="N4" s="14"/>
      <c r="O4" s="14"/>
      <c r="P4" s="14"/>
    </row>
    <row r="5" spans="1:16">
      <c r="A5" s="16" t="s">
        <v>548</v>
      </c>
      <c r="B5" s="30">
        <f>IF(ISERROR(SUM(HH_hh_ele_kWh,HH_rest_kWh)/1000),0,SUM(HH_hh_ele_kWh,HH_rest_kWh)/1000)</f>
        <v>14364.496999999999</v>
      </c>
      <c r="C5" s="17">
        <f>IF(ISERROR('Eigen informatie GS &amp; warmtenet'!B57),0,'Eigen informatie GS &amp; warmtenet'!B57)</f>
        <v>0</v>
      </c>
      <c r="D5" s="30">
        <f>(SUM(HH_hh_gas_kWh,HH_rest_gas_kWh)/1000)*0.902</f>
        <v>46519.686664000001</v>
      </c>
      <c r="E5" s="17">
        <f>B46*B57</f>
        <v>782.34839752268454</v>
      </c>
      <c r="F5" s="17">
        <f>B51*B62</f>
        <v>0</v>
      </c>
      <c r="G5" s="18"/>
      <c r="H5" s="17"/>
      <c r="I5" s="17"/>
      <c r="J5" s="17">
        <f>B50*B61+C50*C61</f>
        <v>0</v>
      </c>
      <c r="K5" s="17"/>
      <c r="L5" s="17"/>
      <c r="M5" s="17"/>
      <c r="N5" s="17">
        <f>B48*B59+C48*C59</f>
        <v>902.6713237118081</v>
      </c>
      <c r="O5" s="17">
        <f>B69*B70*B71</f>
        <v>34.393333333333338</v>
      </c>
      <c r="P5" s="17">
        <f>B77*B78*B79/1000-B77*B78*B79/1000/B80</f>
        <v>247.86666666666667</v>
      </c>
    </row>
    <row r="6" spans="1:16">
      <c r="A6" s="16" t="s">
        <v>630</v>
      </c>
      <c r="B6" s="763">
        <f>kWh_PV_kleiner_dan_10kW</f>
        <v>888.41477926230812</v>
      </c>
      <c r="C6" s="764"/>
      <c r="D6" s="764"/>
      <c r="E6" s="765"/>
      <c r="F6" s="765"/>
      <c r="G6" s="765"/>
      <c r="H6" s="765"/>
      <c r="I6" s="765"/>
      <c r="J6" s="765"/>
      <c r="K6" s="765"/>
      <c r="L6" s="765"/>
      <c r="M6" s="765"/>
      <c r="N6" s="765"/>
      <c r="O6" s="765"/>
      <c r="P6" s="765"/>
    </row>
    <row r="7" spans="1:16">
      <c r="B7" s="19"/>
      <c r="C7" s="19"/>
      <c r="D7" s="19"/>
      <c r="E7" s="19"/>
      <c r="F7" s="19"/>
      <c r="G7" s="19"/>
      <c r="H7" s="19"/>
      <c r="I7" s="19"/>
      <c r="J7" s="19"/>
      <c r="K7" s="19"/>
      <c r="L7" s="19"/>
      <c r="M7" s="19"/>
      <c r="N7" s="19"/>
      <c r="O7" s="19"/>
      <c r="P7" s="19"/>
    </row>
    <row r="8" spans="1:16" s="8" customFormat="1">
      <c r="A8" s="20" t="s">
        <v>211</v>
      </c>
      <c r="B8" s="21">
        <f>B5+B6</f>
        <v>15252.911779262307</v>
      </c>
      <c r="C8" s="21">
        <f>C5</f>
        <v>0</v>
      </c>
      <c r="D8" s="21">
        <f>D5</f>
        <v>46519.686664000001</v>
      </c>
      <c r="E8" s="21">
        <f>E5</f>
        <v>782.34839752268454</v>
      </c>
      <c r="F8" s="21">
        <f>F5</f>
        <v>0</v>
      </c>
      <c r="G8" s="21"/>
      <c r="H8" s="21"/>
      <c r="I8" s="21"/>
      <c r="J8" s="21">
        <f>J5</f>
        <v>0</v>
      </c>
      <c r="K8" s="21"/>
      <c r="L8" s="21">
        <f>L5</f>
        <v>0</v>
      </c>
      <c r="M8" s="21">
        <f>M5</f>
        <v>0</v>
      </c>
      <c r="N8" s="21">
        <f>N5</f>
        <v>902.6713237118081</v>
      </c>
      <c r="O8" s="21">
        <f>O5</f>
        <v>34.393333333333338</v>
      </c>
      <c r="P8" s="21">
        <f>P5</f>
        <v>247.86666666666667</v>
      </c>
    </row>
    <row r="9" spans="1:16">
      <c r="B9" s="19"/>
      <c r="C9" s="19"/>
      <c r="D9" s="258"/>
      <c r="E9" s="19"/>
      <c r="F9" s="19"/>
      <c r="G9" s="19"/>
      <c r="H9" s="19"/>
      <c r="I9" s="19"/>
      <c r="J9" s="19"/>
      <c r="K9" s="19"/>
      <c r="L9" s="19"/>
      <c r="M9" s="19"/>
      <c r="N9" s="19"/>
      <c r="O9" s="19"/>
      <c r="P9" s="19"/>
    </row>
    <row r="10" spans="1:16">
      <c r="A10" s="24" t="s">
        <v>213</v>
      </c>
      <c r="B10" s="25">
        <f ca="1">'EF ele_warmte'!B12</f>
        <v>0.19834478833015273</v>
      </c>
      <c r="C10" s="25">
        <f ca="1">'EF ele_warmte'!B22</f>
        <v>0</v>
      </c>
      <c r="D10" s="25">
        <f>EF_CO2_aardgas</f>
        <v>0.20200000000000001</v>
      </c>
      <c r="E10" s="25">
        <f>EF_VLgas_CO2</f>
        <v>0.22700000000000001</v>
      </c>
      <c r="F10" s="25">
        <f>EF_stookolie_CO2</f>
        <v>0.26700000000000002</v>
      </c>
      <c r="G10" s="25">
        <f>EF_diesel_CO2</f>
        <v>0.26700000000000002</v>
      </c>
      <c r="H10" s="25">
        <f>EF_benzine_CO2</f>
        <v>0.249</v>
      </c>
      <c r="I10" s="25">
        <f>EF_bruinkool_CO2</f>
        <v>0.35099999999999998</v>
      </c>
      <c r="J10" s="25">
        <f>EF_steenkool_CO2</f>
        <v>0.35399999999999998</v>
      </c>
      <c r="K10" s="25">
        <f>EF_anderfossiel_CO2</f>
        <v>0.26400000000000001</v>
      </c>
      <c r="L10" s="25">
        <f>'EF brandstof'!J4</f>
        <v>0</v>
      </c>
      <c r="M10" s="25">
        <f>'EF brandstof'!K4</f>
        <v>0</v>
      </c>
      <c r="N10" s="25">
        <f>'EF brandstof'!L4</f>
        <v>0</v>
      </c>
      <c r="O10" s="25">
        <v>0</v>
      </c>
      <c r="P10" s="25">
        <v>0</v>
      </c>
    </row>
    <row r="11" spans="1:16">
      <c r="A11" s="8"/>
      <c r="B11" s="22"/>
      <c r="C11" s="22"/>
      <c r="D11" s="22"/>
      <c r="E11" s="22"/>
      <c r="F11" s="22"/>
      <c r="G11" s="22"/>
      <c r="H11" s="22"/>
      <c r="I11" s="22"/>
      <c r="J11" s="22"/>
      <c r="K11" s="22"/>
      <c r="L11" s="22"/>
      <c r="M11" s="22"/>
      <c r="N11" s="22"/>
      <c r="O11" s="22"/>
      <c r="P11" s="22"/>
    </row>
    <row r="12" spans="1:16">
      <c r="A12" s="20" t="s">
        <v>212</v>
      </c>
      <c r="B12" s="23">
        <f ca="1">B10*B8</f>
        <v>3025.3355582762756</v>
      </c>
      <c r="C12" s="23">
        <f ca="1">C10*C8</f>
        <v>0</v>
      </c>
      <c r="D12" s="23">
        <f>D8*D10</f>
        <v>9396.9767061279999</v>
      </c>
      <c r="E12" s="23">
        <f>E10*E8</f>
        <v>177.5930862376494</v>
      </c>
      <c r="F12" s="23">
        <f>F10*F8</f>
        <v>0</v>
      </c>
      <c r="G12" s="23"/>
      <c r="H12" s="23"/>
      <c r="I12" s="23"/>
      <c r="J12" s="23">
        <f>J10*J8</f>
        <v>0</v>
      </c>
      <c r="K12" s="23"/>
      <c r="L12" s="23">
        <f>L10*L8</f>
        <v>0</v>
      </c>
      <c r="M12" s="23">
        <f>M10*M8</f>
        <v>0</v>
      </c>
      <c r="N12" s="23">
        <f>N10*N8</f>
        <v>0</v>
      </c>
      <c r="O12" s="23">
        <f>O10*O8</f>
        <v>0</v>
      </c>
      <c r="P12" s="23">
        <f>P10*P8</f>
        <v>0</v>
      </c>
    </row>
    <row r="15" spans="1:16">
      <c r="A15" s="193" t="s">
        <v>492</v>
      </c>
      <c r="B15" s="203"/>
      <c r="C15" s="203"/>
      <c r="D15" s="225"/>
    </row>
    <row r="16" spans="1:16">
      <c r="A16" s="3"/>
      <c r="B16" s="43"/>
      <c r="C16" s="43"/>
      <c r="D16" s="174"/>
    </row>
    <row r="17" spans="1:7">
      <c r="A17" s="226" t="s">
        <v>214</v>
      </c>
      <c r="B17" s="202" t="s">
        <v>215</v>
      </c>
      <c r="C17" s="202" t="s">
        <v>219</v>
      </c>
      <c r="D17" s="227" t="s">
        <v>181</v>
      </c>
      <c r="E17" s="15"/>
    </row>
    <row r="18" spans="1:7">
      <c r="A18" s="171" t="s">
        <v>70</v>
      </c>
      <c r="B18" s="37">
        <f>Aantalw2001_aardgas</f>
        <v>2687</v>
      </c>
      <c r="C18" s="166" t="s">
        <v>110</v>
      </c>
      <c r="D18" s="228"/>
      <c r="E18" s="15"/>
    </row>
    <row r="19" spans="1:7">
      <c r="A19" s="171" t="s">
        <v>71</v>
      </c>
      <c r="B19" s="37">
        <f>aantalw2001_ander</f>
        <v>5</v>
      </c>
      <c r="C19" s="166" t="s">
        <v>110</v>
      </c>
      <c r="D19" s="229"/>
      <c r="E19" s="15"/>
    </row>
    <row r="20" spans="1:7">
      <c r="A20" s="171" t="s">
        <v>72</v>
      </c>
      <c r="B20" s="37">
        <f>aantalw2001_propaan</f>
        <v>10</v>
      </c>
      <c r="C20" s="167">
        <f>IF(ISERROR(B20/SUM($B$20,$B$21,$B$22)*100),0,B20/SUM($B$20,$B$21,$B$22)*100)</f>
        <v>2.4937655860349128</v>
      </c>
      <c r="D20" s="229"/>
      <c r="E20" s="15"/>
    </row>
    <row r="21" spans="1:7">
      <c r="A21" s="171" t="s">
        <v>73</v>
      </c>
      <c r="B21" s="37">
        <f>aantalw2001_elektriciteit</f>
        <v>375</v>
      </c>
      <c r="C21" s="167">
        <f>IF(ISERROR(B21/SUM($B$20,$B$21,$B$22)*100),0,B21/SUM($B$20,$B$21,$B$22)*100)</f>
        <v>93.516209476309228</v>
      </c>
      <c r="D21" s="229"/>
      <c r="E21" s="15"/>
    </row>
    <row r="22" spans="1:7">
      <c r="A22" s="171" t="s">
        <v>74</v>
      </c>
      <c r="B22" s="37">
        <f>aantalw2001_hout</f>
        <v>16</v>
      </c>
      <c r="C22" s="167">
        <f>IF(ISERROR(B22/SUM($B$20,$B$21,$B$22)*100),0,B22/SUM($B$20,$B$21,$B$22)*100)</f>
        <v>3.9900249376558601</v>
      </c>
      <c r="D22" s="229"/>
      <c r="E22" s="15"/>
    </row>
    <row r="23" spans="1:7">
      <c r="A23" s="171" t="s">
        <v>75</v>
      </c>
      <c r="B23" s="37">
        <f>aantalw2001_niet_gespec</f>
        <v>52</v>
      </c>
      <c r="C23" s="166" t="s">
        <v>110</v>
      </c>
      <c r="D23" s="228"/>
      <c r="E23" s="15"/>
    </row>
    <row r="24" spans="1:7">
      <c r="A24" s="171" t="s">
        <v>76</v>
      </c>
      <c r="B24" s="37">
        <f>aantalw2001_steenkool</f>
        <v>69</v>
      </c>
      <c r="C24" s="166" t="s">
        <v>110</v>
      </c>
      <c r="D24" s="229"/>
      <c r="E24" s="15"/>
    </row>
    <row r="25" spans="1:7">
      <c r="A25" s="171" t="s">
        <v>77</v>
      </c>
      <c r="B25" s="37">
        <f>aantalw2001_stookolie</f>
        <v>325</v>
      </c>
      <c r="C25" s="166" t="s">
        <v>110</v>
      </c>
      <c r="D25" s="228"/>
      <c r="E25" s="52"/>
    </row>
    <row r="26" spans="1:7">
      <c r="A26" s="171" t="s">
        <v>78</v>
      </c>
      <c r="B26" s="37">
        <f>aantalw2001_WP</f>
        <v>1</v>
      </c>
      <c r="C26" s="166" t="s">
        <v>110</v>
      </c>
      <c r="D26" s="228"/>
      <c r="E26" s="15"/>
    </row>
    <row r="27" spans="1:7" s="15" customFormat="1">
      <c r="A27" s="171"/>
      <c r="B27" s="29"/>
      <c r="C27" s="36"/>
      <c r="D27" s="228"/>
    </row>
    <row r="28" spans="1:7" s="15" customFormat="1">
      <c r="A28" s="230" t="s">
        <v>736</v>
      </c>
      <c r="B28" s="37">
        <f>aantalHuishoudens</f>
        <v>4079</v>
      </c>
      <c r="C28" s="36"/>
      <c r="D28" s="228"/>
    </row>
    <row r="29" spans="1:7" s="15" customFormat="1">
      <c r="A29" s="230" t="s">
        <v>737</v>
      </c>
      <c r="B29" s="37">
        <f>SUM(HH_hh_gas_aantal,HH_rest_gas_aantal)</f>
        <v>3673</v>
      </c>
      <c r="C29" s="36"/>
      <c r="D29" s="228"/>
    </row>
    <row r="30" spans="1:7" s="15" customFormat="1">
      <c r="A30" s="231"/>
      <c r="B30" s="29"/>
      <c r="C30" s="36"/>
      <c r="D30" s="232"/>
    </row>
    <row r="31" spans="1:7">
      <c r="A31" s="172" t="s">
        <v>738</v>
      </c>
      <c r="B31" s="168" t="s">
        <v>215</v>
      </c>
      <c r="C31" s="165" t="s">
        <v>216</v>
      </c>
      <c r="D31" s="174"/>
      <c r="G31" s="15"/>
    </row>
    <row r="32" spans="1:7">
      <c r="A32" s="171" t="s">
        <v>70</v>
      </c>
      <c r="B32" s="37">
        <f>B29</f>
        <v>3673</v>
      </c>
      <c r="C32" s="167">
        <f>IF(ISERROR(B32/SUM($B$32,$B$34,$B$35,$B$36,$B$38,$B$39)*100),0,B32/SUM($B$32,$B$34,$B$35,$B$36,$B$38,$B$39)*100)</f>
        <v>90.334481062469251</v>
      </c>
      <c r="D32" s="233"/>
      <c r="G32" s="15"/>
    </row>
    <row r="33" spans="1:7">
      <c r="A33" s="171" t="s">
        <v>71</v>
      </c>
      <c r="B33" s="34" t="s">
        <v>110</v>
      </c>
      <c r="C33" s="167"/>
      <c r="D33" s="233"/>
      <c r="G33" s="15"/>
    </row>
    <row r="34" spans="1:7">
      <c r="A34" s="171" t="s">
        <v>72</v>
      </c>
      <c r="B34" s="33">
        <f>IF((($B$28-$B$32-$B$39-$B$77-$B$38)*C20/100)&lt;0,0,($B$28-$B$32-$B$39-$B$77-$B$38)*C20/100)</f>
        <v>9.800498753117207</v>
      </c>
      <c r="C34" s="167">
        <f>IF(ISERROR(B34/SUM($B$32,$B$34,$B$35,$B$36,$B$38,$B$39)*100),0,B34/SUM($B$32,$B$34,$B$35,$B$36,$B$38,$B$39)*100)</f>
        <v>0.24103538497582899</v>
      </c>
      <c r="D34" s="233"/>
      <c r="G34" s="15"/>
    </row>
    <row r="35" spans="1:7">
      <c r="A35" s="171" t="s">
        <v>73</v>
      </c>
      <c r="B35" s="33">
        <f>IF((($B$28-$B$32-$B$39-$B$77-$B$38)*C21/100)&lt;0,0,($B$28-$B$32-$B$39-$B$77-$B$38)*C21/100)</f>
        <v>367.51870324189525</v>
      </c>
      <c r="C35" s="167">
        <f>IF(ISERROR(B35/SUM($B$32,$B$34,$B$35,$B$36,$B$38,$B$39)*100),0,B35/SUM($B$32,$B$34,$B$35,$B$36,$B$38,$B$39)*100)</f>
        <v>9.0388269365935869</v>
      </c>
      <c r="D35" s="233"/>
      <c r="G35" s="15"/>
    </row>
    <row r="36" spans="1:7">
      <c r="A36" s="171" t="s">
        <v>74</v>
      </c>
      <c r="B36" s="33">
        <f>IF((($B$28-$B$32-$B$39-$B$77-$B$38)*C22/100)&lt;0,0,($B$28-$B$32-$B$39-$B$77-$B$38)*C22/100)</f>
        <v>15.68079800498753</v>
      </c>
      <c r="C36" s="167">
        <f>IF(ISERROR(B36/SUM($B$32,$B$34,$B$35,$B$36,$B$38,$B$39)*100),0,B36/SUM($B$32,$B$34,$B$35,$B$36,$B$38,$B$39)*100)</f>
        <v>0.38565661596132639</v>
      </c>
      <c r="D36" s="233"/>
      <c r="G36" s="15"/>
    </row>
    <row r="37" spans="1:7">
      <c r="A37" s="171" t="s">
        <v>75</v>
      </c>
      <c r="B37" s="34" t="s">
        <v>110</v>
      </c>
      <c r="C37" s="167"/>
      <c r="D37" s="173"/>
      <c r="G37" s="15"/>
    </row>
    <row r="38" spans="1:7">
      <c r="A38" s="171" t="s">
        <v>76</v>
      </c>
      <c r="B38" s="33">
        <f>IF((B24-(B29-B18)*0.1)&lt;0,0,B24-(B29-B18)*0.1)</f>
        <v>0</v>
      </c>
      <c r="C38" s="167">
        <f>IF(ISERROR(B38/SUM($B$32,$B$34,$B$35,$B$36,$B$38,$B$39)*100),0,B38/SUM($B$32,$B$34,$B$35,$B$36,$B$38,$B$39)*100)</f>
        <v>0</v>
      </c>
      <c r="D38" s="234"/>
      <c r="G38" s="15"/>
    </row>
    <row r="39" spans="1:7">
      <c r="A39" s="171" t="s">
        <v>77</v>
      </c>
      <c r="B39" s="33">
        <f>IF((B25-(B29-B18))&lt;0,0,B25-(B29-B18)*0.9)</f>
        <v>0</v>
      </c>
      <c r="C39" s="167">
        <f>IF(ISERROR(B39/SUM($B$32,$B$34,$B$35,$B$36,$B$38,$B$39)*100),0,B39/SUM($B$32,$B$34,$B$35,$B$36,$B$38,$B$39)*100)</f>
        <v>0</v>
      </c>
      <c r="D39" s="234"/>
      <c r="G39" s="15"/>
    </row>
    <row r="40" spans="1:7">
      <c r="A40" s="171" t="s">
        <v>78</v>
      </c>
      <c r="B40" s="33" t="s">
        <v>218</v>
      </c>
      <c r="C40" s="167"/>
      <c r="D40" s="233"/>
      <c r="G40" s="15"/>
    </row>
    <row r="41" spans="1:7">
      <c r="A41" s="3"/>
      <c r="B41" s="43"/>
      <c r="C41" s="43"/>
      <c r="D41" s="174"/>
    </row>
    <row r="42" spans="1:7">
      <c r="A42" s="3"/>
      <c r="B42" s="43"/>
      <c r="C42" s="43"/>
      <c r="D42" s="174"/>
    </row>
    <row r="43" spans="1:7">
      <c r="A43" s="172" t="s">
        <v>484</v>
      </c>
      <c r="B43" s="169" t="s">
        <v>694</v>
      </c>
      <c r="C43" s="169" t="s">
        <v>695</v>
      </c>
      <c r="D43" s="174"/>
    </row>
    <row r="44" spans="1:7">
      <c r="A44" s="171" t="s">
        <v>70</v>
      </c>
      <c r="B44" s="33">
        <f t="shared" ref="B44:B52" si="0">B32</f>
        <v>3673</v>
      </c>
      <c r="C44" s="34" t="s">
        <v>110</v>
      </c>
      <c r="D44" s="174"/>
    </row>
    <row r="45" spans="1:7">
      <c r="A45" s="171" t="s">
        <v>71</v>
      </c>
      <c r="B45" s="33" t="str">
        <f t="shared" si="0"/>
        <v>-</v>
      </c>
      <c r="C45" s="34" t="s">
        <v>110</v>
      </c>
      <c r="D45" s="174"/>
    </row>
    <row r="46" spans="1:7">
      <c r="A46" s="171" t="s">
        <v>72</v>
      </c>
      <c r="B46" s="33">
        <f t="shared" si="0"/>
        <v>9.800498753117207</v>
      </c>
      <c r="C46" s="34" t="s">
        <v>110</v>
      </c>
      <c r="D46" s="174"/>
    </row>
    <row r="47" spans="1:7">
      <c r="A47" s="171" t="s">
        <v>73</v>
      </c>
      <c r="B47" s="33">
        <f t="shared" si="0"/>
        <v>367.51870324189525</v>
      </c>
      <c r="C47" s="34" t="s">
        <v>110</v>
      </c>
      <c r="D47" s="174"/>
    </row>
    <row r="48" spans="1:7">
      <c r="A48" s="171" t="s">
        <v>74</v>
      </c>
      <c r="B48" s="33">
        <f t="shared" si="0"/>
        <v>15.68079800498753</v>
      </c>
      <c r="C48" s="33">
        <f>B48*10</f>
        <v>156.80798004987531</v>
      </c>
      <c r="D48" s="234"/>
    </row>
    <row r="49" spans="1:6">
      <c r="A49" s="171" t="s">
        <v>75</v>
      </c>
      <c r="B49" s="33" t="str">
        <f t="shared" si="0"/>
        <v>-</v>
      </c>
      <c r="C49" s="34" t="s">
        <v>110</v>
      </c>
      <c r="D49" s="234"/>
    </row>
    <row r="50" spans="1:6">
      <c r="A50" s="171" t="s">
        <v>76</v>
      </c>
      <c r="B50" s="33">
        <f t="shared" si="0"/>
        <v>0</v>
      </c>
      <c r="C50" s="33">
        <f>B50*2</f>
        <v>0</v>
      </c>
      <c r="D50" s="234"/>
    </row>
    <row r="51" spans="1:6">
      <c r="A51" s="171" t="s">
        <v>77</v>
      </c>
      <c r="B51" s="33">
        <f t="shared" si="0"/>
        <v>0</v>
      </c>
      <c r="C51" s="34" t="s">
        <v>110</v>
      </c>
      <c r="D51" s="174"/>
    </row>
    <row r="52" spans="1:6">
      <c r="A52" s="171" t="s">
        <v>78</v>
      </c>
      <c r="B52" s="33" t="str">
        <f t="shared" si="0"/>
        <v>zie verder</v>
      </c>
      <c r="C52" s="34" t="s">
        <v>110</v>
      </c>
      <c r="D52" s="174"/>
    </row>
    <row r="53" spans="1:6">
      <c r="A53" s="3"/>
      <c r="B53" s="43"/>
      <c r="C53" s="43"/>
      <c r="D53" s="174"/>
    </row>
    <row r="54" spans="1:6">
      <c r="A54" s="172" t="s">
        <v>487</v>
      </c>
      <c r="B54" s="165" t="s">
        <v>692</v>
      </c>
      <c r="C54" s="165" t="s">
        <v>693</v>
      </c>
      <c r="D54" s="299" t="s">
        <v>901</v>
      </c>
      <c r="E54" s="162"/>
      <c r="F54" s="162"/>
    </row>
    <row r="55" spans="1:6">
      <c r="A55" s="171" t="s">
        <v>70</v>
      </c>
      <c r="B55" s="163">
        <v>12.805116383233845</v>
      </c>
      <c r="C55" s="170" t="s">
        <v>110</v>
      </c>
      <c r="D55" s="173"/>
      <c r="E55" s="163"/>
      <c r="F55" s="163"/>
    </row>
    <row r="56" spans="1:6">
      <c r="A56" s="171" t="s">
        <v>71</v>
      </c>
      <c r="B56" s="170" t="s">
        <v>110</v>
      </c>
      <c r="C56" s="170" t="s">
        <v>110</v>
      </c>
      <c r="D56" s="173"/>
      <c r="E56" s="163"/>
      <c r="F56" s="163"/>
    </row>
    <row r="57" spans="1:6">
      <c r="A57" s="171" t="s">
        <v>72</v>
      </c>
      <c r="B57" s="163">
        <v>79.827406464782825</v>
      </c>
      <c r="C57" s="170" t="s">
        <v>110</v>
      </c>
      <c r="D57" s="173"/>
      <c r="E57" s="163"/>
      <c r="F57" s="163"/>
    </row>
    <row r="58" spans="1:6">
      <c r="A58" s="171" t="s">
        <v>73</v>
      </c>
      <c r="B58" s="163">
        <v>10.04153687802968</v>
      </c>
      <c r="C58" s="170" t="s">
        <v>110</v>
      </c>
      <c r="D58" s="173"/>
      <c r="E58" s="163"/>
      <c r="F58" s="163"/>
    </row>
    <row r="59" spans="1:6">
      <c r="A59" s="171" t="s">
        <v>74</v>
      </c>
      <c r="B59" s="170">
        <v>8.296340035389548</v>
      </c>
      <c r="C59" s="170">
        <v>4.9269054495213993</v>
      </c>
      <c r="D59" s="173"/>
      <c r="E59" s="163"/>
      <c r="F59" s="163"/>
    </row>
    <row r="60" spans="1:6">
      <c r="A60" s="171" t="s">
        <v>75</v>
      </c>
      <c r="B60" s="170" t="s">
        <v>110</v>
      </c>
      <c r="C60" s="170" t="s">
        <v>110</v>
      </c>
      <c r="D60" s="173"/>
      <c r="E60" s="163"/>
      <c r="F60" s="163"/>
    </row>
    <row r="61" spans="1:6">
      <c r="A61" s="171" t="s">
        <v>76</v>
      </c>
      <c r="B61" s="163">
        <v>14.098437179914876</v>
      </c>
      <c r="C61" s="170">
        <v>6.5828587001198162</v>
      </c>
      <c r="D61" s="173"/>
      <c r="E61" s="163"/>
      <c r="F61" s="163"/>
    </row>
    <row r="62" spans="1:6">
      <c r="A62" s="171" t="s">
        <v>77</v>
      </c>
      <c r="B62" s="170">
        <v>22.38778514248483</v>
      </c>
      <c r="C62" s="170" t="s">
        <v>110</v>
      </c>
      <c r="D62" s="174"/>
      <c r="E62" s="163"/>
      <c r="F62" s="163"/>
    </row>
    <row r="63" spans="1:6">
      <c r="A63" s="171" t="s">
        <v>78</v>
      </c>
      <c r="B63" s="170" t="s">
        <v>218</v>
      </c>
      <c r="C63" s="170" t="s">
        <v>110</v>
      </c>
      <c r="D63" s="174"/>
      <c r="E63" s="163"/>
      <c r="F63" s="163"/>
    </row>
    <row r="64" spans="1:6">
      <c r="A64" s="175"/>
      <c r="B64" s="235"/>
      <c r="C64" s="235"/>
      <c r="D64" s="176"/>
      <c r="E64" s="163"/>
      <c r="F64" s="163"/>
    </row>
    <row r="65" spans="1:6">
      <c r="E65" s="15"/>
      <c r="F65" s="15"/>
    </row>
    <row r="66" spans="1:6">
      <c r="A66" s="194" t="s">
        <v>485</v>
      </c>
      <c r="B66" s="203"/>
      <c r="C66" s="203"/>
      <c r="D66" s="204"/>
    </row>
    <row r="67" spans="1:6" s="15" customFormat="1">
      <c r="A67" s="172"/>
      <c r="B67" s="32"/>
      <c r="C67" s="32"/>
      <c r="D67" s="205"/>
    </row>
    <row r="68" spans="1:6" s="15" customFormat="1">
      <c r="A68" s="206"/>
      <c r="B68" s="207"/>
      <c r="C68" s="208" t="s">
        <v>376</v>
      </c>
      <c r="D68" s="222" t="s">
        <v>181</v>
      </c>
    </row>
    <row r="69" spans="1:6">
      <c r="A69" s="171" t="s">
        <v>265</v>
      </c>
      <c r="B69" s="317">
        <f>aantalZB_NB_wonen+aantalZB_NB_wonen_met_kantoor+ZB_HH_bestaande_bouw</f>
        <v>22</v>
      </c>
      <c r="C69" s="43"/>
      <c r="D69" s="173"/>
    </row>
    <row r="70" spans="1:6">
      <c r="A70" s="171" t="s">
        <v>482</v>
      </c>
      <c r="B70" s="313">
        <v>4.2</v>
      </c>
      <c r="C70" s="43"/>
      <c r="D70" s="307" t="s">
        <v>516</v>
      </c>
    </row>
    <row r="71" spans="1:6">
      <c r="A71" s="245" t="s">
        <v>483</v>
      </c>
      <c r="B71" s="318">
        <f>1.34/3.6</f>
        <v>0.37222222222222223</v>
      </c>
      <c r="C71" s="43" t="s">
        <v>217</v>
      </c>
      <c r="D71" s="307" t="s">
        <v>516</v>
      </c>
    </row>
    <row r="72" spans="1:6">
      <c r="A72" s="175"/>
      <c r="B72" s="246"/>
      <c r="C72" s="178"/>
      <c r="D72" s="179"/>
    </row>
    <row r="73" spans="1:6">
      <c r="D73" s="164"/>
    </row>
    <row r="74" spans="1:6">
      <c r="A74" s="194" t="s">
        <v>486</v>
      </c>
      <c r="B74" s="203"/>
      <c r="C74" s="203"/>
      <c r="D74" s="204"/>
    </row>
    <row r="75" spans="1:6">
      <c r="A75" s="172"/>
      <c r="B75" s="32"/>
      <c r="C75" s="32"/>
      <c r="D75" s="209"/>
    </row>
    <row r="76" spans="1:6">
      <c r="A76" s="183"/>
      <c r="B76" s="182"/>
      <c r="C76" s="208" t="s">
        <v>376</v>
      </c>
      <c r="D76" s="223" t="s">
        <v>181</v>
      </c>
    </row>
    <row r="77" spans="1:6">
      <c r="A77" s="171" t="s">
        <v>265</v>
      </c>
      <c r="B77" s="317">
        <f>aantalWP_NB_wonen+aantalWP_NB_wonen_met_kantoor+WP_HH_bestaande_bouw</f>
        <v>13</v>
      </c>
      <c r="C77" s="32"/>
      <c r="D77" s="177"/>
    </row>
    <row r="78" spans="1:6">
      <c r="A78" s="171" t="s">
        <v>452</v>
      </c>
      <c r="B78" s="313">
        <v>13</v>
      </c>
      <c r="C78" s="32" t="s">
        <v>262</v>
      </c>
      <c r="D78" s="307" t="s">
        <v>516</v>
      </c>
    </row>
    <row r="79" spans="1:6">
      <c r="A79" s="171" t="s">
        <v>453</v>
      </c>
      <c r="B79" s="313">
        <v>2000</v>
      </c>
      <c r="C79" s="32" t="s">
        <v>264</v>
      </c>
      <c r="D79" s="307" t="s">
        <v>516</v>
      </c>
    </row>
    <row r="80" spans="1:6">
      <c r="A80" s="171" t="s">
        <v>414</v>
      </c>
      <c r="B80" s="313">
        <v>3.75</v>
      </c>
      <c r="C80" s="43"/>
      <c r="D80" s="307" t="s">
        <v>516</v>
      </c>
    </row>
    <row r="81" spans="1:4">
      <c r="A81" s="4"/>
      <c r="B81" s="178"/>
      <c r="C81" s="178"/>
      <c r="D81" s="176"/>
    </row>
  </sheetData>
  <mergeCells count="6">
    <mergeCell ref="A1:A3"/>
    <mergeCell ref="B1:P1"/>
    <mergeCell ref="B2:B3"/>
    <mergeCell ref="C2:C3"/>
    <mergeCell ref="D2:K2"/>
    <mergeCell ref="L2:P2"/>
  </mergeCells>
  <pageMargins left="0.7" right="0.7" top="0.75" bottom="0.75" header="0.3" footer="0.3"/>
  <pageSetup paperSize="9"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977111117893"/>
  </sheetPr>
  <dimension ref="A1:R55"/>
  <sheetViews>
    <sheetView showGridLines="0" topLeftCell="A22" zoomScale="80" zoomScaleNormal="80" workbookViewId="0">
      <selection activeCell="B47" sqref="B47"/>
    </sheetView>
  </sheetViews>
  <sheetFormatPr defaultColWidth="9.140625" defaultRowHeight="15"/>
  <cols>
    <col min="1" max="1" width="67.5703125" style="15" customWidth="1"/>
    <col min="2" max="2" width="31.85546875" style="15" customWidth="1"/>
    <col min="3" max="3" width="34" style="15" customWidth="1"/>
    <col min="4" max="4" width="64.85546875" style="15" customWidth="1"/>
    <col min="5" max="5" width="25.5703125" style="15" customWidth="1"/>
    <col min="6" max="6" width="28.140625" style="15" bestFit="1"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155</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251"/>
      <c r="G4" s="14"/>
      <c r="H4" s="14"/>
      <c r="I4" s="14"/>
      <c r="J4" s="14"/>
      <c r="K4" s="14"/>
      <c r="L4" s="14"/>
      <c r="M4" s="14"/>
      <c r="N4" s="14"/>
      <c r="O4" s="14"/>
      <c r="P4" s="14"/>
      <c r="R4" s="6"/>
    </row>
    <row r="5" spans="1:18">
      <c r="A5" s="16" t="s">
        <v>258</v>
      </c>
      <c r="B5" s="30">
        <f>SUM(B6:B12)</f>
        <v>10910.422999999999</v>
      </c>
      <c r="C5" s="17">
        <f>IF(ISERROR('Eigen informatie GS &amp; warmtenet'!B58),0,'Eigen informatie GS &amp; warmtenet'!B58)</f>
        <v>0</v>
      </c>
      <c r="D5" s="30">
        <f>SUM(D6:D12)</f>
        <v>10217.986790000003</v>
      </c>
      <c r="E5" s="17">
        <f>SUM(E6:E12)</f>
        <v>103.82127233222759</v>
      </c>
      <c r="F5" s="17">
        <f>SUM(F6:F12)</f>
        <v>1580.4443862317219</v>
      </c>
      <c r="G5" s="18"/>
      <c r="H5" s="17"/>
      <c r="I5" s="17"/>
      <c r="J5" s="17">
        <f>SUM(J6:J12)</f>
        <v>0</v>
      </c>
      <c r="K5" s="17"/>
      <c r="L5" s="17"/>
      <c r="M5" s="17"/>
      <c r="N5" s="17">
        <f>SUM(N6:N12)</f>
        <v>1204.6010970649336</v>
      </c>
      <c r="O5" s="17">
        <f>B38*B39*B40</f>
        <v>0</v>
      </c>
      <c r="P5" s="17">
        <f>B46*B47*B48/1000-B46*B47*B48/1000/B49</f>
        <v>0</v>
      </c>
      <c r="R5" s="32"/>
    </row>
    <row r="6" spans="1:18">
      <c r="A6" s="32" t="s">
        <v>53</v>
      </c>
      <c r="B6" s="37">
        <f>B26</f>
        <v>2011.346</v>
      </c>
      <c r="C6" s="33"/>
      <c r="D6" s="37">
        <f>IF(ISERROR(TER_kantoor_gas_kWh/1000),0,TER_kantoor_gas_kWh/1000)*0.902</f>
        <v>4379.508562</v>
      </c>
      <c r="E6" s="33">
        <f>$C$26*'E Balans VL '!I12/100/3.6*1000000</f>
        <v>5.8271644683020893</v>
      </c>
      <c r="F6" s="33">
        <f>$C$26*('E Balans VL '!L12+'E Balans VL '!N12)/100/3.6*1000000</f>
        <v>227.64005381189915</v>
      </c>
      <c r="G6" s="34"/>
      <c r="H6" s="33"/>
      <c r="I6" s="33"/>
      <c r="J6" s="33">
        <f>$C$26*('E Balans VL '!D12+'E Balans VL '!E12)/100/3.6*1000000</f>
        <v>0</v>
      </c>
      <c r="K6" s="33"/>
      <c r="L6" s="33"/>
      <c r="M6" s="33"/>
      <c r="N6" s="33">
        <f>$C$26*'E Balans VL '!Y12/100/3.6*1000000</f>
        <v>20.132091434096569</v>
      </c>
      <c r="O6" s="33"/>
      <c r="P6" s="33"/>
      <c r="R6" s="32"/>
    </row>
    <row r="7" spans="1:18">
      <c r="A7" s="32" t="s">
        <v>52</v>
      </c>
      <c r="B7" s="37">
        <f t="shared" ref="B7:B12" si="0">B27</f>
        <v>614.15599999999995</v>
      </c>
      <c r="C7" s="33"/>
      <c r="D7" s="37">
        <f>IF(ISERROR(TER_horeca_gas_kWh/1000),0,TER_horeca_gas_kWh/1000)*0.902</f>
        <v>1006.355988</v>
      </c>
      <c r="E7" s="33">
        <f>$C$27*'E Balans VL '!I9/100/3.6*1000000</f>
        <v>25.780552962049121</v>
      </c>
      <c r="F7" s="33">
        <f>$C$27*('E Balans VL '!L9+'E Balans VL '!N9)/100/3.6*1000000</f>
        <v>131.96401105496292</v>
      </c>
      <c r="G7" s="34"/>
      <c r="H7" s="33"/>
      <c r="I7" s="33"/>
      <c r="J7" s="33">
        <f>$C$27*('E Balans VL '!D9+'E Balans VL '!E9)/100/3.6*1000000</f>
        <v>0</v>
      </c>
      <c r="K7" s="33"/>
      <c r="L7" s="33"/>
      <c r="M7" s="33"/>
      <c r="N7" s="33">
        <f>$C$27*'E Balans VL '!Y9/100/3.6*1000000</f>
        <v>0.15826263021093498</v>
      </c>
      <c r="O7" s="33"/>
      <c r="P7" s="33"/>
      <c r="R7" s="32"/>
    </row>
    <row r="8" spans="1:18">
      <c r="A8" s="6" t="s">
        <v>51</v>
      </c>
      <c r="B8" s="37">
        <f t="shared" si="0"/>
        <v>6015.1959999999999</v>
      </c>
      <c r="C8" s="33"/>
      <c r="D8" s="37">
        <f>IF(ISERROR(TER_handel_gas_kWh/1000),0,TER_handel_gas_kWh/1000)*0.902</f>
        <v>1601.0590200000001</v>
      </c>
      <c r="E8" s="33">
        <f>$C$28*'E Balans VL '!I13/100/3.6*1000000</f>
        <v>64.608211345318608</v>
      </c>
      <c r="F8" s="33">
        <f>$C$28*('E Balans VL '!L13+'E Balans VL '!N13)/100/3.6*1000000</f>
        <v>778.71679466458033</v>
      </c>
      <c r="G8" s="34"/>
      <c r="H8" s="33"/>
      <c r="I8" s="33"/>
      <c r="J8" s="33">
        <f>$C$28*('E Balans VL '!D13+'E Balans VL '!E13)/100/3.6*1000000</f>
        <v>0</v>
      </c>
      <c r="K8" s="33"/>
      <c r="L8" s="33"/>
      <c r="M8" s="33"/>
      <c r="N8" s="33">
        <f>$C$28*'E Balans VL '!Y13/100/3.6*1000000</f>
        <v>48.795598395982182</v>
      </c>
      <c r="O8" s="33"/>
      <c r="P8" s="33"/>
      <c r="R8" s="32"/>
    </row>
    <row r="9" spans="1:18">
      <c r="A9" s="32" t="s">
        <v>50</v>
      </c>
      <c r="B9" s="37">
        <f t="shared" si="0"/>
        <v>488.99900000000002</v>
      </c>
      <c r="C9" s="33"/>
      <c r="D9" s="37">
        <f>IF(ISERROR(TER_gezond_gas_kWh/1000),0,TER_gezond_gas_kWh/1000)*0.902</f>
        <v>1578.668674</v>
      </c>
      <c r="E9" s="33">
        <f>$C$29*'E Balans VL '!I10/100/3.6*1000000</f>
        <v>0.38927483160799137</v>
      </c>
      <c r="F9" s="33">
        <f>$C$29*('E Balans VL '!L10+'E Balans VL '!N10)/100/3.6*1000000</f>
        <v>59.444895122048017</v>
      </c>
      <c r="G9" s="34"/>
      <c r="H9" s="33"/>
      <c r="I9" s="33"/>
      <c r="J9" s="33">
        <f>$C$29*('E Balans VL '!D10+'E Balans VL '!E10)/100/3.6*1000000</f>
        <v>0</v>
      </c>
      <c r="K9" s="33"/>
      <c r="L9" s="33"/>
      <c r="M9" s="33"/>
      <c r="N9" s="33">
        <f>$C$29*'E Balans VL '!Y10/100/3.6*1000000</f>
        <v>3.9500043702269818</v>
      </c>
      <c r="O9" s="33"/>
      <c r="P9" s="33"/>
      <c r="R9" s="32"/>
    </row>
    <row r="10" spans="1:18">
      <c r="A10" s="32" t="s">
        <v>49</v>
      </c>
      <c r="B10" s="37">
        <f t="shared" si="0"/>
        <v>1582.3989999999999</v>
      </c>
      <c r="C10" s="33"/>
      <c r="D10" s="37">
        <f>IF(ISERROR(TER_ander_gas_kWh/1000),0,TER_ander_gas_kWh/1000)*0.902</f>
        <v>784.80855200000008</v>
      </c>
      <c r="E10" s="33">
        <f>$C$30*'E Balans VL '!I14/100/3.6*1000000</f>
        <v>5.4229645015875416</v>
      </c>
      <c r="F10" s="33">
        <f>$C$30*('E Balans VL '!L14+'E Balans VL '!N14)/100/3.6*1000000</f>
        <v>353.44363547908711</v>
      </c>
      <c r="G10" s="34"/>
      <c r="H10" s="33"/>
      <c r="I10" s="33"/>
      <c r="J10" s="33">
        <f>$C$30*('E Balans VL '!D14+'E Balans VL '!E14)/100/3.6*1000000</f>
        <v>0</v>
      </c>
      <c r="K10" s="33"/>
      <c r="L10" s="33"/>
      <c r="M10" s="33"/>
      <c r="N10" s="33">
        <f>$C$30*'E Balans VL '!Y14/100/3.6*1000000</f>
        <v>1114.6505000767606</v>
      </c>
      <c r="O10" s="33"/>
      <c r="P10" s="33"/>
      <c r="R10" s="32"/>
    </row>
    <row r="11" spans="1:18">
      <c r="A11" s="32" t="s">
        <v>54</v>
      </c>
      <c r="B11" s="37">
        <f t="shared" si="0"/>
        <v>0</v>
      </c>
      <c r="C11" s="33"/>
      <c r="D11" s="37">
        <f>IF(ISERROR(TER_onderwijs_gas_kWh/1000),0,TER_onderwijs_gas_kWh/1000)*0.902</f>
        <v>867.58599400000003</v>
      </c>
      <c r="E11" s="33">
        <f>$C$31*'E Balans VL '!I11/100/3.6*1000000</f>
        <v>0</v>
      </c>
      <c r="F11" s="33">
        <f>$C$31*('E Balans VL '!L11+'E Balans VL '!N11)/100/3.6*1000000</f>
        <v>0</v>
      </c>
      <c r="G11" s="34"/>
      <c r="H11" s="33"/>
      <c r="I11" s="33"/>
      <c r="J11" s="33">
        <f>$C$31*('E Balans VL '!D11+'E Balans VL '!E11)/100/3.6*1000000</f>
        <v>0</v>
      </c>
      <c r="K11" s="33"/>
      <c r="L11" s="33"/>
      <c r="M11" s="33"/>
      <c r="N11" s="33">
        <f>$C$31*'E Balans VL '!Y11/100/3.6*1000000</f>
        <v>0</v>
      </c>
      <c r="O11" s="33"/>
      <c r="P11" s="33"/>
      <c r="R11" s="32"/>
    </row>
    <row r="12" spans="1:18">
      <c r="A12" s="32" t="s">
        <v>259</v>
      </c>
      <c r="B12" s="37">
        <f t="shared" si="0"/>
        <v>198.327</v>
      </c>
      <c r="C12" s="33"/>
      <c r="D12" s="37">
        <f>IF(ISERROR(TER_rest_gas_kWh/1000),0,TER_rest_gas_kWh/1000)*0.902</f>
        <v>0</v>
      </c>
      <c r="E12" s="33">
        <f>$C$32*'E Balans VL '!I8/100/3.6*1000000</f>
        <v>1.7931042233622372</v>
      </c>
      <c r="F12" s="33">
        <f>$C$32*('E Balans VL '!L8+'E Balans VL '!N8)/100/3.6*1000000</f>
        <v>29.234996099144478</v>
      </c>
      <c r="G12" s="34"/>
      <c r="H12" s="33"/>
      <c r="I12" s="33"/>
      <c r="J12" s="33">
        <f>$C$32*('E Balans VL '!D8+'E Balans VL '!E8)/100/3.6*1000000</f>
        <v>0</v>
      </c>
      <c r="K12" s="33"/>
      <c r="L12" s="33"/>
      <c r="M12" s="33"/>
      <c r="N12" s="33">
        <f>$C$32*'E Balans VL '!Y8/100/3.6*1000000</f>
        <v>16.914640157656358</v>
      </c>
      <c r="O12" s="33"/>
      <c r="P12" s="33"/>
      <c r="R12" s="32"/>
    </row>
    <row r="13" spans="1:18">
      <c r="A13" s="16" t="s">
        <v>493</v>
      </c>
      <c r="B13" s="247">
        <f ca="1">'lokale energieproductie'!N38+'lokale energieproductie'!N31</f>
        <v>0</v>
      </c>
      <c r="C13" s="247">
        <f ca="1">'lokale energieproductie'!O38+'lokale energieproductie'!O31</f>
        <v>0</v>
      </c>
      <c r="D13" s="308">
        <f ca="1">('lokale energieproductie'!P31+'lokale energieproductie'!P38)*(-1)</f>
        <v>0</v>
      </c>
      <c r="E13" s="248"/>
      <c r="F13" s="308">
        <f ca="1">('lokale energieproductie'!S31+'lokale energieproductie'!S38)*(-1)</f>
        <v>0</v>
      </c>
      <c r="G13" s="249"/>
      <c r="H13" s="248"/>
      <c r="I13" s="248"/>
      <c r="J13" s="248"/>
      <c r="K13" s="248"/>
      <c r="L13" s="308">
        <f ca="1">('lokale energieproductie'!U31+'lokale energieproductie'!T31+'lokale energieproductie'!U38+'lokale energieproductie'!T38)*(-1)</f>
        <v>0</v>
      </c>
      <c r="M13" s="248"/>
      <c r="N13" s="308">
        <f ca="1">('lokale energieproductie'!Q31+'lokale energieproductie'!R31+'lokale energieproductie'!V31+'lokale energieproductie'!Q38+'lokale energieproductie'!R38+'lokale energieproductie'!V38)*(-1)</f>
        <v>0</v>
      </c>
      <c r="O13" s="248"/>
      <c r="P13" s="248"/>
      <c r="R13" s="32"/>
    </row>
    <row r="14" spans="1:18">
      <c r="A14" s="16" t="s">
        <v>507</v>
      </c>
      <c r="B14" s="247">
        <f>('Eigen gebouwen'!B15)*(-1)</f>
        <v>0</v>
      </c>
      <c r="C14" s="247">
        <f>('Eigen gebouwen'!C15)*(-1)</f>
        <v>0</v>
      </c>
      <c r="D14" s="247">
        <f>('Eigen gebouwen'!D15)*(-1)</f>
        <v>0</v>
      </c>
      <c r="E14" s="247">
        <f>('Eigen gebouwen'!E15)*(-1)</f>
        <v>0</v>
      </c>
      <c r="F14" s="247">
        <f>('Eigen gebouwen'!F15)*(-1)</f>
        <v>0</v>
      </c>
      <c r="G14" s="247">
        <f>('Eigen gebouwen'!G15)*(-1)</f>
        <v>0</v>
      </c>
      <c r="H14" s="247">
        <f>('Eigen gebouwen'!H15)*(-1)</f>
        <v>0</v>
      </c>
      <c r="I14" s="247">
        <f>('Eigen gebouwen'!I15)*(-1)</f>
        <v>0</v>
      </c>
      <c r="J14" s="247">
        <f>('Eigen gebouwen'!J15)*(-1)</f>
        <v>0</v>
      </c>
      <c r="K14" s="247">
        <f>('Eigen gebouwen'!K15)*(-1)</f>
        <v>0</v>
      </c>
      <c r="L14" s="247">
        <f>('Eigen gebouwen'!L15)*(-1)</f>
        <v>0</v>
      </c>
      <c r="M14" s="247">
        <f>('Eigen gebouwen'!M15)*(-1)</f>
        <v>0</v>
      </c>
      <c r="N14" s="247">
        <f>('Eigen gebouwen'!N15)*(-1)</f>
        <v>0</v>
      </c>
      <c r="O14" s="247"/>
      <c r="P14" s="247"/>
      <c r="R14" s="32"/>
    </row>
    <row r="15" spans="1:18">
      <c r="A15" s="32"/>
      <c r="B15" s="29"/>
      <c r="C15" s="29"/>
      <c r="D15" s="250"/>
      <c r="E15" s="29"/>
      <c r="F15" s="29"/>
      <c r="G15" s="28"/>
      <c r="H15" s="29"/>
      <c r="I15" s="29"/>
      <c r="J15" s="29"/>
      <c r="K15" s="29"/>
      <c r="L15" s="29"/>
      <c r="M15" s="29"/>
      <c r="N15" s="29"/>
      <c r="O15" s="29"/>
      <c r="P15" s="29"/>
      <c r="R15" s="32"/>
    </row>
    <row r="16" spans="1:18">
      <c r="A16" s="20" t="s">
        <v>260</v>
      </c>
      <c r="B16" s="21">
        <f t="shared" ref="B16:N16" ca="1" si="1">MAX((B5+B13+B14),0)</f>
        <v>10910.422999999999</v>
      </c>
      <c r="C16" s="21">
        <f t="shared" ca="1" si="1"/>
        <v>0</v>
      </c>
      <c r="D16" s="21">
        <f t="shared" ca="1" si="1"/>
        <v>10217.986790000003</v>
      </c>
      <c r="E16" s="21">
        <f t="shared" si="1"/>
        <v>103.82127233222759</v>
      </c>
      <c r="F16" s="21">
        <f t="shared" ca="1" si="1"/>
        <v>1580.4443862317219</v>
      </c>
      <c r="G16" s="21">
        <f t="shared" si="1"/>
        <v>0</v>
      </c>
      <c r="H16" s="21">
        <f t="shared" si="1"/>
        <v>0</v>
      </c>
      <c r="I16" s="21">
        <f t="shared" si="1"/>
        <v>0</v>
      </c>
      <c r="J16" s="21">
        <f t="shared" si="1"/>
        <v>0</v>
      </c>
      <c r="K16" s="21">
        <f t="shared" si="1"/>
        <v>0</v>
      </c>
      <c r="L16" s="21">
        <f t="shared" ca="1" si="1"/>
        <v>0</v>
      </c>
      <c r="M16" s="21">
        <f t="shared" si="1"/>
        <v>0</v>
      </c>
      <c r="N16" s="21">
        <f t="shared" ca="1" si="1"/>
        <v>1204.6010970649336</v>
      </c>
      <c r="O16" s="21">
        <f>O5</f>
        <v>0</v>
      </c>
      <c r="P16" s="21">
        <f>P5</f>
        <v>0</v>
      </c>
      <c r="R16" s="32"/>
    </row>
    <row r="17" spans="1:18">
      <c r="A17"/>
      <c r="B17" s="19"/>
      <c r="C17" s="19"/>
      <c r="D17" s="19"/>
      <c r="E17" s="19"/>
      <c r="F17" s="19"/>
      <c r="G17" s="19"/>
      <c r="H17" s="19"/>
      <c r="I17" s="19"/>
      <c r="J17" s="19"/>
      <c r="K17" s="19"/>
      <c r="L17" s="19"/>
      <c r="M17" s="19"/>
      <c r="N17" s="19"/>
      <c r="O17" s="19"/>
      <c r="P17" s="19"/>
      <c r="R17" s="32"/>
    </row>
    <row r="18" spans="1:18">
      <c r="A18" s="24" t="s">
        <v>213</v>
      </c>
      <c r="B18" s="25">
        <f ca="1">'EF ele_warmte'!B12</f>
        <v>0.19834478833015273</v>
      </c>
      <c r="C18" s="25">
        <f ca="1">'EF ele_warmte'!B22</f>
        <v>0</v>
      </c>
      <c r="D18" s="25">
        <f>EF_CO2_aardgas</f>
        <v>0.20200000000000001</v>
      </c>
      <c r="E18" s="25">
        <f>EF_VLgas_CO2</f>
        <v>0.22700000000000001</v>
      </c>
      <c r="F18" s="25">
        <f>EF_stookolie_CO2</f>
        <v>0.26700000000000002</v>
      </c>
      <c r="G18" s="25">
        <f>EF_diesel_CO2</f>
        <v>0.26700000000000002</v>
      </c>
      <c r="H18" s="25">
        <f>EF_benzine_CO2</f>
        <v>0.249</v>
      </c>
      <c r="I18" s="25">
        <f>EF_bruinkool_CO2</f>
        <v>0.35099999999999998</v>
      </c>
      <c r="J18" s="25">
        <f>EF_steenkool_CO2</f>
        <v>0.35399999999999998</v>
      </c>
      <c r="K18" s="25">
        <f>EF_anderfossiel_CO2</f>
        <v>0.26400000000000001</v>
      </c>
      <c r="L18" s="25">
        <f>'EF brandstof'!J4</f>
        <v>0</v>
      </c>
      <c r="M18" s="25">
        <f>'EF brandstof'!K4</f>
        <v>0</v>
      </c>
      <c r="N18" s="25">
        <f>'EF brandstof'!L4</f>
        <v>0</v>
      </c>
      <c r="O18" s="25">
        <v>0</v>
      </c>
      <c r="P18" s="25">
        <v>0</v>
      </c>
    </row>
    <row r="19" spans="1:18">
      <c r="A19"/>
      <c r="B19" s="22"/>
      <c r="C19" s="22"/>
      <c r="D19" s="22"/>
      <c r="E19" s="22"/>
      <c r="F19" s="22"/>
      <c r="G19" s="22"/>
      <c r="H19" s="22"/>
      <c r="I19" s="22"/>
      <c r="J19" s="22"/>
      <c r="K19" s="22"/>
      <c r="L19" s="22"/>
      <c r="M19" s="22"/>
      <c r="N19" s="22"/>
      <c r="O19" s="22"/>
      <c r="P19" s="22"/>
    </row>
    <row r="20" spans="1:18">
      <c r="A20" s="20" t="s">
        <v>212</v>
      </c>
      <c r="B20" s="23">
        <f ca="1">B16*B18</f>
        <v>2164.0255405274297</v>
      </c>
      <c r="C20" s="23">
        <f t="shared" ref="C20:P20" ca="1" si="2">C16*C18</f>
        <v>0</v>
      </c>
      <c r="D20" s="23">
        <f t="shared" ca="1" si="2"/>
        <v>2064.0333315800008</v>
      </c>
      <c r="E20" s="23">
        <f t="shared" si="2"/>
        <v>23.567428819415664</v>
      </c>
      <c r="F20" s="23">
        <f t="shared" ca="1" si="2"/>
        <v>421.97865112386978</v>
      </c>
      <c r="G20" s="23">
        <f t="shared" si="2"/>
        <v>0</v>
      </c>
      <c r="H20" s="23">
        <f t="shared" si="2"/>
        <v>0</v>
      </c>
      <c r="I20" s="23">
        <f t="shared" si="2"/>
        <v>0</v>
      </c>
      <c r="J20" s="23">
        <f t="shared" si="2"/>
        <v>0</v>
      </c>
      <c r="K20" s="23">
        <f t="shared" si="2"/>
        <v>0</v>
      </c>
      <c r="L20" s="23">
        <f t="shared" ca="1" si="2"/>
        <v>0</v>
      </c>
      <c r="M20" s="23">
        <f t="shared" si="2"/>
        <v>0</v>
      </c>
      <c r="N20" s="23">
        <f t="shared" ca="1" si="2"/>
        <v>0</v>
      </c>
      <c r="O20" s="23">
        <f t="shared" si="2"/>
        <v>0</v>
      </c>
      <c r="P20" s="23">
        <f t="shared" si="2"/>
        <v>0</v>
      </c>
    </row>
    <row r="21" spans="1:18">
      <c r="A21" s="42"/>
      <c r="B21" s="29"/>
      <c r="C21" s="29"/>
      <c r="D21" s="29"/>
      <c r="E21" s="29"/>
      <c r="F21" s="29"/>
      <c r="G21" s="29"/>
      <c r="H21" s="29"/>
      <c r="I21" s="29"/>
      <c r="J21" s="29"/>
      <c r="K21" s="29"/>
      <c r="L21" s="29"/>
      <c r="M21" s="29"/>
      <c r="N21" s="29"/>
      <c r="O21" s="29"/>
      <c r="P21" s="29"/>
    </row>
    <row r="23" spans="1:18">
      <c r="A23" s="193" t="s">
        <v>492</v>
      </c>
      <c r="B23" s="203"/>
      <c r="C23" s="203"/>
      <c r="D23" s="225"/>
    </row>
    <row r="24" spans="1:18">
      <c r="A24" s="236"/>
      <c r="B24" s="32"/>
      <c r="C24" s="32"/>
      <c r="D24" s="237"/>
    </row>
    <row r="25" spans="1:18">
      <c r="A25" s="238"/>
      <c r="B25" s="224" t="s">
        <v>266</v>
      </c>
      <c r="C25" s="224" t="s">
        <v>267</v>
      </c>
      <c r="D25" s="239" t="s">
        <v>181</v>
      </c>
    </row>
    <row r="26" spans="1:18">
      <c r="A26" s="231" t="s">
        <v>53</v>
      </c>
      <c r="B26" s="33">
        <f>IF(ISERROR(TER_kantoor_ele_kWh/1000),0,TER_kantoor_ele_kWh/1000)</f>
        <v>2011.346</v>
      </c>
      <c r="C26" s="39">
        <f>IF(ISERROR(B26*3.6/1000000/'E Balans VL '!Z12*100),0,B26*3.6/1000000/'E Balans VL '!Z12*100)</f>
        <v>4.4181540238830024E-2</v>
      </c>
      <c r="D26" s="237" t="s">
        <v>691</v>
      </c>
      <c r="F26" s="6"/>
    </row>
    <row r="27" spans="1:18">
      <c r="A27" s="231" t="s">
        <v>52</v>
      </c>
      <c r="B27" s="33">
        <f>IF(ISERROR(TER_horeca_ele_kWh/1000),0,TER_horeca_ele_kWh/1000)</f>
        <v>614.15599999999995</v>
      </c>
      <c r="C27" s="39">
        <f>IF(ISERROR(B27*3.6/1000000/'E Balans VL '!Z9*100),0,B27*3.6/1000000/'E Balans VL '!Z9*100)</f>
        <v>4.9353556579315193E-2</v>
      </c>
      <c r="D27" s="237" t="s">
        <v>691</v>
      </c>
      <c r="F27" s="6"/>
    </row>
    <row r="28" spans="1:18">
      <c r="A28" s="171" t="s">
        <v>51</v>
      </c>
      <c r="B28" s="33">
        <f>IF(ISERROR(TER_handel_ele_kWh/1000),0,TER_handel_ele_kWh/1000)</f>
        <v>6015.1959999999999</v>
      </c>
      <c r="C28" s="39">
        <f>IF(ISERROR(B28*3.6/1000000/'E Balans VL '!Z13*100),0,B28*3.6/1000000/'E Balans VL '!Z13*100)</f>
        <v>0.17786514341584042</v>
      </c>
      <c r="D28" s="237" t="s">
        <v>691</v>
      </c>
      <c r="F28" s="6"/>
    </row>
    <row r="29" spans="1:18">
      <c r="A29" s="231" t="s">
        <v>50</v>
      </c>
      <c r="B29" s="33">
        <f>IF(ISERROR(TER_gezond_ele_kWh/1000),0,TER_gezond_ele_kWh/1000)</f>
        <v>488.99900000000002</v>
      </c>
      <c r="C29" s="39">
        <f>IF(ISERROR(B29*3.6/1000000/'E Balans VL '!Z10*100),0,B29*3.6/1000000/'E Balans VL '!Z10*100)</f>
        <v>5.5097562458702579E-2</v>
      </c>
      <c r="D29" s="237" t="s">
        <v>691</v>
      </c>
      <c r="F29" s="6"/>
    </row>
    <row r="30" spans="1:18">
      <c r="A30" s="231" t="s">
        <v>49</v>
      </c>
      <c r="B30" s="33">
        <f>IF(ISERROR(TER_ander_ele_kWh/1000),0,TER_ander_ele_kWh/1000)</f>
        <v>1582.3989999999999</v>
      </c>
      <c r="C30" s="39">
        <f>IF(ISERROR(B30*3.6/1000000/'E Balans VL '!Z14*100),0,B30*3.6/1000000/'E Balans VL '!Z14*100)</f>
        <v>0.11967413138109399</v>
      </c>
      <c r="D30" s="237" t="s">
        <v>691</v>
      </c>
      <c r="F30" s="6"/>
    </row>
    <row r="31" spans="1:18">
      <c r="A31" s="231" t="s">
        <v>54</v>
      </c>
      <c r="B31" s="33">
        <f>IF(ISERROR(TER_onderwijs_ele_kWh/1000),0,TER_onderwijs_ele_kWh/1000)</f>
        <v>0</v>
      </c>
      <c r="C31" s="39">
        <f>IF(ISERROR(B31*3.6/1000000/'E Balans VL '!Z11*100),0,B31*3.6/1000000/'E Balans VL '!Z11*100)</f>
        <v>0</v>
      </c>
      <c r="D31" s="237" t="s">
        <v>691</v>
      </c>
    </row>
    <row r="32" spans="1:18">
      <c r="A32" s="231" t="s">
        <v>259</v>
      </c>
      <c r="B32" s="33">
        <f>IF(ISERROR(TER_rest_ele_kWh/1000),0,TER_rest_ele_kWh/1000)</f>
        <v>198.327</v>
      </c>
      <c r="C32" s="39">
        <f>IF(ISERROR(B32*3.6/1000000/'E Balans VL '!Z8*100),0,B32*3.6/1000000/'E Balans VL '!Z8*100)</f>
        <v>1.6707883031769498E-3</v>
      </c>
      <c r="D32" s="237" t="s">
        <v>691</v>
      </c>
    </row>
    <row r="33" spans="1:4">
      <c r="A33" s="240"/>
      <c r="B33" s="180"/>
      <c r="C33" s="180"/>
      <c r="D33" s="241"/>
    </row>
    <row r="34" spans="1:4">
      <c r="A34" s="32"/>
      <c r="B34" s="32"/>
      <c r="C34" s="32"/>
    </row>
    <row r="35" spans="1:4">
      <c r="A35" s="193" t="s">
        <v>485</v>
      </c>
      <c r="B35" s="203"/>
      <c r="C35" s="203"/>
      <c r="D35" s="225"/>
    </row>
    <row r="36" spans="1:4">
      <c r="A36" s="236"/>
      <c r="B36" s="32"/>
      <c r="C36" s="32"/>
      <c r="D36" s="232"/>
    </row>
    <row r="37" spans="1:4">
      <c r="A37" s="242"/>
      <c r="B37" s="243"/>
      <c r="C37" s="224" t="s">
        <v>376</v>
      </c>
      <c r="D37" s="244" t="s">
        <v>181</v>
      </c>
    </row>
    <row r="38" spans="1:4">
      <c r="A38" s="171" t="s">
        <v>265</v>
      </c>
      <c r="B38" s="317">
        <f>aantalZB_NB_ander+aantalZB_NB_ander_met_kantoor+aantalZB_NB_kantoor+aantalZB_NB_school+ZB_NHH_bestaande_bouw+aantalZB_NB_NIET_RESIDENTIEEL_EPN</f>
        <v>0</v>
      </c>
      <c r="C38" s="43"/>
      <c r="D38" s="232"/>
    </row>
    <row r="39" spans="1:4">
      <c r="A39" s="171" t="s">
        <v>482</v>
      </c>
      <c r="B39" s="313">
        <v>4.2</v>
      </c>
      <c r="C39" s="43"/>
      <c r="D39" s="307" t="s">
        <v>516</v>
      </c>
    </row>
    <row r="40" spans="1:4">
      <c r="A40" s="6" t="s">
        <v>483</v>
      </c>
      <c r="B40" s="318">
        <f>1.34/3.6</f>
        <v>0.37222222222222223</v>
      </c>
      <c r="C40" s="43" t="s">
        <v>217</v>
      </c>
      <c r="D40" s="307" t="s">
        <v>516</v>
      </c>
    </row>
    <row r="41" spans="1:4">
      <c r="A41" s="240"/>
      <c r="B41" s="180"/>
      <c r="C41" s="180"/>
      <c r="D41" s="241"/>
    </row>
    <row r="43" spans="1:4">
      <c r="A43" s="194" t="s">
        <v>486</v>
      </c>
      <c r="B43" s="203"/>
      <c r="C43" s="203"/>
      <c r="D43" s="225"/>
    </row>
    <row r="44" spans="1:4">
      <c r="A44" s="230"/>
      <c r="B44" s="32"/>
      <c r="C44" s="32"/>
      <c r="D44" s="232"/>
    </row>
    <row r="45" spans="1:4">
      <c r="A45" s="242"/>
      <c r="B45" s="243"/>
      <c r="C45" s="224" t="s">
        <v>376</v>
      </c>
      <c r="D45" s="244" t="s">
        <v>181</v>
      </c>
    </row>
    <row r="46" spans="1:4">
      <c r="A46" s="171" t="s">
        <v>265</v>
      </c>
      <c r="B46" s="532">
        <f>aantalWP_NB_ander+antalWP_NB_ander_met_kantoor+aantalWP_NB_kantoor+aantalWP_NB_school+WP_NHH_bestaande_bouw+aantalWP_NB_NIET_RESIDENTIEEL_EPN</f>
        <v>0</v>
      </c>
      <c r="C46" s="32"/>
      <c r="D46" s="232"/>
    </row>
    <row r="47" spans="1:4">
      <c r="A47" s="171" t="s">
        <v>452</v>
      </c>
      <c r="B47" s="533">
        <v>13</v>
      </c>
      <c r="C47" s="32" t="s">
        <v>262</v>
      </c>
      <c r="D47" s="307" t="s">
        <v>516</v>
      </c>
    </row>
    <row r="48" spans="1:4">
      <c r="A48" s="171" t="s">
        <v>453</v>
      </c>
      <c r="B48" s="533">
        <v>2000</v>
      </c>
      <c r="C48" s="32" t="s">
        <v>264</v>
      </c>
      <c r="D48" s="307" t="s">
        <v>516</v>
      </c>
    </row>
    <row r="49" spans="1:4">
      <c r="A49" s="171" t="s">
        <v>414</v>
      </c>
      <c r="B49" s="533">
        <v>3.75</v>
      </c>
      <c r="C49" s="32"/>
      <c r="D49" s="307" t="s">
        <v>516</v>
      </c>
    </row>
    <row r="50" spans="1:4">
      <c r="A50" s="175"/>
      <c r="B50" s="180"/>
      <c r="C50" s="180"/>
      <c r="D50" s="241"/>
    </row>
    <row r="51" spans="1:4">
      <c r="A51" s="6"/>
      <c r="B51" s="32"/>
      <c r="C51" s="32"/>
    </row>
    <row r="52" spans="1:4">
      <c r="A52" s="32"/>
      <c r="B52" s="32"/>
      <c r="C52" s="32"/>
    </row>
    <row r="53" spans="1:4">
      <c r="A53" s="32"/>
      <c r="B53" s="32"/>
      <c r="C53" s="32"/>
    </row>
    <row r="54" spans="1:4">
      <c r="A54" s="32"/>
      <c r="B54" s="32"/>
      <c r="C54" s="32"/>
    </row>
    <row r="55" spans="1:4">
      <c r="A55" s="32"/>
      <c r="B55" s="32"/>
      <c r="C55" s="32"/>
    </row>
  </sheetData>
  <mergeCells count="6">
    <mergeCell ref="A1:A3"/>
    <mergeCell ref="B1:P1"/>
    <mergeCell ref="B2:B3"/>
    <mergeCell ref="C2:C3"/>
    <mergeCell ref="D2:K2"/>
    <mergeCell ref="L2:P2"/>
  </mergeCells>
  <dataValidations count="1">
    <dataValidation type="list" allowBlank="1" showInputMessage="1" showErrorMessage="1" sqref="B2:D4">
      <formula1>#REF!</formula1>
    </dataValidation>
  </dataValidations>
  <pageMargins left="0.7" right="0.7" top="0.75" bottom="0.75" header="0.3" footer="0.3"/>
  <pageSetup paperSize="9"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977111117893"/>
  </sheetPr>
  <dimension ref="A1:R55"/>
  <sheetViews>
    <sheetView showGridLines="0" topLeftCell="D1" zoomScale="80" zoomScaleNormal="80" workbookViewId="0">
      <selection activeCell="P16" sqref="P16"/>
    </sheetView>
  </sheetViews>
  <sheetFormatPr defaultColWidth="9.140625" defaultRowHeight="15"/>
  <cols>
    <col min="1" max="1" width="67.5703125" style="15" customWidth="1"/>
    <col min="2" max="2" width="22.5703125" style="15" customWidth="1"/>
    <col min="3" max="3" width="39.5703125" style="15" customWidth="1"/>
    <col min="4" max="4" width="65.710937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162</v>
      </c>
      <c r="B1" s="1210" t="s">
        <v>194</v>
      </c>
      <c r="C1" s="1211"/>
      <c r="D1" s="1211"/>
      <c r="E1" s="1211"/>
      <c r="F1" s="1211"/>
      <c r="G1" s="1211"/>
      <c r="H1" s="1211"/>
      <c r="I1" s="1211"/>
      <c r="J1" s="1211"/>
      <c r="K1" s="1211"/>
      <c r="L1" s="1211"/>
      <c r="M1" s="1211"/>
      <c r="N1" s="1211"/>
      <c r="O1" s="1211"/>
      <c r="P1" s="1211"/>
      <c r="R1" s="748"/>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c r="R2" s="748"/>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c r="R3" s="748"/>
    </row>
    <row r="4" spans="1:18" ht="15.75">
      <c r="A4" s="13"/>
      <c r="B4" s="14"/>
      <c r="C4" s="14"/>
      <c r="D4" s="14"/>
      <c r="E4" s="14"/>
      <c r="F4" s="14"/>
      <c r="G4" s="14"/>
      <c r="H4" s="14"/>
      <c r="I4" s="14"/>
      <c r="J4" s="14"/>
      <c r="K4" s="14"/>
      <c r="L4" s="14"/>
      <c r="M4" s="14"/>
      <c r="N4" s="14"/>
      <c r="O4" s="14"/>
      <c r="P4" s="14"/>
      <c r="R4" s="6"/>
    </row>
    <row r="5" spans="1:18">
      <c r="A5" s="16" t="s">
        <v>268</v>
      </c>
      <c r="B5" s="30">
        <f>SUM(B6:B15)</f>
        <v>3322.3989999999994</v>
      </c>
      <c r="C5" s="17">
        <f>IF(ISERROR('Eigen informatie GS &amp; warmtenet'!B59),0,'Eigen informatie GS &amp; warmtenet'!B59)</f>
        <v>0</v>
      </c>
      <c r="D5" s="30">
        <f>SUM(D6:D15)</f>
        <v>2706.069454</v>
      </c>
      <c r="E5" s="17">
        <f>SUM(E6:E15)</f>
        <v>387.26042165593111</v>
      </c>
      <c r="F5" s="17">
        <f>SUM(F6:F15)</f>
        <v>1721.0632215857036</v>
      </c>
      <c r="G5" s="18"/>
      <c r="H5" s="17"/>
      <c r="I5" s="17"/>
      <c r="J5" s="17">
        <f>SUM(J6:J15)</f>
        <v>13.081603741315117</v>
      </c>
      <c r="K5" s="17"/>
      <c r="L5" s="17"/>
      <c r="M5" s="17"/>
      <c r="N5" s="17">
        <f>SUM(N6:N15)</f>
        <v>307.01331334656288</v>
      </c>
      <c r="O5" s="17">
        <f>B43*B44*B45</f>
        <v>0</v>
      </c>
      <c r="P5" s="17">
        <f>B51*B52*B53/1000-B51*B52*B53/1000/B54</f>
        <v>0</v>
      </c>
      <c r="R5" s="32"/>
    </row>
    <row r="6" spans="1:18">
      <c r="A6" s="6" t="s">
        <v>34</v>
      </c>
      <c r="B6" s="37">
        <f>IF( ISERROR(IND_ijzer_ele_kWh/1000),0,IND_ijzer_ele_kWh/1000)</f>
        <v>0</v>
      </c>
      <c r="C6" s="33"/>
      <c r="D6" s="37">
        <f>IF( ISERROR(IND_ijzer_gas_kWh/1000),0,IND_ijzer_gas_kWh/1000)*0.902</f>
        <v>0</v>
      </c>
      <c r="E6" s="33"/>
      <c r="F6" s="33"/>
      <c r="G6" s="34"/>
      <c r="H6" s="33"/>
      <c r="I6" s="33"/>
      <c r="J6" s="40"/>
      <c r="K6" s="33"/>
      <c r="L6" s="33"/>
      <c r="M6" s="33"/>
      <c r="N6" s="33"/>
      <c r="O6" s="33"/>
      <c r="P6" s="33"/>
      <c r="R6" s="32"/>
    </row>
    <row r="7" spans="1:18">
      <c r="A7" s="6" t="s">
        <v>37</v>
      </c>
      <c r="B7" s="37">
        <f t="shared" ref="B7:B15" si="0">B29</f>
        <v>0</v>
      </c>
      <c r="C7" s="33"/>
      <c r="D7" s="37">
        <f>IF( ISERROR(IND_nonf_gas_kWhh/1000),0,IND_nonf_gas_kWh/1000)*0.902</f>
        <v>0</v>
      </c>
      <c r="E7" s="33">
        <f>C29*'E Balans VL '!I17/100/3.6*1000000</f>
        <v>0</v>
      </c>
      <c r="F7" s="33">
        <f>C29*'E Balans VL '!L17/100/3.6*1000000+C29*'E Balans VL '!N17/100/3.6*1000000</f>
        <v>0</v>
      </c>
      <c r="G7" s="34"/>
      <c r="H7" s="33"/>
      <c r="I7" s="33"/>
      <c r="J7" s="40">
        <f>C29*'E Balans VL '!D17/100/3.6*1000000+C29*'E Balans VL '!E17/100/3.6*1000000</f>
        <v>0</v>
      </c>
      <c r="K7" s="33"/>
      <c r="L7" s="33"/>
      <c r="M7" s="33"/>
      <c r="N7" s="33">
        <f>C29*'E Balans VL '!Y17/100/3.6*1000000</f>
        <v>0</v>
      </c>
      <c r="O7" s="33"/>
      <c r="P7" s="33"/>
      <c r="R7" s="32"/>
    </row>
    <row r="8" spans="1:18">
      <c r="A8" s="6" t="s">
        <v>35</v>
      </c>
      <c r="B8" s="37">
        <f t="shared" si="0"/>
        <v>195.226</v>
      </c>
      <c r="C8" s="33"/>
      <c r="D8" s="37">
        <f>IF( ISERROR(IND_metaal_Gas_kWH/1000),0,IND_metaal_Gas_kWH/1000)*0.902</f>
        <v>132.48756400000002</v>
      </c>
      <c r="E8" s="33">
        <f>C30*'E Balans VL '!I18/100/3.6*1000000</f>
        <v>4.8858235036382407</v>
      </c>
      <c r="F8" s="33">
        <f>C30*'E Balans VL '!L18/100/3.6*1000000+C30*'E Balans VL '!N18/100/3.6*1000000</f>
        <v>61.184799504065907</v>
      </c>
      <c r="G8" s="34"/>
      <c r="H8" s="33"/>
      <c r="I8" s="33"/>
      <c r="J8" s="40">
        <f>C30*'E Balans VL '!D18/100/3.6*1000000+C30*'E Balans VL '!E18/100/3.6*1000000</f>
        <v>0</v>
      </c>
      <c r="K8" s="33"/>
      <c r="L8" s="33"/>
      <c r="M8" s="33"/>
      <c r="N8" s="33">
        <f>C30*'E Balans VL '!Y18/100/3.6*1000000</f>
        <v>4.904583775650714</v>
      </c>
      <c r="O8" s="33"/>
      <c r="P8" s="33"/>
      <c r="R8" s="32"/>
    </row>
    <row r="9" spans="1:18">
      <c r="A9" s="6" t="s">
        <v>32</v>
      </c>
      <c r="B9" s="37">
        <f t="shared" si="0"/>
        <v>1038.8309999999999</v>
      </c>
      <c r="C9" s="33"/>
      <c r="D9" s="37">
        <f>IF( ISERROR(IND_andere_gas_kWh/1000),0,IND_andere_gas_kWh/1000)*0.902</f>
        <v>1245.1433500000001</v>
      </c>
      <c r="E9" s="33">
        <f>C31*'E Balans VL '!I19/100/3.6*1000000</f>
        <v>285.63591728878203</v>
      </c>
      <c r="F9" s="33">
        <f>C31*'E Balans VL '!L19/100/3.6*1000000+C31*'E Balans VL '!N19/100/3.6*1000000</f>
        <v>818.77959757288636</v>
      </c>
      <c r="G9" s="34"/>
      <c r="H9" s="33"/>
      <c r="I9" s="33"/>
      <c r="J9" s="40">
        <f>C31*'E Balans VL '!D19/100/3.6*1000000+C31*'E Balans VL '!E19/100/3.6*1000000</f>
        <v>0</v>
      </c>
      <c r="K9" s="33"/>
      <c r="L9" s="33"/>
      <c r="M9" s="33"/>
      <c r="N9" s="33">
        <f>C31*'E Balans VL '!Y19/100/3.6*1000000</f>
        <v>83.688879985040259</v>
      </c>
      <c r="O9" s="33"/>
      <c r="P9" s="33"/>
      <c r="R9" s="32"/>
    </row>
    <row r="10" spans="1:18">
      <c r="A10" s="6" t="s">
        <v>40</v>
      </c>
      <c r="B10" s="37">
        <f t="shared" si="0"/>
        <v>221.096</v>
      </c>
      <c r="C10" s="33"/>
      <c r="D10" s="37">
        <f>IF( ISERROR(IND_voed_gas_kWh/1000),0,IND_voed_gas_kWh/1000)*0.902</f>
        <v>517.70921399999997</v>
      </c>
      <c r="E10" s="33">
        <f>C32*'E Balans VL '!I20/100/3.6*1000000</f>
        <v>2.253951917518592</v>
      </c>
      <c r="F10" s="33">
        <f>C32*'E Balans VL '!L20/100/3.6*1000000+C32*'E Balans VL '!N20/100/3.6*1000000</f>
        <v>417.64896117800515</v>
      </c>
      <c r="G10" s="34"/>
      <c r="H10" s="33"/>
      <c r="I10" s="33"/>
      <c r="J10" s="40">
        <f>C32*'E Balans VL '!D20/100/3.6*1000000+C32*'E Balans VL '!E20/100/3.6*1000000</f>
        <v>5.291550709387252</v>
      </c>
      <c r="K10" s="33"/>
      <c r="L10" s="33"/>
      <c r="M10" s="33"/>
      <c r="N10" s="33">
        <f>C32*'E Balans VL '!Y20/100/3.6*1000000</f>
        <v>116.54305913632894</v>
      </c>
      <c r="O10" s="33"/>
      <c r="P10" s="33"/>
      <c r="R10" s="32"/>
    </row>
    <row r="11" spans="1:18">
      <c r="A11" s="6" t="s">
        <v>39</v>
      </c>
      <c r="B11" s="37">
        <f t="shared" si="0"/>
        <v>0</v>
      </c>
      <c r="C11" s="33"/>
      <c r="D11" s="37">
        <f>IF( ISERROR(IND_textiel_gas_kWh/1000),0,IND_textiel_gas_kWh/1000)*0.902</f>
        <v>0</v>
      </c>
      <c r="E11" s="33">
        <f>C33*'E Balans VL '!I21/100/3.6*1000000</f>
        <v>0</v>
      </c>
      <c r="F11" s="33">
        <f>C33*'E Balans VL '!L21/100/3.6*1000000+C33*'E Balans VL '!N21/100/3.6*1000000</f>
        <v>0</v>
      </c>
      <c r="G11" s="34"/>
      <c r="H11" s="33"/>
      <c r="I11" s="33"/>
      <c r="J11" s="40">
        <f>C33*'E Balans VL '!D21/100/3.6*1000000+C33*'E Balans VL '!E21/100/3.6*1000000</f>
        <v>0</v>
      </c>
      <c r="K11" s="33"/>
      <c r="L11" s="33"/>
      <c r="M11" s="33"/>
      <c r="N11" s="33">
        <f>C33*'E Balans VL '!Y21/100/3.6*1000000</f>
        <v>0</v>
      </c>
      <c r="O11" s="33"/>
      <c r="P11" s="33"/>
      <c r="R11" s="32"/>
    </row>
    <row r="12" spans="1:18">
      <c r="A12" s="6" t="s">
        <v>36</v>
      </c>
      <c r="B12" s="37">
        <f t="shared" si="0"/>
        <v>0</v>
      </c>
      <c r="C12" s="33"/>
      <c r="D12" s="37">
        <f>IF( ISERROR(IND_min_gas_kWh/1000),0,IND_min_gas_kWh/1000)*0.902</f>
        <v>0</v>
      </c>
      <c r="E12" s="33">
        <f>C34*'E Balans VL '!I22/100/3.6*1000000</f>
        <v>0</v>
      </c>
      <c r="F12" s="33">
        <f>C34*'E Balans VL '!L22/100/3.6*1000000+C34*'E Balans VL '!N22/100/3.6*1000000</f>
        <v>0</v>
      </c>
      <c r="G12" s="34"/>
      <c r="H12" s="33"/>
      <c r="I12" s="33"/>
      <c r="J12" s="40">
        <f>C34*'E Balans VL '!D22/100/3.6*1000000+C34*'E Balans VL '!E22/100/3.6*1000000</f>
        <v>0</v>
      </c>
      <c r="K12" s="33"/>
      <c r="L12" s="33"/>
      <c r="M12" s="33"/>
      <c r="N12" s="33">
        <f>C34*'E Balans VL '!Y22/100/3.6*1000000</f>
        <v>0</v>
      </c>
      <c r="O12" s="33"/>
      <c r="P12" s="33"/>
      <c r="R12" s="32"/>
    </row>
    <row r="13" spans="1:18">
      <c r="A13" s="6" t="s">
        <v>38</v>
      </c>
      <c r="B13" s="37">
        <f t="shared" si="0"/>
        <v>10.407</v>
      </c>
      <c r="C13" s="33"/>
      <c r="D13" s="37">
        <f>IF( ISERROR(IND_papier_gas_kWh/1000),0,IND_papier_gas_kWh/1000)*0.902</f>
        <v>83.591948000000002</v>
      </c>
      <c r="E13" s="33">
        <f>C35*'E Balans VL '!I23/100/3.6*1000000</f>
        <v>2.1553599455585166E-2</v>
      </c>
      <c r="F13" s="33">
        <f>C35*'E Balans VL '!L23/100/3.6*1000000+C35*'E Balans VL '!N23/100/3.6*1000000</f>
        <v>0.20639312083471739</v>
      </c>
      <c r="G13" s="34"/>
      <c r="H13" s="33"/>
      <c r="I13" s="33"/>
      <c r="J13" s="40">
        <f>C35*'E Balans VL '!D23/100/3.6*1000000+C35*'E Balans VL '!E23/100/3.6*1000000</f>
        <v>0</v>
      </c>
      <c r="K13" s="33"/>
      <c r="L13" s="33"/>
      <c r="M13" s="33"/>
      <c r="N13" s="33">
        <f>C35*'E Balans VL '!Y23/100/3.6*1000000</f>
        <v>0.72177805266928141</v>
      </c>
      <c r="O13" s="33"/>
      <c r="P13" s="33"/>
      <c r="R13" s="32"/>
    </row>
    <row r="14" spans="1:18">
      <c r="A14" s="6" t="s">
        <v>33</v>
      </c>
      <c r="B14" s="37">
        <f t="shared" si="0"/>
        <v>0</v>
      </c>
      <c r="C14" s="33"/>
      <c r="D14" s="37">
        <f>IF( ISERROR(IND_chemie_gas_kWh/1000),0,IND_chemie_gas_kWh/1000)*0.902</f>
        <v>0</v>
      </c>
      <c r="E14" s="33">
        <f>C36*'E Balans VL '!I24/100/3.6*1000000</f>
        <v>0</v>
      </c>
      <c r="F14" s="33">
        <f>C36*'E Balans VL '!L24/100/3.6*1000000+C36*'E Balans VL '!N24/100/3.6*1000000</f>
        <v>0</v>
      </c>
      <c r="G14" s="34"/>
      <c r="H14" s="33"/>
      <c r="I14" s="33"/>
      <c r="J14" s="40">
        <f>C36*'E Balans VL '!D24/100/3.6*1000000+C36*'E Balans VL '!E24/100/3.6*1000000</f>
        <v>0</v>
      </c>
      <c r="K14" s="33"/>
      <c r="L14" s="33"/>
      <c r="M14" s="33"/>
      <c r="N14" s="33">
        <f>C36*'E Balans VL '!Y24/100/3.6*1000000</f>
        <v>0</v>
      </c>
      <c r="O14" s="33"/>
      <c r="P14" s="33"/>
      <c r="R14" s="32"/>
    </row>
    <row r="15" spans="1:18">
      <c r="A15" s="6" t="s">
        <v>269</v>
      </c>
      <c r="B15" s="37">
        <f t="shared" si="0"/>
        <v>1856.8389999999999</v>
      </c>
      <c r="C15" s="33"/>
      <c r="D15" s="37">
        <f>IF( ISERROR(IND_rest_gas_kWh/1000),0,IND_rest_gas_kWh/1000)*0.902</f>
        <v>727.13737800000001</v>
      </c>
      <c r="E15" s="33">
        <f>C37*'E Balans VL '!I15/100/3.6*1000000</f>
        <v>94.463175346536715</v>
      </c>
      <c r="F15" s="33">
        <f>C37*'E Balans VL '!L15/100/3.6*1000000+C37*'E Balans VL '!N15/100/3.6*1000000</f>
        <v>423.24347020991138</v>
      </c>
      <c r="G15" s="34"/>
      <c r="H15" s="33"/>
      <c r="I15" s="33"/>
      <c r="J15" s="40">
        <f>C37*'E Balans VL '!D15/100/3.6*1000000+C37*'E Balans VL '!E15/100/3.6*1000000</f>
        <v>7.790053031927866</v>
      </c>
      <c r="K15" s="33"/>
      <c r="L15" s="33"/>
      <c r="M15" s="33"/>
      <c r="N15" s="33">
        <f>C37*'E Balans VL '!Y15/100/3.6*1000000</f>
        <v>101.15501239687364</v>
      </c>
      <c r="O15" s="33"/>
      <c r="P15" s="33"/>
      <c r="R15" s="32"/>
    </row>
    <row r="16" spans="1:18">
      <c r="A16" s="16" t="s">
        <v>493</v>
      </c>
      <c r="B16" s="247">
        <f>'lokale energieproductie'!N37+'lokale energieproductie'!N30</f>
        <v>0</v>
      </c>
      <c r="C16" s="247">
        <f>'lokale energieproductie'!O37+'lokale energieproductie'!O30</f>
        <v>0</v>
      </c>
      <c r="D16" s="308">
        <f>('lokale energieproductie'!P30+'lokale energieproductie'!P37)*(-1)</f>
        <v>0</v>
      </c>
      <c r="E16" s="248"/>
      <c r="F16" s="308">
        <f>('lokale energieproductie'!S30+'lokale energieproductie'!S37)*(-1)</f>
        <v>0</v>
      </c>
      <c r="G16" s="249"/>
      <c r="H16" s="248"/>
      <c r="I16" s="248"/>
      <c r="J16" s="248"/>
      <c r="K16" s="248"/>
      <c r="L16" s="308">
        <f>('lokale energieproductie'!T30+'lokale energieproductie'!U30+'lokale energieproductie'!T37+'lokale energieproductie'!U37)*(-1)</f>
        <v>0</v>
      </c>
      <c r="M16" s="248"/>
      <c r="N16" s="308">
        <f>('lokale energieproductie'!Q30+'lokale energieproductie'!R30+'lokale energieproductie'!V30+'lokale energieproductie'!Q37+'lokale energieproductie'!R37+'lokale energieproductie'!V37)*(-1)</f>
        <v>0</v>
      </c>
      <c r="O16" s="248"/>
      <c r="P16" s="248"/>
      <c r="R16" s="32"/>
    </row>
    <row r="17" spans="1:18">
      <c r="A17" s="6"/>
      <c r="B17" s="29"/>
      <c r="C17" s="29"/>
      <c r="D17" s="250"/>
      <c r="E17" s="29"/>
      <c r="F17" s="29"/>
      <c r="G17" s="28"/>
      <c r="H17" s="29"/>
      <c r="I17" s="29"/>
      <c r="J17" s="29"/>
      <c r="K17" s="29"/>
      <c r="L17" s="29"/>
      <c r="M17" s="29"/>
      <c r="N17" s="29"/>
      <c r="O17" s="29"/>
      <c r="P17" s="29"/>
      <c r="R17" s="32"/>
    </row>
    <row r="18" spans="1:18">
      <c r="A18" s="20" t="s">
        <v>277</v>
      </c>
      <c r="B18" s="21">
        <f>B5+B16</f>
        <v>3322.3989999999994</v>
      </c>
      <c r="C18" s="21">
        <f>C5+C16</f>
        <v>0</v>
      </c>
      <c r="D18" s="21">
        <f>MAX((D5+D16),0)</f>
        <v>2706.069454</v>
      </c>
      <c r="E18" s="21">
        <f>MAX((E5+E16),0)</f>
        <v>387.26042165593111</v>
      </c>
      <c r="F18" s="21">
        <f>MAX((F5+F16),0)</f>
        <v>1721.0632215857036</v>
      </c>
      <c r="G18" s="21"/>
      <c r="H18" s="21"/>
      <c r="I18" s="21"/>
      <c r="J18" s="21">
        <f>MAX((J5+J16),0)</f>
        <v>13.081603741315117</v>
      </c>
      <c r="K18" s="21"/>
      <c r="L18" s="21">
        <f>MAX((L5+L16),0)</f>
        <v>0</v>
      </c>
      <c r="M18" s="21"/>
      <c r="N18" s="21">
        <f>MAX((N5+N16),0)</f>
        <v>307.01331334656288</v>
      </c>
      <c r="O18" s="21">
        <f>O5</f>
        <v>0</v>
      </c>
      <c r="P18" s="21">
        <f>P5</f>
        <v>0</v>
      </c>
      <c r="R18" s="32"/>
    </row>
    <row r="19" spans="1:18">
      <c r="A19" s="8"/>
      <c r="B19" s="22"/>
      <c r="C19" s="22"/>
      <c r="D19" s="22"/>
      <c r="E19" s="22"/>
      <c r="F19" s="22"/>
      <c r="G19" s="22"/>
      <c r="H19" s="22"/>
      <c r="I19" s="22"/>
      <c r="J19" s="22"/>
      <c r="K19" s="22"/>
      <c r="L19" s="22"/>
      <c r="M19" s="22"/>
      <c r="N19" s="22"/>
      <c r="O19" s="22"/>
      <c r="P19" s="22"/>
    </row>
    <row r="20" spans="1:18">
      <c r="A20" s="24" t="s">
        <v>213</v>
      </c>
      <c r="B20" s="25">
        <f ca="1">'EF ele_warmte'!B12</f>
        <v>0.19834478833015273</v>
      </c>
      <c r="C20" s="25">
        <f ca="1">'EF ele_warmte'!B22</f>
        <v>0</v>
      </c>
      <c r="D20" s="25">
        <f>EF_CO2_aardgas</f>
        <v>0.20200000000000001</v>
      </c>
      <c r="E20" s="25">
        <f>EF_VLgas_CO2</f>
        <v>0.22700000000000001</v>
      </c>
      <c r="F20" s="25">
        <f>EF_stookolie_CO2</f>
        <v>0.26700000000000002</v>
      </c>
      <c r="G20" s="25">
        <f>EF_diesel_CO2</f>
        <v>0.26700000000000002</v>
      </c>
      <c r="H20" s="25">
        <f>EF_benzine_CO2</f>
        <v>0.249</v>
      </c>
      <c r="I20" s="25">
        <f>EF_bruinkool_CO2</f>
        <v>0.35099999999999998</v>
      </c>
      <c r="J20" s="25">
        <f>EF_steenkool_CO2</f>
        <v>0.35399999999999998</v>
      </c>
      <c r="K20" s="25">
        <f>EF_anderfossiel_CO2</f>
        <v>0.26400000000000001</v>
      </c>
      <c r="L20" s="25">
        <f>'EF brandstof'!J4</f>
        <v>0</v>
      </c>
      <c r="M20" s="25">
        <f>'EF brandstof'!K4</f>
        <v>0</v>
      </c>
      <c r="N20" s="25">
        <f>'EF brandstof'!L4</f>
        <v>0</v>
      </c>
      <c r="O20" s="25">
        <v>0</v>
      </c>
      <c r="P20" s="25">
        <v>0</v>
      </c>
    </row>
    <row r="21" spans="1:18">
      <c r="A21"/>
      <c r="B21" s="22"/>
      <c r="C21" s="22"/>
      <c r="D21" s="22"/>
      <c r="E21" s="22"/>
      <c r="F21" s="22"/>
      <c r="G21" s="22"/>
      <c r="H21" s="22"/>
      <c r="I21" s="22"/>
      <c r="J21" s="22"/>
      <c r="K21" s="22"/>
      <c r="L21" s="22"/>
      <c r="M21" s="22"/>
      <c r="N21" s="22"/>
      <c r="O21" s="22"/>
      <c r="P21" s="22"/>
    </row>
    <row r="22" spans="1:18">
      <c r="A22" s="20" t="s">
        <v>212</v>
      </c>
      <c r="B22" s="23">
        <f ca="1">B18*B20</f>
        <v>658.98052640331105</v>
      </c>
      <c r="C22" s="23">
        <f ca="1">C18*C20</f>
        <v>0</v>
      </c>
      <c r="D22" s="23">
        <f>D18*D20</f>
        <v>546.62602970800003</v>
      </c>
      <c r="E22" s="23">
        <f>E18*E20</f>
        <v>87.908115715896372</v>
      </c>
      <c r="F22" s="23">
        <f>F18*F20</f>
        <v>459.5238801633829</v>
      </c>
      <c r="G22" s="23"/>
      <c r="H22" s="23"/>
      <c r="I22" s="23"/>
      <c r="J22" s="23">
        <f>J18*J20</f>
        <v>4.6308877244255511</v>
      </c>
      <c r="K22" s="23"/>
      <c r="L22" s="23">
        <f>L18*L20</f>
        <v>0</v>
      </c>
      <c r="M22" s="23">
        <f>M18*M20</f>
        <v>0</v>
      </c>
      <c r="N22" s="23">
        <f>N18*N20</f>
        <v>0</v>
      </c>
      <c r="O22" s="23">
        <f>O18*O20</f>
        <v>0</v>
      </c>
      <c r="P22" s="23">
        <f>P18*P20</f>
        <v>0</v>
      </c>
    </row>
    <row r="23" spans="1:18" s="32" customFormat="1">
      <c r="A23" s="42"/>
      <c r="B23" s="29"/>
      <c r="C23" s="29"/>
      <c r="D23" s="29"/>
      <c r="E23" s="29"/>
      <c r="F23" s="29"/>
      <c r="G23" s="29"/>
      <c r="H23" s="29"/>
      <c r="I23" s="29"/>
      <c r="J23" s="29"/>
      <c r="K23" s="29"/>
      <c r="L23" s="29"/>
      <c r="M23" s="29"/>
      <c r="N23" s="29"/>
      <c r="O23" s="29"/>
      <c r="P23" s="29"/>
    </row>
    <row r="24" spans="1:18" s="32" customFormat="1">
      <c r="A24" s="42"/>
      <c r="B24" s="29"/>
      <c r="C24" s="29"/>
      <c r="D24" s="29"/>
      <c r="E24" s="29"/>
      <c r="F24" s="29"/>
      <c r="G24" s="29"/>
      <c r="H24" s="29"/>
      <c r="I24" s="29"/>
      <c r="J24" s="29"/>
      <c r="K24" s="29"/>
      <c r="L24" s="29"/>
      <c r="M24" s="29"/>
      <c r="N24" s="29"/>
      <c r="O24" s="29"/>
      <c r="P24" s="29"/>
    </row>
    <row r="25" spans="1:18">
      <c r="A25" s="193" t="s">
        <v>492</v>
      </c>
      <c r="B25" s="203"/>
      <c r="C25" s="203"/>
      <c r="D25" s="225"/>
    </row>
    <row r="26" spans="1:18">
      <c r="A26" s="236"/>
      <c r="B26" s="32"/>
      <c r="C26" s="32"/>
      <c r="D26" s="237"/>
    </row>
    <row r="27" spans="1:18">
      <c r="A27" s="238"/>
      <c r="B27" s="224" t="s">
        <v>266</v>
      </c>
      <c r="C27" s="224" t="s">
        <v>267</v>
      </c>
      <c r="D27" s="239" t="s">
        <v>181</v>
      </c>
    </row>
    <row r="28" spans="1:18">
      <c r="A28" s="171" t="s">
        <v>34</v>
      </c>
      <c r="B28" s="37"/>
      <c r="C28" s="39"/>
      <c r="D28" s="237" t="s">
        <v>691</v>
      </c>
    </row>
    <row r="29" spans="1:18">
      <c r="A29" s="171" t="s">
        <v>37</v>
      </c>
      <c r="B29" s="37">
        <f>IF( ISERROR(IND_nonf_ele_kWh/1000),0,IND_nonf_ele_kWh/1000)</f>
        <v>0</v>
      </c>
      <c r="C29" s="39">
        <f>IF(ISERROR(B29*3.6/1000000/'E Balans VL '!Z17*100),0,B29*3.6/1000000/'E Balans VL '!Z17*100)</f>
        <v>0</v>
      </c>
      <c r="D29" s="237" t="s">
        <v>691</v>
      </c>
    </row>
    <row r="30" spans="1:18">
      <c r="A30" s="171" t="s">
        <v>35</v>
      </c>
      <c r="B30" s="37">
        <f>IF( ISERROR(IND_metaal_ele_kWh/1000),0,IND_metaal_ele_kWh/1000)</f>
        <v>195.226</v>
      </c>
      <c r="C30" s="39">
        <f>IF(ISERROR(B30*3.6/1000000/'E Balans VL '!Z18*100),0,B30*3.6/1000000/'E Balans VL '!Z18*100)</f>
        <v>2.7325134021676471E-2</v>
      </c>
      <c r="D30" s="237" t="s">
        <v>691</v>
      </c>
    </row>
    <row r="31" spans="1:18">
      <c r="A31" s="6" t="s">
        <v>32</v>
      </c>
      <c r="B31" s="37">
        <f>IF( ISERROR(IND_ander_ele_kWh/1000),0,IND_ander_ele_kWh/1000)</f>
        <v>1038.8309999999999</v>
      </c>
      <c r="C31" s="39">
        <f>IF(ISERROR(B31*3.6/1000000/'E Balans VL '!Z19*100),0,B31*3.6/1000000/'E Balans VL '!Z19*100)</f>
        <v>4.5469464347669096E-2</v>
      </c>
      <c r="D31" s="237" t="s">
        <v>691</v>
      </c>
    </row>
    <row r="32" spans="1:18">
      <c r="A32" s="171" t="s">
        <v>40</v>
      </c>
      <c r="B32" s="37">
        <f>IF( ISERROR(IND_voed_ele_kWh/1000),0,IND_voed_ele_kWh/1000)</f>
        <v>221.096</v>
      </c>
      <c r="C32" s="39">
        <f>IF(ISERROR(B32*3.6/1000000/'E Balans VL '!Z20*100),0,B32*3.6/1000000/'E Balans VL '!Z20*100)</f>
        <v>5.4736027363999316E-2</v>
      </c>
      <c r="D32" s="237" t="s">
        <v>691</v>
      </c>
    </row>
    <row r="33" spans="1:5">
      <c r="A33" s="171" t="s">
        <v>39</v>
      </c>
      <c r="B33" s="37">
        <f>IF( ISERROR(IND_textiel_ele_kWh/1000),0,IND_textiel_ele_kWh/1000)</f>
        <v>0</v>
      </c>
      <c r="C33" s="39">
        <f>IF(ISERROR(B33*3.6/1000000/'E Balans VL '!Z21*100),0,B33*3.6/1000000/'E Balans VL '!Z21*100)</f>
        <v>0</v>
      </c>
      <c r="D33" s="237" t="s">
        <v>691</v>
      </c>
    </row>
    <row r="34" spans="1:5">
      <c r="A34" s="171" t="s">
        <v>36</v>
      </c>
      <c r="B34" s="37">
        <f>IF( ISERROR(IND_min_ele_kWh/1000),0,IND_min_ele_kWh/1000)</f>
        <v>0</v>
      </c>
      <c r="C34" s="39">
        <f>IF(ISERROR(B34*3.6/1000000/'E Balans VL '!Z22*100),0,B34*3.6/1000000/'E Balans VL '!Z22*100)</f>
        <v>0</v>
      </c>
      <c r="D34" s="237" t="s">
        <v>691</v>
      </c>
    </row>
    <row r="35" spans="1:5">
      <c r="A35" s="171" t="s">
        <v>38</v>
      </c>
      <c r="B35" s="37">
        <f>IF( ISERROR(IND_papier_ele_kWh/1000),0,IND_papier_ele_kWh/1000)</f>
        <v>10.407</v>
      </c>
      <c r="C35" s="39">
        <f>IF(ISERROR(B35*3.6/1000000/'E Balans VL '!Z22*100),0,B35*3.6/1000000/'E Balans VL '!Z22*100)</f>
        <v>2.9530820172189704E-4</v>
      </c>
      <c r="D35" s="237" t="s">
        <v>691</v>
      </c>
    </row>
    <row r="36" spans="1:5">
      <c r="A36" s="171" t="s">
        <v>33</v>
      </c>
      <c r="B36" s="37">
        <f>IF( ISERROR(IND_chemie_ele_kWh/1000),0,IND_chemie_ele_kWh/1000)</f>
        <v>0</v>
      </c>
      <c r="C36" s="39">
        <f>IF(ISERROR(B36*3.6/1000000/'E Balans VL '!Z24*100),0,B36*3.6/1000000/'E Balans VL '!Z24*100)</f>
        <v>0</v>
      </c>
      <c r="D36" s="237" t="s">
        <v>691</v>
      </c>
    </row>
    <row r="37" spans="1:5">
      <c r="A37" s="171" t="s">
        <v>269</v>
      </c>
      <c r="B37" s="37">
        <f>IF( ISERROR(IND_rest_ele_kWh/1000),0,IND_rest_ele_kWh/1000)</f>
        <v>1856.8389999999999</v>
      </c>
      <c r="C37" s="39">
        <f>IF(ISERROR(B37*3.6/1000000/'E Balans VL '!Z15*100),0,B37*3.6/1000000/'E Balans VL '!Z15*100)</f>
        <v>1.376814328071062E-2</v>
      </c>
      <c r="D37" s="237" t="s">
        <v>691</v>
      </c>
    </row>
    <row r="38" spans="1:5">
      <c r="A38" s="240"/>
      <c r="B38" s="180"/>
      <c r="C38" s="180"/>
      <c r="D38" s="241"/>
    </row>
    <row r="39" spans="1:5">
      <c r="A39" s="231"/>
      <c r="B39" s="32"/>
      <c r="C39" s="32"/>
      <c r="D39" s="32"/>
      <c r="E39" s="32"/>
    </row>
    <row r="40" spans="1:5">
      <c r="A40" s="193" t="s">
        <v>485</v>
      </c>
      <c r="B40" s="203"/>
      <c r="C40" s="203"/>
      <c r="D40" s="225"/>
    </row>
    <row r="41" spans="1:5">
      <c r="A41" s="236"/>
      <c r="B41" s="32"/>
      <c r="C41" s="32"/>
      <c r="D41" s="232"/>
    </row>
    <row r="42" spans="1:5">
      <c r="A42" s="242"/>
      <c r="B42" s="243"/>
      <c r="C42" s="224" t="s">
        <v>376</v>
      </c>
      <c r="D42" s="244" t="s">
        <v>181</v>
      </c>
    </row>
    <row r="43" spans="1:5">
      <c r="A43" s="171" t="s">
        <v>265</v>
      </c>
      <c r="B43" s="317">
        <f>aantalZB_NB_industrie+aantalZB_NB_industrie_met_kantoor</f>
        <v>0</v>
      </c>
      <c r="C43" s="43"/>
      <c r="D43" s="232"/>
    </row>
    <row r="44" spans="1:5">
      <c r="A44" s="171" t="s">
        <v>482</v>
      </c>
      <c r="B44" s="313">
        <v>4.2</v>
      </c>
      <c r="C44" s="43"/>
      <c r="D44" s="307" t="s">
        <v>516</v>
      </c>
    </row>
    <row r="45" spans="1:5">
      <c r="A45" s="6" t="s">
        <v>483</v>
      </c>
      <c r="B45" s="318">
        <f>1.34/3.6</f>
        <v>0.37222222222222223</v>
      </c>
      <c r="C45" s="43" t="s">
        <v>217</v>
      </c>
      <c r="D45" s="307" t="s">
        <v>516</v>
      </c>
    </row>
    <row r="46" spans="1:5" s="32" customFormat="1">
      <c r="A46" s="175"/>
      <c r="B46" s="246"/>
      <c r="C46" s="180"/>
      <c r="D46" s="241"/>
    </row>
    <row r="48" spans="1:5">
      <c r="A48" s="194" t="s">
        <v>486</v>
      </c>
      <c r="B48" s="203"/>
      <c r="C48" s="203"/>
      <c r="D48" s="225"/>
    </row>
    <row r="49" spans="1:4">
      <c r="A49" s="230"/>
      <c r="B49" s="32"/>
      <c r="C49" s="32"/>
      <c r="D49" s="232"/>
    </row>
    <row r="50" spans="1:4">
      <c r="A50" s="242"/>
      <c r="B50" s="243"/>
      <c r="C50" s="224" t="s">
        <v>376</v>
      </c>
      <c r="D50" s="244" t="s">
        <v>181</v>
      </c>
    </row>
    <row r="51" spans="1:4">
      <c r="A51" s="171" t="s">
        <v>265</v>
      </c>
      <c r="B51" s="317">
        <f>aantalWP_NB_industrie+AantalWP_NB_industrie_met_kantoor</f>
        <v>0</v>
      </c>
      <c r="C51" s="32"/>
      <c r="D51" s="232"/>
    </row>
    <row r="52" spans="1:4">
      <c r="A52" s="171" t="s">
        <v>261</v>
      </c>
      <c r="B52" s="313">
        <v>13</v>
      </c>
      <c r="C52" s="32" t="s">
        <v>262</v>
      </c>
      <c r="D52" s="307" t="s">
        <v>516</v>
      </c>
    </row>
    <row r="53" spans="1:4">
      <c r="A53" s="171" t="s">
        <v>263</v>
      </c>
      <c r="B53" s="313">
        <v>2000</v>
      </c>
      <c r="C53" s="32" t="s">
        <v>264</v>
      </c>
      <c r="D53" s="307" t="s">
        <v>516</v>
      </c>
    </row>
    <row r="54" spans="1:4">
      <c r="A54" s="171" t="s">
        <v>414</v>
      </c>
      <c r="B54" s="313">
        <v>3.75</v>
      </c>
      <c r="C54" s="32"/>
      <c r="D54" s="307" t="s">
        <v>516</v>
      </c>
    </row>
    <row r="55" spans="1:4">
      <c r="A55" s="175"/>
      <c r="B55" s="180"/>
      <c r="C55" s="180"/>
      <c r="D55" s="241"/>
    </row>
  </sheetData>
  <mergeCells count="6">
    <mergeCell ref="A1:A3"/>
    <mergeCell ref="B1:P1"/>
    <mergeCell ref="B2:B3"/>
    <mergeCell ref="C2:C3"/>
    <mergeCell ref="D2:K2"/>
    <mergeCell ref="L2:P2"/>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legacyDrawing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977111117893"/>
  </sheetPr>
  <dimension ref="A1:R35"/>
  <sheetViews>
    <sheetView showGridLines="0" topLeftCell="C1" zoomScale="80" zoomScaleNormal="80" workbookViewId="0">
      <selection activeCell="N6" sqref="N6"/>
    </sheetView>
  </sheetViews>
  <sheetFormatPr defaultColWidth="9.140625" defaultRowHeight="15"/>
  <cols>
    <col min="1" max="1" width="69" style="15" customWidth="1"/>
    <col min="2" max="2" width="51.140625" style="15" bestFit="1" customWidth="1"/>
    <col min="3" max="3" width="61.7109375" style="15" bestFit="1" customWidth="1"/>
    <col min="4" max="4" width="15" style="15" customWidth="1"/>
    <col min="5" max="5" width="25.5703125" style="15" customWidth="1"/>
    <col min="6" max="6" width="22.85546875" style="15" customWidth="1"/>
    <col min="7" max="7" width="17.42578125" style="15" customWidth="1"/>
    <col min="8" max="8" width="15.28515625" style="15" customWidth="1"/>
    <col min="9" max="9" width="17" style="15" customWidth="1"/>
    <col min="10" max="10" width="16" style="15" customWidth="1"/>
    <col min="11" max="11" width="20" style="15" customWidth="1"/>
    <col min="12" max="12" width="19.5703125" style="15" customWidth="1"/>
    <col min="13" max="13" width="19" style="15" customWidth="1"/>
    <col min="14" max="14" width="20.28515625" style="15" customWidth="1"/>
    <col min="15" max="15" width="17.140625" style="15" customWidth="1"/>
    <col min="16" max="16" width="21.85546875" style="15" customWidth="1"/>
    <col min="17" max="16384" width="9.140625" style="15"/>
  </cols>
  <sheetData>
    <row r="1" spans="1:18" s="314" customFormat="1" ht="17.25" thickTop="1" thickBot="1">
      <c r="A1" s="1209" t="s">
        <v>270</v>
      </c>
      <c r="B1" s="1210" t="s">
        <v>194</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ht="15.75">
      <c r="A4" s="13"/>
      <c r="B4" s="14"/>
      <c r="C4" s="14"/>
      <c r="D4" s="14"/>
      <c r="E4" s="14"/>
      <c r="F4" s="14"/>
      <c r="G4" s="14"/>
      <c r="H4" s="14"/>
      <c r="I4" s="14"/>
      <c r="J4" s="14"/>
      <c r="K4" s="14"/>
      <c r="L4" s="14"/>
      <c r="M4" s="14"/>
      <c r="N4" s="14"/>
      <c r="O4" s="14"/>
      <c r="P4" s="14"/>
      <c r="R4" s="6"/>
    </row>
    <row r="5" spans="1:18">
      <c r="A5" s="16" t="s">
        <v>271</v>
      </c>
      <c r="B5" s="30">
        <f>IF(ISERROR(SUM(LB_lb_ele_kWh,LB_rest_ele_kWh)/1000),0,SUM(LB_lb_ele_kWh,LB_rest_ele_kWh)/1000)</f>
        <v>14.333</v>
      </c>
      <c r="C5" s="17">
        <f>'Eigen informatie GS &amp; warmtenet'!B60</f>
        <v>0</v>
      </c>
      <c r="D5" s="30">
        <f>IF(ISERROR(SUM(LB_lb_gas_kWh,LB_rest_gas_kWh)/1000),0,SUM(LB_lb_gas_kWh,LB_rest_gas_kWh)/1000)*0.902</f>
        <v>17.753163999999998</v>
      </c>
      <c r="E5" s="17">
        <f>B17*'E Balans VL '!I25/3.6*1000000/100</f>
        <v>0.13275824921222681</v>
      </c>
      <c r="F5" s="17">
        <f>B17*('E Balans VL '!L25/3.6*1000000+'E Balans VL '!N25/3.6*1000000)/100</f>
        <v>36.365551433697973</v>
      </c>
      <c r="G5" s="18"/>
      <c r="H5" s="17"/>
      <c r="I5" s="17"/>
      <c r="J5" s="17">
        <f>('E Balans VL '!D25+'E Balans VL '!E25)/3.6*1000000*landbouw!B17/100</f>
        <v>2.1974088567468488</v>
      </c>
      <c r="K5" s="17"/>
      <c r="L5" s="17">
        <f>L6*(-1)</f>
        <v>0</v>
      </c>
      <c r="M5" s="17"/>
      <c r="N5" s="17">
        <f>N6*(-1)</f>
        <v>0</v>
      </c>
      <c r="O5" s="17"/>
      <c r="P5" s="17"/>
      <c r="R5" s="32"/>
    </row>
    <row r="6" spans="1:18">
      <c r="A6" s="16" t="s">
        <v>493</v>
      </c>
      <c r="B6" s="17" t="s">
        <v>210</v>
      </c>
      <c r="C6" s="17">
        <f>'lokale energieproductie'!O39+'lokale energieproductie'!O32</f>
        <v>0</v>
      </c>
      <c r="D6" s="308">
        <f>('lokale energieproductie'!P32+'lokale energieproductie'!P39)*(-1)</f>
        <v>0</v>
      </c>
      <c r="E6" s="248"/>
      <c r="F6" s="308">
        <f>('lokale energieproductie'!S32+'lokale energieproductie'!S868)*(-1)</f>
        <v>0</v>
      </c>
      <c r="G6" s="249"/>
      <c r="H6" s="248"/>
      <c r="I6" s="248"/>
      <c r="J6" s="248"/>
      <c r="K6" s="248"/>
      <c r="L6" s="308">
        <f>('lokale energieproductie'!T32+'lokale energieproductie'!U32+'lokale energieproductie'!T39+'lokale energieproductie'!U39)*(-1)</f>
        <v>0</v>
      </c>
      <c r="M6" s="248"/>
      <c r="N6" s="308">
        <f>('lokale energieproductie'!V32+'lokale energieproductie'!R32+'lokale energieproductie'!Q32+'lokale energieproductie'!Q39+'lokale energieproductie'!R39+'lokale energieproductie'!V39)*(-1)</f>
        <v>0</v>
      </c>
      <c r="O6" s="248"/>
      <c r="P6" s="248"/>
      <c r="R6" s="32"/>
    </row>
    <row r="7" spans="1:18">
      <c r="A7" s="32"/>
      <c r="B7" s="29"/>
      <c r="C7" s="29"/>
      <c r="D7" s="250"/>
      <c r="E7" s="29"/>
      <c r="F7" s="29"/>
      <c r="G7" s="28"/>
      <c r="H7" s="29"/>
      <c r="I7" s="29"/>
      <c r="J7" s="29"/>
      <c r="K7" s="29"/>
      <c r="L7" s="29"/>
      <c r="M7" s="29"/>
      <c r="N7" s="29"/>
      <c r="O7" s="29"/>
      <c r="P7" s="29"/>
      <c r="R7" s="32"/>
    </row>
    <row r="8" spans="1:18">
      <c r="A8" s="20" t="s">
        <v>272</v>
      </c>
      <c r="B8" s="21">
        <f>B5</f>
        <v>14.333</v>
      </c>
      <c r="C8" s="21">
        <f>C5+C6</f>
        <v>0</v>
      </c>
      <c r="D8" s="21">
        <f>MAX((D5+D6),0)</f>
        <v>17.753163999999998</v>
      </c>
      <c r="E8" s="21">
        <f>MAX((E5+E6),0)</f>
        <v>0.13275824921222681</v>
      </c>
      <c r="F8" s="21">
        <f>MAX((F5+F6),0)</f>
        <v>36.365551433697973</v>
      </c>
      <c r="G8" s="21"/>
      <c r="H8" s="21"/>
      <c r="I8" s="21"/>
      <c r="J8" s="21">
        <f>MAX((J5+J6),0)</f>
        <v>2.1974088567468488</v>
      </c>
      <c r="K8" s="21"/>
      <c r="L8" s="21">
        <f>MAX((L5+L6),0)</f>
        <v>0</v>
      </c>
      <c r="M8" s="21"/>
      <c r="N8" s="21">
        <f>MAX((N5+N6),0)</f>
        <v>0</v>
      </c>
      <c r="O8" s="21"/>
      <c r="P8" s="21"/>
      <c r="R8" s="32"/>
    </row>
    <row r="9" spans="1:18">
      <c r="A9"/>
      <c r="B9" s="19"/>
      <c r="C9" s="19"/>
      <c r="D9" s="19"/>
      <c r="E9" s="19"/>
      <c r="F9" s="19"/>
      <c r="G9" s="19"/>
      <c r="H9" s="19"/>
      <c r="I9" s="19"/>
      <c r="J9" s="19"/>
      <c r="K9" s="19"/>
      <c r="L9" s="19"/>
      <c r="M9" s="19"/>
      <c r="N9" s="19"/>
      <c r="O9" s="19"/>
      <c r="P9" s="19"/>
      <c r="R9" s="32"/>
    </row>
    <row r="10" spans="1:18">
      <c r="A10" s="24" t="s">
        <v>213</v>
      </c>
      <c r="B10" s="31">
        <f ca="1">'EF ele_warmte'!B12</f>
        <v>0.19834478833015273</v>
      </c>
      <c r="C10" s="31">
        <f ca="1">'EF ele_warmte'!B22</f>
        <v>0</v>
      </c>
      <c r="D10" s="31">
        <f>EF_CO2_aardgas</f>
        <v>0.20200000000000001</v>
      </c>
      <c r="E10" s="31">
        <f>EF_VLgas_CO2</f>
        <v>0.22700000000000001</v>
      </c>
      <c r="F10" s="31">
        <f>EF_stookolie_CO2</f>
        <v>0.26700000000000002</v>
      </c>
      <c r="G10" s="31">
        <f>EF_diesel_CO2</f>
        <v>0.26700000000000002</v>
      </c>
      <c r="H10" s="31">
        <f>EF_benzine_CO2</f>
        <v>0.249</v>
      </c>
      <c r="I10" s="31">
        <f>EF_bruinkool_CO2</f>
        <v>0.35099999999999998</v>
      </c>
      <c r="J10" s="31">
        <f>EF_steenkool_CO2</f>
        <v>0.35399999999999998</v>
      </c>
      <c r="K10" s="31">
        <f>EF_anderfossiel_CO2</f>
        <v>0.26400000000000001</v>
      </c>
      <c r="L10" s="31">
        <f>'EF brandstof'!J4</f>
        <v>0</v>
      </c>
      <c r="M10" s="31">
        <f>'EF brandstof'!K4</f>
        <v>0</v>
      </c>
      <c r="N10" s="31">
        <f>'EF brandstof'!L4</f>
        <v>0</v>
      </c>
      <c r="O10" s="31"/>
      <c r="P10" s="31"/>
    </row>
    <row r="11" spans="1:18">
      <c r="A11"/>
      <c r="B11" s="22"/>
      <c r="C11" s="22"/>
      <c r="D11" s="22"/>
      <c r="E11" s="22"/>
      <c r="F11" s="22"/>
      <c r="G11" s="22"/>
      <c r="H11" s="22"/>
      <c r="I11" s="22"/>
      <c r="J11" s="22"/>
      <c r="K11" s="22"/>
      <c r="L11" s="22"/>
      <c r="M11" s="22"/>
      <c r="N11" s="22"/>
      <c r="O11" s="22"/>
      <c r="P11" s="22"/>
    </row>
    <row r="12" spans="1:18">
      <c r="A12" s="20" t="s">
        <v>212</v>
      </c>
      <c r="B12" s="23">
        <f ca="1">B8*B10</f>
        <v>2.8428758511360792</v>
      </c>
      <c r="C12" s="23">
        <f ca="1">C8*C10</f>
        <v>0</v>
      </c>
      <c r="D12" s="23">
        <f>D8*D10</f>
        <v>3.5861391279999997</v>
      </c>
      <c r="E12" s="23">
        <f>E8*E10</f>
        <v>3.0136122571175487E-2</v>
      </c>
      <c r="F12" s="23">
        <f>F8*F10</f>
        <v>9.7096022327973603</v>
      </c>
      <c r="G12" s="23"/>
      <c r="H12" s="23"/>
      <c r="I12" s="23"/>
      <c r="J12" s="23">
        <f>J8*J10</f>
        <v>0.77788273528838447</v>
      </c>
      <c r="K12" s="23"/>
      <c r="L12" s="23">
        <f>L8*L10</f>
        <v>0</v>
      </c>
      <c r="M12" s="23">
        <f>M8*M10</f>
        <v>0</v>
      </c>
      <c r="N12" s="23">
        <f>N8*N10</f>
        <v>0</v>
      </c>
      <c r="O12" s="23"/>
      <c r="P12" s="23"/>
    </row>
    <row r="14" spans="1:18">
      <c r="A14" s="193" t="s">
        <v>499</v>
      </c>
      <c r="B14" s="203"/>
      <c r="C14" s="225"/>
    </row>
    <row r="15" spans="1:18">
      <c r="A15" s="236"/>
      <c r="B15" s="32"/>
      <c r="C15" s="237"/>
    </row>
    <row r="16" spans="1:18">
      <c r="A16" s="255"/>
      <c r="B16" s="42" t="s">
        <v>291</v>
      </c>
      <c r="C16" s="239" t="s">
        <v>181</v>
      </c>
    </row>
    <row r="17" spans="1:4">
      <c r="A17" s="256" t="s">
        <v>111</v>
      </c>
      <c r="B17" s="254">
        <f>IF(ISERROR(SUM(LB_lb_ele_kWh,LB_rest_ele_kWh)*3.6/1000000000/'E Balans VL '!Z26*100),0,SUM(LB_lb_ele_kWh,LB_rest_ele_kWh)*3.6/1000000000/'E Balans VL '!Z26*100)</f>
        <v>2.0378486878690708E-3</v>
      </c>
      <c r="C17" s="237" t="s">
        <v>691</v>
      </c>
      <c r="D17" s="252"/>
    </row>
    <row r="18" spans="1:4">
      <c r="A18" s="240"/>
      <c r="B18" s="253"/>
      <c r="C18" s="241"/>
    </row>
    <row r="19" spans="1:4">
      <c r="A19" s="32"/>
      <c r="B19" s="48"/>
      <c r="C19" s="32"/>
    </row>
    <row r="20" spans="1:4">
      <c r="A20" s="32"/>
      <c r="B20" s="48"/>
      <c r="C20" s="32"/>
    </row>
    <row r="21" spans="1:4" ht="15.75" thickBot="1">
      <c r="B21" s="32"/>
    </row>
    <row r="22" spans="1:4" ht="15.75" customHeight="1">
      <c r="A22" s="1217" t="s">
        <v>302</v>
      </c>
      <c r="B22" s="1220" t="s">
        <v>303</v>
      </c>
      <c r="C22" s="1220" t="s">
        <v>498</v>
      </c>
    </row>
    <row r="23" spans="1:4">
      <c r="A23" s="1218"/>
      <c r="B23" s="1221"/>
      <c r="C23" s="1221"/>
    </row>
    <row r="24" spans="1:4" ht="15.75" thickBot="1">
      <c r="A24" s="1219"/>
      <c r="B24" s="1222"/>
      <c r="C24" s="1222"/>
    </row>
    <row r="25" spans="1:4" ht="15.75">
      <c r="A25" s="13"/>
      <c r="B25" s="32"/>
    </row>
    <row r="26" spans="1:4">
      <c r="A26" s="41" t="s">
        <v>273</v>
      </c>
      <c r="B26" s="247">
        <f>(aantalSlachtvarkens*'EF N2O_CH4 landbouw'!B6+aantalMelkkoeien*'EF N2O_CH4 landbouw'!B7+aantalZoogkoeien*'EF N2O_CH4 landbouw'!B8+'EF N2O_CH4 landbouw'!B9*aantalRunderen_0_tot_1_jaar+aantalRunderen_1_tot_2_jaar*'EF N2O_CH4 landbouw'!B10+'EF N2O_CH4 landbouw'!B11*aantalRunderen_meer_dan_2jaar+SUM(aantalbiggen_tot_20kg,AantalVarkens_20_tot_110kg,AantalMestvarkens_meer_dan_110kg,AantalFokvarkens_beren,AantalFokvarkens_zeugen)*'EF N2O_CH4 landbouw'!B14+Aantal_schapen*'EF N2O_CH4 landbouw'!B12+'EF N2O_CH4 landbouw'!B13*aantalGeiten+Aantalpaarden*'EF N2O_CH4 landbouw'!B15+'EF N2O_CH4 landbouw'!B16*Aantalezels)/1000</f>
        <v>8.2963590786813253</v>
      </c>
      <c r="C26" s="247">
        <f>B26*'GWP N2O_CH4'!B5</f>
        <v>174.22354065230783</v>
      </c>
      <c r="D26" s="50"/>
    </row>
    <row r="27" spans="1:4">
      <c r="A27" s="41" t="s">
        <v>274</v>
      </c>
      <c r="B27" s="247">
        <f>(aantalSlachtvarkens*'EF N2O_CH4 landbouw'!B24+'EF N2O_CH4 landbouw'!B25*aantalMelkkoeien+aantalZoogkoeien*'EF N2O_CH4 landbouw'!B26+'EF N2O_CH4 landbouw'!B27*aantalRunderen_0_tot_1_jaar+aantalRunderen_1_tot_2_jaar*'EF N2O_CH4 landbouw'!B28++'EF N2O_CH4 landbouw'!B29*aantalRunderen_meer_dan_2jaar+aantalbiggen_tot_20kg*'EF N2O_CH4 landbouw'!B31+'EF N2O_CH4 landbouw'!B32*AantalVarkens_20_tot_110kg+AantalMestvarkens_meer_dan_110kg*'EF N2O_CH4 landbouw'!B33+'EF N2O_CH4 landbouw'!B34*AantalFokvarkens_beren+AantalFokvarkens_zeugen*'EF N2O_CH4 landbouw'!B35+'EF N2O_CH4 landbouw'!B36*Aantal_schapen+aantalGeiten*'EF N2O_CH4 landbouw'!B37+'EF N2O_CH4 landbouw'!B40*Aantal_pluimvee+Aantalpaarden*'EF N2O_CH4 landbouw'!B38+'EF N2O_CH4 landbouw'!B39*Aantalezels)/1000</f>
        <v>0.56289356672738333</v>
      </c>
      <c r="C27" s="247">
        <f>B27*'GWP N2O_CH4'!B5</f>
        <v>11.82076490127505</v>
      </c>
      <c r="D27" s="50"/>
    </row>
    <row r="28" spans="1:4">
      <c r="A28" s="41" t="s">
        <v>275</v>
      </c>
      <c r="B28" s="247">
        <f>('EF N2O_CH4 landbouw'!B47*SUM(aantalSlachtvarkens+aantalZoogkoeien+aantalRunderen_1_tot_2_jaar+aantalRunderen_0_tot_1_jaar+aantalRunderen_meer_dan_2jaar)+'EF N2O_CH4 landbouw'!B48*aantalMelkkoeien+'EF N2O_CH4 landbouw'!B49*SUM(aantalbiggen_tot_20kg,AantalVarkens_20_tot_110kg,AantalMestvarkens_meer_dan_110kg,AantalFokvarkens_beren,AantalFokvarkens_zeugen)+Aantal_schapen*'EF N2O_CH4 landbouw'!B51+aantalGeiten*'EF N2O_CH4 landbouw'!B52+'EF N2O_CH4 landbouw'!B50*Aantal_pluimvee+Aantalpaarden*'EF N2O_CH4 landbouw'!B52+'EF N2O_CH4 landbouw'!B52*Aantalezels)/1000</f>
        <v>0.13162197696426328</v>
      </c>
      <c r="C28" s="247">
        <f>B28*'GWP N2O_CH4'!B4</f>
        <v>40.802812858921619</v>
      </c>
      <c r="D28" s="50"/>
    </row>
    <row r="29" spans="1:4">
      <c r="A29" s="41" t="s">
        <v>276</v>
      </c>
      <c r="B29" s="247">
        <f>B34*'ha_N2O bodem landbouw'!B4</f>
        <v>0.53620275895473968</v>
      </c>
      <c r="C29" s="247">
        <f>B29*'GWP N2O_CH4'!B4</f>
        <v>166.22285527596929</v>
      </c>
      <c r="D29" s="50"/>
    </row>
    <row r="31" spans="1:4">
      <c r="A31" s="193" t="s">
        <v>500</v>
      </c>
      <c r="B31" s="203"/>
      <c r="C31" s="225"/>
    </row>
    <row r="32" spans="1:4">
      <c r="A32" s="236"/>
      <c r="B32" s="32"/>
      <c r="C32" s="237"/>
    </row>
    <row r="33" spans="1:5">
      <c r="A33" s="238"/>
      <c r="B33" s="224" t="s">
        <v>633</v>
      </c>
      <c r="C33" s="239" t="s">
        <v>181</v>
      </c>
    </row>
    <row r="34" spans="1:5">
      <c r="A34" s="257" t="s">
        <v>111</v>
      </c>
      <c r="B34" s="35">
        <f>IF(ISERROR(aantalCultuurgronden/'ha_N2O bodem landbouw'!B5),0,aantalCultuurgronden/'ha_N2O bodem landbouw'!B5)</f>
        <v>1.2026083238312429E-4</v>
      </c>
      <c r="C34" s="897" t="s">
        <v>668</v>
      </c>
      <c r="D34" s="27"/>
      <c r="E34" s="27"/>
    </row>
    <row r="35" spans="1:5">
      <c r="A35" s="240"/>
      <c r="B35" s="180"/>
      <c r="C35" s="241"/>
      <c r="D35" s="252"/>
    </row>
  </sheetData>
  <mergeCells count="9">
    <mergeCell ref="A22:A24"/>
    <mergeCell ref="B22:B24"/>
    <mergeCell ref="A1:A3"/>
    <mergeCell ref="B1:P1"/>
    <mergeCell ref="B2:B3"/>
    <mergeCell ref="C2:C3"/>
    <mergeCell ref="D2:K2"/>
    <mergeCell ref="L2:P2"/>
    <mergeCell ref="C22:C24"/>
  </mergeCells>
  <dataValidations count="2">
    <dataValidation type="list" allowBlank="1" showInputMessage="1" showErrorMessage="1" sqref="B2:C4 D2 D4">
      <formula1>#REF!</formula1>
    </dataValidation>
    <dataValidation type="list" allowBlank="1" showInputMessage="1" showErrorMessage="1" sqref="D3">
      <formula1>#REF!</formula1>
    </dataValidation>
  </dataValidations>
  <pageMargins left="0.7" right="0.7" top="0.75" bottom="0.75" header="0.3" footer="0.3"/>
  <pageSetup paperSize="9"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theme="5" tint="-0.249977111117893"/>
  </sheetPr>
  <dimension ref="A1:R79"/>
  <sheetViews>
    <sheetView showGridLines="0" topLeftCell="A25" zoomScale="70" zoomScaleNormal="70" workbookViewId="0">
      <selection activeCell="E35" sqref="E35"/>
    </sheetView>
  </sheetViews>
  <sheetFormatPr defaultRowHeight="15"/>
  <cols>
    <col min="1" max="1" width="49.42578125" bestFit="1" customWidth="1"/>
    <col min="2" max="2" width="15" bestFit="1" customWidth="1"/>
    <col min="3" max="3" width="15.85546875" bestFit="1" customWidth="1"/>
    <col min="4" max="4" width="19.42578125" customWidth="1"/>
    <col min="5" max="5" width="48.7109375" customWidth="1"/>
    <col min="6" max="6" width="15.28515625" customWidth="1"/>
    <col min="7" max="7" width="18.42578125" bestFit="1" customWidth="1"/>
    <col min="8" max="8" width="16.85546875" bestFit="1" customWidth="1"/>
    <col min="9" max="9" width="21.28515625" bestFit="1" customWidth="1"/>
    <col min="10" max="10" width="19.5703125" bestFit="1" customWidth="1"/>
    <col min="11" max="11" width="33" bestFit="1" customWidth="1"/>
    <col min="12" max="12" width="22.7109375" customWidth="1"/>
    <col min="13" max="13" width="15.140625" bestFit="1" customWidth="1"/>
    <col min="14" max="14" width="12.28515625" customWidth="1"/>
    <col min="15" max="15" width="12.140625" customWidth="1"/>
    <col min="16" max="16" width="14.140625" customWidth="1"/>
    <col min="17" max="17" width="6.42578125" bestFit="1" customWidth="1"/>
    <col min="18" max="18" width="18.5703125" customWidth="1"/>
  </cols>
  <sheetData>
    <row r="1" spans="1:18" s="314" customFormat="1" ht="17.25" thickTop="1" thickBot="1">
      <c r="A1" s="1209" t="s">
        <v>502</v>
      </c>
      <c r="B1" s="1210" t="s">
        <v>555</v>
      </c>
      <c r="C1" s="1211"/>
      <c r="D1" s="1211"/>
      <c r="E1" s="1211"/>
      <c r="F1" s="1211"/>
      <c r="G1" s="1211"/>
      <c r="H1" s="1211"/>
      <c r="I1" s="1211"/>
      <c r="J1" s="1211"/>
      <c r="K1" s="1211"/>
      <c r="L1" s="1211"/>
      <c r="M1" s="1211"/>
      <c r="N1" s="1211"/>
      <c r="O1" s="1211"/>
      <c r="P1" s="1211"/>
    </row>
    <row r="2" spans="1:18" s="314" customFormat="1" ht="15.75" thickTop="1">
      <c r="A2" s="1209"/>
      <c r="B2" s="1212" t="s">
        <v>20</v>
      </c>
      <c r="C2" s="1212" t="s">
        <v>195</v>
      </c>
      <c r="D2" s="1214" t="s">
        <v>196</v>
      </c>
      <c r="E2" s="1215"/>
      <c r="F2" s="1215"/>
      <c r="G2" s="1215"/>
      <c r="H2" s="1215"/>
      <c r="I2" s="1215"/>
      <c r="J2" s="1215"/>
      <c r="K2" s="1216"/>
      <c r="L2" s="1214" t="s">
        <v>197</v>
      </c>
      <c r="M2" s="1215"/>
      <c r="N2" s="1215"/>
      <c r="O2" s="1215"/>
      <c r="P2" s="1216"/>
    </row>
    <row r="3" spans="1:18" s="314" customFormat="1" ht="45">
      <c r="A3" s="1209"/>
      <c r="B3" s="1213"/>
      <c r="C3" s="1213"/>
      <c r="D3" s="357" t="s">
        <v>198</v>
      </c>
      <c r="E3" s="357" t="s">
        <v>199</v>
      </c>
      <c r="F3" s="357" t="s">
        <v>200</v>
      </c>
      <c r="G3" s="357" t="s">
        <v>201</v>
      </c>
      <c r="H3" s="357" t="s">
        <v>119</v>
      </c>
      <c r="I3" s="357" t="s">
        <v>202</v>
      </c>
      <c r="J3" s="357" t="s">
        <v>203</v>
      </c>
      <c r="K3" s="357" t="s">
        <v>204</v>
      </c>
      <c r="L3" s="357" t="s">
        <v>205</v>
      </c>
      <c r="M3" s="357" t="s">
        <v>206</v>
      </c>
      <c r="N3" s="357" t="s">
        <v>207</v>
      </c>
      <c r="O3" s="357" t="s">
        <v>208</v>
      </c>
      <c r="P3" s="357" t="s">
        <v>209</v>
      </c>
    </row>
    <row r="4" spans="1:18">
      <c r="C4" s="15"/>
    </row>
    <row r="5" spans="1:18" s="8" customFormat="1">
      <c r="A5" s="285" t="s">
        <v>328</v>
      </c>
      <c r="B5" s="423">
        <f>SUM(B6:B11)</f>
        <v>1.2869166127717048E-5</v>
      </c>
      <c r="C5" s="438" t="s">
        <v>210</v>
      </c>
      <c r="D5" s="423">
        <f>SUM(D6:D11)</f>
        <v>2.3843440448827138E-5</v>
      </c>
      <c r="E5" s="423">
        <f>SUM(E6:E11)</f>
        <v>2.2920319426184829E-4</v>
      </c>
      <c r="F5" s="436" t="s">
        <v>210</v>
      </c>
      <c r="G5" s="423">
        <f>SUM(G6:G11)</f>
        <v>6.4563883378715006E-2</v>
      </c>
      <c r="H5" s="423">
        <f>SUM(H6:H11)</f>
        <v>1.4531464267020022E-2</v>
      </c>
      <c r="I5" s="438" t="s">
        <v>210</v>
      </c>
      <c r="J5" s="438" t="s">
        <v>210</v>
      </c>
      <c r="K5" s="438" t="s">
        <v>210</v>
      </c>
      <c r="L5" s="438" t="s">
        <v>210</v>
      </c>
      <c r="M5" s="423">
        <f>SUM(M6:M11)</f>
        <v>4.1864813916692688E-3</v>
      </c>
      <c r="N5" s="438" t="s">
        <v>210</v>
      </c>
      <c r="O5" s="438" t="s">
        <v>210</v>
      </c>
      <c r="P5" s="439" t="s">
        <v>210</v>
      </c>
    </row>
    <row r="6" spans="1:18">
      <c r="A6" s="261" t="s">
        <v>711</v>
      </c>
      <c r="B6" s="866">
        <f>vkm_GW_PW*SUMIFS(TableVerdeelsleutelVkm[ELECTRIC],TableVerdeelsleutelVkm[Voertuigtype],"Lichte voertuigen")*SUMIFS(TableECFTransport[EnergieConsumptieFactor (PJ per km)],TableECFTransport[Index],CONCATENATE($A6,"_ELECTRIC_ELECTRIC"))
+vkm_GW_PW*SUMIFS(TableVerdeelsleutelVkm[DIESEL HYBRID PHEV],TableVerdeelsleutelVkm[Voertuigtype],"Lichte voertuigen")*SUMIFS(TableECFTransport[EnergieConsumptieFactor (PJ per km)],TableECFTransport[Index],CONCATENATE($A6,"_DIESEL HYBRID PHEV_ELECTRIC"))
+vkm_GW_PW*SUMIFS(TableVerdeelsleutelVkm[PETROL HYBRID PHEV],TableVerdeelsleutelVkm[Voertuigtype],"Lichte voertuigen")*SUMIFS(TableECFTransport[EnergieConsumptieFactor (PJ per km)],TableECFTransport[Index],CONCATENATE($A6,"_PETROL HYBRID PHEV_ELECTRIC"))</f>
        <v>1.1753421693414648E-5</v>
      </c>
      <c r="C6" s="424"/>
      <c r="D6" s="866">
        <f>vkm_GW_PW*SUMIFS(TableVerdeelsleutelVkm[CNG],TableVerdeelsleutelVkm[Voertuigtype],"Lichte voertuigen")*SUMIFS(TableECFTransport[EnergieConsumptieFactor (PJ per km)],TableECFTransport[Index],CONCATENATE($A6,"_CNG_CNG"))</f>
        <v>2.0509538528220972E-5</v>
      </c>
      <c r="E6" s="866">
        <f>vkm_GW_PW*SUMIFS(TableVerdeelsleutelVkm[LPG],TableVerdeelsleutelVkm[Voertuigtype],"Lichte voertuigen")*SUMIFS(TableECFTransport[EnergieConsumptieFactor (PJ per km)],TableECFTransport[Index],CONCATENATE($A6,"_LPG_LPG"))</f>
        <v>1.9864496256546239E-4</v>
      </c>
      <c r="F6" s="426"/>
      <c r="G6" s="866">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CS_DIESEL")))*(1-$C$35)</f>
        <v>4.6684984273449755E-2</v>
      </c>
      <c r="H6" s="866">
        <f>(vkm_GW_PW*SUMIFS(TableVerdeelsleutelVkm[PETROL],TableVerdeelsleutelVkm[Voertuigtype],"Lichte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CS_PETROL")))*(1-$C$42)</f>
        <v>1.2559923204541582E-2</v>
      </c>
      <c r="I6" s="424"/>
      <c r="J6" s="424"/>
      <c r="K6" s="424"/>
      <c r="L6" s="424"/>
      <c r="M6" s="424">
        <f>(vkm_GW_PW*SUMIFS(TableVerdeelsleutelVkm[DIESEL],TableVerdeelsleutelVkm[Voertuigtype],"Lichte voertuigen")*SUMIFS(TableECFTransport[EnergieConsumptieFactor (PJ per km)],TableECFTransport[Index],CONCATENATE($A6,"_DIESEL_DIESEL"))
+vkm_GW_PW*SUMIFS(TableVerdeelsleutelVkm[DIESEL HYBRID PHEV],TableVerdeelsleutelVkm[Voertuigtype],"Lichte voertuigen")*SUMIFS(TableECFTransport[EnergieConsumptieFactor (PJ per km)],TableECFTransport[Index],CONCATENATE($A6,"_DIESEL HYBRID PHEV_DIESEL"))
+vkm_GW_PW*SUMIFS(TableVerdeelsleutelVkm[DIESEL HYBRID CS],TableVerdeelsleutelVkm[Voertuigtype],"Lichte voertuigen")*SUMIFS(TableECFTransport[EnergieConsumptieFactor (PJ per km)],TableECFTransport[Index],CONCATENATE($A6,"_DIESEL HYBRID CS_DIESEL")))*($C$35)
+(vkm_GW_PW*SUMIFS(TableVerdeelsleutelVkm[PETROL],TableVerdeelsleutelVkm[Voertuigtype],"Lichte voertuigen")*SUMIFS(TableECFTransport[EnergieConsumptieFactor (PJ per km)],TableECFTransport[Index],CONCATENATE($A6,"_PETROL_PETROL"))
+vkm_GW_PW*SUMIFS(TableVerdeelsleutelVkm[PETROL HYBRID PHEV],TableVerdeelsleutelVkm[Voertuigtype],"Lichte voertuigen")*SUMIFS(TableECFTransport[EnergieConsumptieFactor (PJ per km)],TableECFTransport[Index],CONCATENATE($A6,"_PETROL HYBRID PHEV_PETROL"))
+vkm_GW_PW*SUMIFS(TableVerdeelsleutelVkm[PETROL HYBRID CS],TableVerdeelsleutelVkm[Voertuigtype],"Lichte voertuigen")*SUMIFS(TableECFTransport[EnergieConsumptieFactor (PJ per km)],TableECFTransport[Index],CONCATENATE($A6,"_PETROL HYBRID CS_PETROL")))*($C$42)</f>
        <v>3.0897761265380541E-3</v>
      </c>
      <c r="N6" s="424"/>
      <c r="O6" s="424"/>
      <c r="P6" s="425"/>
    </row>
    <row r="7" spans="1:18">
      <c r="A7" s="261" t="s">
        <v>712</v>
      </c>
      <c r="B7" s="866">
        <f>vkm_GW_ZV*SUMIFS(TableVerdeelsleutelVkm[ELECTRIC],TableVerdeelsleutelVkm[Voertuigtype],"Zware voertuigen")*SUMIFS(TableECFTransport[EnergieConsumptieFactor (PJ per km)],TableECFTransport[Index],CONCATENATE($A7,"_ELECTRIC_ELECTRIC"))
+vkm_GW_ZV*SUMIFS(TableVerdeelsleutelVkm[DIESEL HYBRID PHEV],TableVerdeelsleutelVkm[Voertuigtype],"Zware voertuigen")*SUMIFS(TableECFTransport[EnergieConsumptieFactor (PJ per km)],TableECFTransport[Index],CONCATENATE($A7,"_DIESEL HYBRID PHEV_ELECTRIC"))
+vkm_GW_ZV*SUMIFS(TableVerdeelsleutelVkm[PETROL HYBRID PHEV],TableVerdeelsleutelVkm[Voertuigtype],"Zware voertuigen")*SUMIFS(TableECFTransport[EnergieConsumptieFactor (PJ per km)],TableECFTransport[Index],CONCATENATE($A7,"_PETROL HYBRID PHEV_ELECTRIC"))</f>
        <v>0</v>
      </c>
      <c r="C7" s="424"/>
      <c r="D7" s="866">
        <f>vkm_GW_ZV*SUMIFS(TableVerdeelsleutelVkm[CNG],TableVerdeelsleutelVkm[Voertuigtype],"Zware voertuigen")*SUMIFS(TableECFTransport[EnergieConsumptieFactor (PJ per km)],TableECFTransport[Index],CONCATENATE($A7,"_CNG_CNG"))</f>
        <v>0</v>
      </c>
      <c r="E7" s="866">
        <f>vkm_GW_ZV*SUMIFS(TableVerdeelsleutelVkm[LPG],TableVerdeelsleutelVkm[Voertuigtype],"Zware voertuigen")*SUMIFS(TableECFTransport[EnergieConsumptieFactor (PJ per km)],TableECFTransport[Index],CONCATENATE($A7,"_LPG_LPG"))</f>
        <v>0</v>
      </c>
      <c r="F7" s="426"/>
      <c r="G7" s="866">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CS_DIESEL")))*(1-$C$35)</f>
        <v>8.2835706412895029E-3</v>
      </c>
      <c r="H7" s="866">
        <f>(vkm_GW_ZV*SUMIFS(TableVerdeelsleutelVkm[PETROL],TableVerdeelsleutelVkm[Voertuigtype],"Zware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CS_PETROL")))*(1-$C$42)</f>
        <v>1.6064476494493324E-7</v>
      </c>
      <c r="I7" s="424"/>
      <c r="J7" s="424"/>
      <c r="K7" s="424"/>
      <c r="L7" s="424"/>
      <c r="M7" s="424">
        <f>(vkm_GW_ZV*SUMIFS(TableVerdeelsleutelVkm[DIESEL],TableVerdeelsleutelVkm[Voertuigtype],"Zware voertuigen")*SUMIFS(TableECFTransport[EnergieConsumptieFactor (PJ per km)],TableECFTransport[Index],CONCATENATE($A7,"_DIESEL_DIESEL"))
+vkm_GW_ZV*SUMIFS(TableVerdeelsleutelVkm[DIESEL HYBRID PHEV],TableVerdeelsleutelVkm[Voertuigtype],"Zware voertuigen")*SUMIFS(TableECFTransport[EnergieConsumptieFactor (PJ per km)],TableECFTransport[Index],CONCATENATE($A7,"_DIESEL HYBRID PHEV_DIESEL"))
+vkm_GW_ZV*SUMIFS(TableVerdeelsleutelVkm[DIESEL HYBRID CS],TableVerdeelsleutelVkm[Voertuigtype],"Zware voertuigen")*SUMIFS(TableECFTransport[EnergieConsumptieFactor (PJ per km)],TableECFTransport[Index],CONCATENATE($A7,"_DIESEL HYBRID CS_DIESEL")))*($C$35)
+(vkm_GW_ZV*SUMIFS(TableVerdeelsleutelVkm[PETROL],TableVerdeelsleutelVkm[Voertuigtype],"Zware voertuigen")*SUMIFS(TableECFTransport[EnergieConsumptieFactor (PJ per km)],TableECFTransport[Index],CONCATENATE($A7,"_PETROL_PETROL"))
+vkm_GW_ZV*SUMIFS(TableVerdeelsleutelVkm[PETROL HYBRID PHEV],TableVerdeelsleutelVkm[Voertuigtype],"Zware voertuigen")*SUMIFS(TableECFTransport[EnergieConsumptieFactor (PJ per km)],TableECFTransport[Index],CONCATENATE($A7,"_PETROL HYBRID PHEV_PETROL"))
+vkm_GW_ZV*SUMIFS(TableVerdeelsleutelVkm[PETROL HYBRID CS],TableVerdeelsleutelVkm[Voertuigtype],"Zware voertuigen")*SUMIFS(TableECFTransport[EnergieConsumptieFactor (PJ per km)],TableECFTransport[Index],CONCATENATE($A7,"_PETROL HYBRID CS_PETROL")))*($C$42)</f>
        <v>4.8026269862934818E-4</v>
      </c>
      <c r="N7" s="424"/>
      <c r="O7" s="424"/>
      <c r="P7" s="425"/>
      <c r="R7" s="863"/>
    </row>
    <row r="8" spans="1:18">
      <c r="A8" s="261" t="s">
        <v>713</v>
      </c>
      <c r="B8" s="424">
        <f>vkm_NGW_PW*SUMIFS(TableVerdeelsleutelVkm[ELECTRIC],TableVerdeelsleutelVkm[Voertuigtype],"Lichte voertuigen")*SUMIFS(TableECFTransport[EnergieConsumptieFactor (PJ per km)],TableECFTransport[Index],CONCATENATE($A8,"_ELECTRIC_ELECTRIC"))
+vkm_NGW_PW*SUMIFS(TableVerdeelsleutelVkm[DIESEL HYBRID PHEV],TableVerdeelsleutelVkm[Voertuigtype],"Lichte voertuigen")*SUMIFS(TableECFTransport[EnergieConsumptieFactor (PJ per km)],TableECFTransport[Index],CONCATENATE($A8,"_DIESEL HYBRID PHEV_ELECTRIC"))
+vkm_NGW_PW*SUMIFS(TableVerdeelsleutelVkm[PETROL HYBRID PHEV],TableVerdeelsleutelVkm[Voertuigtype],"Lichte voertuigen")*SUMIFS(TableECFTransport[EnergieConsumptieFactor (PJ per km)],TableECFTransport[Index],CONCATENATE($A8,"_PETROL HYBRID PHEV_ELECTRIC"))</f>
        <v>1.1157444343023999E-6</v>
      </c>
      <c r="C8" s="424"/>
      <c r="D8" s="426">
        <f>vkm_NGW_PW*SUMIFS(TableVerdeelsleutelVkm[CNG],TableVerdeelsleutelVkm[Voertuigtype],"Lichte voertuigen")*SUMIFS(TableECFTransport[EnergieConsumptieFactor (PJ per km)],TableECFTransport[Index],CONCATENATE($A8,"_CNG_CNG"))</f>
        <v>3.3339019206061674E-6</v>
      </c>
      <c r="E8" s="426">
        <f>vkm_NGW_PW*SUMIFS(TableVerdeelsleutelVkm[LPG],TableVerdeelsleutelVkm[Voertuigtype],"Lichte voertuigen")*SUMIFS(TableECFTransport[EnergieConsumptieFactor (PJ per km)],TableECFTransport[Index],CONCATENATE($A8,"_LPG_LPG"))</f>
        <v>3.0558231696385915E-5</v>
      </c>
      <c r="F8" s="426"/>
      <c r="G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CS_DIESEL")))*(1-$C$35)</f>
        <v>6.7412010334781313E-3</v>
      </c>
      <c r="H8" s="866">
        <f>(vkm_NGW_PW*SUMIFS(TableVerdeelsleutelVkm[PETROL],TableVerdeelsleutelVkm[Voertuigtype],"Lichte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CS_PETROL")))*(1-$C$42)</f>
        <v>1.9713118564750418E-3</v>
      </c>
      <c r="I8" s="424"/>
      <c r="J8" s="424"/>
      <c r="K8" s="424"/>
      <c r="L8" s="424"/>
      <c r="M8" s="424">
        <f>(vkm_NGW_PW*SUMIFS(TableVerdeelsleutelVkm[DIESEL],TableVerdeelsleutelVkm[Voertuigtype],"Lichte voertuigen")*SUMIFS(TableECFTransport[EnergieConsumptieFactor (PJ per km)],TableECFTransport[Index],CONCATENATE($A8,"_DIESEL_DIESEL"))
+vkm_NGW_PW*SUMIFS(TableVerdeelsleutelVkm[DIESEL HYBRID PHEV],TableVerdeelsleutelVkm[Voertuigtype],"Lichte voertuigen")*SUMIFS(TableECFTransport[EnergieConsumptieFactor (PJ per km)],TableECFTransport[Index],CONCATENATE($A8,"_DIESEL HYBRID PHEV_DIESEL"))
+vkm_NGW_PW*SUMIFS(TableVerdeelsleutelVkm[DIESEL HYBRID CS],TableVerdeelsleutelVkm[Voertuigtype],"Lichte voertuigen")*SUMIFS(TableECFTransport[EnergieConsumptieFactor (PJ per km)],TableECFTransport[Index],CONCATENATE($A8,"_DIESEL HYBRID CS_DIESEL")))*($C$35)
+(vkm_NGW_PW*SUMIFS(TableVerdeelsleutelVkm[PETROL],TableVerdeelsleutelVkm[Voertuigtype],"Lichte voertuigen")*SUMIFS(TableECFTransport[EnergieConsumptieFactor (PJ per km)],TableECFTransport[Index],CONCATENATE($A8,"_PETROL_PETROL"))
+vkm_NGW_PW*SUMIFS(TableVerdeelsleutelVkm[PETROL HYBRID PHEV],TableVerdeelsleutelVkm[Voertuigtype],"Lichte voertuigen")*SUMIFS(TableECFTransport[EnergieConsumptieFactor (PJ per km)],TableECFTransport[Index],CONCATENATE($A8,"_PETROL HYBRID PHEV_PETROL"))
+vkm_NGW_PW*SUMIFS(TableVerdeelsleutelVkm[PETROL HYBRID CS],TableVerdeelsleutelVkm[Voertuigtype],"Lichte voertuigen")*SUMIFS(TableECFTransport[EnergieConsumptieFactor (PJ per km)],TableECFTransport[Index],CONCATENATE($A8,"_PETROL HYBRID CS_PETROL")))*($C$42)</f>
        <v>4.5096630761192272E-4</v>
      </c>
      <c r="N8" s="424"/>
      <c r="O8" s="424"/>
      <c r="P8" s="425"/>
      <c r="R8" s="863"/>
    </row>
    <row r="9" spans="1:18">
      <c r="A9" s="261" t="s">
        <v>714</v>
      </c>
      <c r="B9" s="424">
        <f>vkm_NGW_ZV*SUMIFS(TableVerdeelsleutelVkm[ELECTRIC],TableVerdeelsleutelVkm[Voertuigtype],"Zware voertuigen")*SUMIFS(TableECFTransport[EnergieConsumptieFactor (PJ per km)],TableECFTransport[Index],CONCATENATE($A9,"_ELECTRIC_ELECTRIC"))
+vkm_NGW_ZV*SUMIFS(TableVerdeelsleutelVkm[DIESEL HYBRID PHEV],TableVerdeelsleutelVkm[Voertuigtype],"Zware voertuigen")*SUMIFS(TableECFTransport[EnergieConsumptieFactor (PJ per km)],TableECFTransport[Index],CONCATENATE($A9,"_DIESEL HYBRID PHEV_ELECTRIC"))
+vkm_NGW_ZV*SUMIFS(TableVerdeelsleutelVkm[PETROL HYBRID PHEV],TableVerdeelsleutelVkm[Voertuigtype],"Zware voertuigen")*SUMIFS(TableECFTransport[EnergieConsumptieFactor (PJ per km)],TableECFTransport[Index],CONCATENATE($A9,"_PETROL HYBRID PHEV_ELECTRIC"))</f>
        <v>0</v>
      </c>
      <c r="C9" s="424"/>
      <c r="D9" s="426">
        <f>vkm_NGW_ZV*SUMIFS(TableVerdeelsleutelVkm[CNG],TableVerdeelsleutelVkm[Voertuigtype],"Zware voertuigen")*SUMIFS(TableECFTransport[EnergieConsumptieFactor (PJ per km)],TableECFTransport[Index],CONCATENATE($A9,"_CNG_CNG"))</f>
        <v>0</v>
      </c>
      <c r="E9" s="426">
        <f>vkm_NGW_ZV*SUMIFS(TableVerdeelsleutelVkm[LPG],TableVerdeelsleutelVkm[Voertuigtype],"Zware voertuigen")*SUMIFS(TableECFTransport[EnergieConsumptieFactor (PJ per km)],TableECFTransport[Index],CONCATENATE($A9,"_LPG_LPG"))</f>
        <v>0</v>
      </c>
      <c r="F9" s="426"/>
      <c r="G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CS_DIESEL")))*(1-$C$35)</f>
        <v>2.8541274304976177E-3</v>
      </c>
      <c r="H9" s="866">
        <f>(vkm_NGW_ZV*SUMIFS(TableVerdeelsleutelVkm[PETROL],TableVerdeelsleutelVkm[Voertuigtype],"Zware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CS_PETROL")))*(1-$C$42)</f>
        <v>6.8561238452175096E-8</v>
      </c>
      <c r="I9" s="424"/>
      <c r="J9" s="424"/>
      <c r="K9" s="424"/>
      <c r="L9" s="424"/>
      <c r="M9" s="424">
        <f>(vkm_NGW_ZV*SUMIFS(TableVerdeelsleutelVkm[DIESEL],TableVerdeelsleutelVkm[Voertuigtype],"Zware voertuigen")*SUMIFS(TableECFTransport[EnergieConsumptieFactor (PJ per km)],TableECFTransport[Index],CONCATENATE($A9,"_DIESEL_DIESEL"))
+vkm_NGW_ZV*SUMIFS(TableVerdeelsleutelVkm[DIESEL HYBRID PHEV],TableVerdeelsleutelVkm[Voertuigtype],"Zware voertuigen")*SUMIFS(TableECFTransport[EnergieConsumptieFactor (PJ per km)],TableECFTransport[Index],CONCATENATE($A9,"_DIESEL HYBRID PHEV_DIESEL"))
+vkm_NGW_ZV*SUMIFS(TableVerdeelsleutelVkm[DIESEL HYBRID CS],TableVerdeelsleutelVkm[Voertuigtype],"Zware voertuigen")*SUMIFS(TableECFTransport[EnergieConsumptieFactor (PJ per km)],TableECFTransport[Index],CONCATENATE($A9,"_DIESEL HYBRID CS_DIESEL")))*($C$35)
+(vkm_NGW_ZV*SUMIFS(TableVerdeelsleutelVkm[PETROL],TableVerdeelsleutelVkm[Voertuigtype],"Zware voertuigen")*SUMIFS(TableECFTransport[EnergieConsumptieFactor (PJ per km)],TableECFTransport[Index],CONCATENATE($A9,"_PETROL_PETROL"))
+vkm_NGW_ZV*SUMIFS(TableVerdeelsleutelVkm[PETROL HYBRID PHEV],TableVerdeelsleutelVkm[Voertuigtype],"Zware voertuigen")*SUMIFS(TableECFTransport[EnergieConsumptieFactor (PJ per km)],TableECFTransport[Index],CONCATENATE($A9,"_PETROL HYBRID PHEV_PETROL"))
+vkm_NGW_ZV*SUMIFS(TableVerdeelsleutelVkm[PETROL HYBRID CS],TableVerdeelsleutelVkm[Voertuigtype],"Zware voertuigen")*SUMIFS(TableECFTransport[EnergieConsumptieFactor (PJ per km)],TableECFTransport[Index],CONCATENATE($A9,"_PETROL HYBRID CS_PETROL")))*($C$42)</f>
        <v>1.654762588899434E-4</v>
      </c>
      <c r="N9" s="424"/>
      <c r="O9" s="424"/>
      <c r="P9" s="425"/>
      <c r="R9" s="863"/>
    </row>
    <row r="10" spans="1:18">
      <c r="A10" s="261" t="s">
        <v>715</v>
      </c>
      <c r="B10" s="424">
        <f>vkm_SW_PW*SUMIFS(TableVerdeelsleutelVkm[ELECTRIC],TableVerdeelsleutelVkm[Voertuigtype],"Lichte voertuigen")*SUMIFS(TableECFTransport[EnergieConsumptieFactor (PJ per km)],TableECFTransport[Index],CONCATENATE($A10,"_ELECTRIC_ELECTRIC"))
+vkm_SW_PW*SUMIFS(TableVerdeelsleutelVkm[DIESEL HYBRID PHEV],TableVerdeelsleutelVkm[Voertuigtype],"Lichte voertuigen")*SUMIFS(TableECFTransport[EnergieConsumptieFactor (PJ per km)],TableECFTransport[Index],CONCATENATE($A10,"_DIESEL HYBRID PHEV_ELECTRIC"))
+vkm_SW_PW*SUMIFS(TableVerdeelsleutelVkm[PETROL HYBRID PHEV],TableVerdeelsleutelVkm[Voertuigtype],"Lichte voertuigen")*SUMIFS(TableECFTransport[EnergieConsumptieFactor (PJ per km)],TableECFTransport[Index],CONCATENATE($A10,"_PETROL HYBRID PHEV_ELECTRIC"))</f>
        <v>0</v>
      </c>
      <c r="C10" s="424"/>
      <c r="D10" s="426">
        <f>vkm_SW_PW*SUMIFS(TableVerdeelsleutelVkm[CNG],TableVerdeelsleutelVkm[Voertuigtype],"Lichte voertuigen")*SUMIFS(TableECFTransport[EnergieConsumptieFactor (PJ per km)],TableECFTransport[Index],CONCATENATE($A10,"_CNG_CNG"))</f>
        <v>0</v>
      </c>
      <c r="E10" s="426">
        <f>vkm_SW_PW*SUMIFS(TableVerdeelsleutelVkm[LPG],TableVerdeelsleutelVkm[Voertuigtype],"Lichte voertuigen")*SUMIFS(TableECFTransport[EnergieConsumptieFactor (PJ per km)],TableECFTransport[Index],CONCATENATE($A10,"_LPG_LPG"))</f>
        <v>0</v>
      </c>
      <c r="F10" s="426"/>
      <c r="G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CS_DIESEL")))*(1-$C$35)</f>
        <v>0</v>
      </c>
      <c r="H10" s="866">
        <f>(vkm_SW_PW*SUMIFS(TableVerdeelsleutelVkm[PETROL],TableVerdeelsleutelVkm[Voertuigtype],"Lichte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CS_PETROL")))*(1-$C$42)</f>
        <v>0</v>
      </c>
      <c r="I10" s="424"/>
      <c r="J10" s="424"/>
      <c r="K10" s="424"/>
      <c r="L10" s="424"/>
      <c r="M10" s="424">
        <f>(vkm_SW_PW*SUMIFS(TableVerdeelsleutelVkm[DIESEL],TableVerdeelsleutelVkm[Voertuigtype],"Lichte voertuigen")*SUMIFS(TableECFTransport[EnergieConsumptieFactor (PJ per km)],TableECFTransport[Index],CONCATENATE($A10,"_DIESEL_DIESEL"))
+vkm_SW_PW*SUMIFS(TableVerdeelsleutelVkm[DIESEL HYBRID PHEV],TableVerdeelsleutelVkm[Voertuigtype],"Lichte voertuigen")*SUMIFS(TableECFTransport[EnergieConsumptieFactor (PJ per km)],TableECFTransport[Index],CONCATENATE($A10,"_DIESEL HYBRID PHEV_DIESEL"))
+vkm_SW_PW*SUMIFS(TableVerdeelsleutelVkm[DIESEL HYBRID CS],TableVerdeelsleutelVkm[Voertuigtype],"Lichte voertuigen")*SUMIFS(TableECFTransport[EnergieConsumptieFactor (PJ per km)],TableECFTransport[Index],CONCATENATE($A10,"_DIESEL HYBRID CS_DIESEL")))*($C$35)
+(vkm_SW_PW*SUMIFS(TableVerdeelsleutelVkm[PETROL],TableVerdeelsleutelVkm[Voertuigtype],"Lichte voertuigen")*SUMIFS(TableECFTransport[EnergieConsumptieFactor (PJ per km)],TableECFTransport[Index],CONCATENATE($A10,"_PETROL_PETROL"))
+vkm_SW_PW*SUMIFS(TableVerdeelsleutelVkm[PETROL HYBRID PHEV],TableVerdeelsleutelVkm[Voertuigtype],"Lichte voertuigen")*SUMIFS(TableECFTransport[EnergieConsumptieFactor (PJ per km)],TableECFTransport[Index],CONCATENATE($A10,"_PETROL HYBRID PHEV_PETROL"))
+vkm_SW_PW*SUMIFS(TableVerdeelsleutelVkm[PETROL HYBRID CS],TableVerdeelsleutelVkm[Voertuigtype],"Lichte voertuigen")*SUMIFS(TableECFTransport[EnergieConsumptieFactor (PJ per km)],TableECFTransport[Index],CONCATENATE($A10,"_PETROL HYBRID CS_PETROL")))*($C$42)</f>
        <v>0</v>
      </c>
      <c r="N10" s="424"/>
      <c r="O10" s="424"/>
      <c r="P10" s="425"/>
      <c r="R10" s="863"/>
    </row>
    <row r="11" spans="1:18">
      <c r="A11" s="4" t="s">
        <v>716</v>
      </c>
      <c r="B11" s="427">
        <f>vkm_SW_ZV*SUMIFS(TableVerdeelsleutelVkm[ELECTRIC],TableVerdeelsleutelVkm[Voertuigtype],"Zware voertuigen")*SUMIFS(TableECFTransport[EnergieConsumptieFactor (PJ per km)],TableECFTransport[Index],CONCATENATE($A11,"_ELECTRIC_ELECTRIC"))
+vkm_SW_ZV*SUMIFS(TableVerdeelsleutelVkm[DIESEL HYBRID PHEV],TableVerdeelsleutelVkm[Voertuigtype],"Zware voertuigen")*SUMIFS(TableECFTransport[EnergieConsumptieFactor (PJ per km)],TableECFTransport[Index],CONCATENATE($A11,"_DIESEL HYBRID PHEV_ELECTRIC"))
+vkm_SW_ZV*SUMIFS(TableVerdeelsleutelVkm[PETROL HYBRID PHEV],TableVerdeelsleutelVkm[Voertuigtype],"Zware voertuigen")*SUMIFS(TableECFTransport[EnergieConsumptieFactor (PJ per km)],TableECFTransport[Index],CONCATENATE($A11,"_PETROL HYBRID PHEV_ELECTRIC"))</f>
        <v>0</v>
      </c>
      <c r="C11" s="427"/>
      <c r="D11" s="428">
        <f>vkm_SW_ZV*SUMIFS(TableVerdeelsleutelVkm[CNG],TableVerdeelsleutelVkm[Voertuigtype],"Zware voertuigen")*SUMIFS(TableECFTransport[EnergieConsumptieFactor (PJ per km)],TableECFTransport[Index],CONCATENATE($A11,"_CNG_CNG"))</f>
        <v>0</v>
      </c>
      <c r="E11" s="428">
        <f>vkm_SW_ZV*SUMIFS(TableVerdeelsleutelVkm[LPG],TableVerdeelsleutelVkm[Voertuigtype],"Zware voertuigen")*SUMIFS(TableECFTransport[EnergieConsumptieFactor (PJ per km)],TableECFTransport[Index],CONCATENATE($A11,"_LPG_LPG"))</f>
        <v>0</v>
      </c>
      <c r="F11" s="428"/>
      <c r="G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CS_DIESEL")))*(1-$C$35)</f>
        <v>0</v>
      </c>
      <c r="H11" s="867">
        <f>(vkm_SW_ZV*SUMIFS(TableVerdeelsleutelVkm[PETROL],TableVerdeelsleutelVkm[Voertuigtype],"Zware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CS_PETROL")))*(1-$C$42)</f>
        <v>0</v>
      </c>
      <c r="I11" s="427"/>
      <c r="J11" s="427"/>
      <c r="K11" s="427"/>
      <c r="L11" s="427"/>
      <c r="M11" s="427">
        <f>(vkm_SW_ZV*SUMIFS(TableVerdeelsleutelVkm[DIESEL],TableVerdeelsleutelVkm[Voertuigtype],"Zware voertuigen")*SUMIFS(TableECFTransport[EnergieConsumptieFactor (PJ per km)],TableECFTransport[Index],CONCATENATE($A11,"_DIESEL_DIESEL"))
+vkm_SW_ZV*SUMIFS(TableVerdeelsleutelVkm[DIESEL HYBRID PHEV],TableVerdeelsleutelVkm[Voertuigtype],"Zware voertuigen")*SUMIFS(TableECFTransport[EnergieConsumptieFactor (PJ per km)],TableECFTransport[Index],CONCATENATE($A11,"_DIESEL HYBRID PHEV_DIESEL"))
+vkm_SW_ZV*SUMIFS(TableVerdeelsleutelVkm[DIESEL HYBRID CS],TableVerdeelsleutelVkm[Voertuigtype],"Zware voertuigen")*SUMIFS(TableECFTransport[EnergieConsumptieFactor (PJ per km)],TableECFTransport[Index],CONCATENATE($A11,"_DIESEL HYBRID CS_DIESEL")))*($C$35)
+(vkm_SW_ZV*SUMIFS(TableVerdeelsleutelVkm[PETROL],TableVerdeelsleutelVkm[Voertuigtype],"Zware voertuigen")*SUMIFS(TableECFTransport[EnergieConsumptieFactor (PJ per km)],TableECFTransport[Index],CONCATENATE($A11,"_PETROL_PETROL"))
+vkm_SW_ZV*SUMIFS(TableVerdeelsleutelVkm[PETROL HYBRID PHEV],TableVerdeelsleutelVkm[Voertuigtype],"Zware voertuigen")*SUMIFS(TableECFTransport[EnergieConsumptieFactor (PJ per km)],TableECFTransport[Index],CONCATENATE($A11,"_PETROL HYBRID PHEV_PETROL"))
+vkm_SW_ZV*SUMIFS(TableVerdeelsleutelVkm[PETROL HYBRID CS],TableVerdeelsleutelVkm[Voertuigtype],"Zware voertuigen")*SUMIFS(TableECFTransport[EnergieConsumptieFactor (PJ per km)],TableECFTransport[Index],CONCATENATE($A11,"_PETROL HYBRID CS_PETROL")))*($C$42)</f>
        <v>0</v>
      </c>
      <c r="N11" s="427"/>
      <c r="O11" s="427"/>
      <c r="P11" s="429"/>
      <c r="R11" s="863"/>
    </row>
    <row r="12" spans="1:18">
      <c r="A12" s="329" t="s">
        <v>553</v>
      </c>
      <c r="B12" s="437">
        <f>('Eigen vloot'!B27)*(-1)</f>
        <v>0</v>
      </c>
      <c r="C12" s="437"/>
      <c r="D12" s="437">
        <f>('Eigen vloot'!D27)*(-1)</f>
        <v>0</v>
      </c>
      <c r="E12" s="437">
        <f>('Eigen vloot'!E27)*(-1)</f>
        <v>0</v>
      </c>
      <c r="F12" s="430"/>
      <c r="G12" s="437">
        <f>('Eigen vloot'!G27)*(-1)</f>
        <v>0</v>
      </c>
      <c r="H12" s="437">
        <f>('Eigen vloot'!H27)*(-1)</f>
        <v>0</v>
      </c>
      <c r="I12" s="437"/>
      <c r="J12" s="437"/>
      <c r="K12" s="437"/>
      <c r="L12" s="437"/>
      <c r="M12" s="437">
        <f>('Eigen vloot'!M27)*(-1)</f>
        <v>0</v>
      </c>
      <c r="N12" s="437"/>
      <c r="O12" s="437"/>
      <c r="P12" s="440"/>
    </row>
    <row r="13" spans="1:18">
      <c r="B13" s="11"/>
      <c r="C13" s="55"/>
      <c r="D13" s="55"/>
      <c r="E13" s="55"/>
      <c r="F13" s="55"/>
      <c r="G13" s="11"/>
      <c r="H13" s="11"/>
      <c r="I13" s="10"/>
      <c r="J13" s="11"/>
      <c r="K13" s="11"/>
      <c r="L13" s="11"/>
      <c r="M13" s="11"/>
      <c r="N13" s="11"/>
      <c r="O13" s="11"/>
      <c r="P13" s="11"/>
    </row>
    <row r="14" spans="1:18" s="15" customFormat="1">
      <c r="A14" s="20" t="s">
        <v>337</v>
      </c>
      <c r="B14" s="21">
        <f>((B5)*10^9/3600)+B12</f>
        <v>3.5747683688102909</v>
      </c>
      <c r="C14" s="21"/>
      <c r="D14" s="21">
        <f t="shared" ref="D14:M14" si="0">((D5)*10^9/3600)+D12</f>
        <v>6.6231779024519835</v>
      </c>
      <c r="E14" s="21">
        <f t="shared" si="0"/>
        <v>63.667553961624527</v>
      </c>
      <c r="F14" s="21"/>
      <c r="G14" s="21">
        <f t="shared" si="0"/>
        <v>17934.412049643059</v>
      </c>
      <c r="H14" s="21">
        <f t="shared" si="0"/>
        <v>4036.5178519500059</v>
      </c>
      <c r="I14" s="21"/>
      <c r="J14" s="21"/>
      <c r="K14" s="21"/>
      <c r="L14" s="21"/>
      <c r="M14" s="21">
        <f t="shared" si="0"/>
        <v>1162.911497685908</v>
      </c>
      <c r="N14" s="21"/>
      <c r="O14" s="21"/>
      <c r="P14" s="21"/>
      <c r="R14" s="32"/>
    </row>
    <row r="15" spans="1:18" s="15" customFormat="1">
      <c r="A15" s="42"/>
      <c r="B15" s="54"/>
      <c r="C15" s="54"/>
      <c r="D15" s="54"/>
      <c r="E15" s="54"/>
      <c r="F15" s="54"/>
      <c r="G15" s="54"/>
      <c r="H15" s="54"/>
      <c r="I15" s="54"/>
      <c r="J15" s="54"/>
      <c r="K15" s="54"/>
      <c r="L15" s="54"/>
      <c r="M15" s="54"/>
      <c r="N15" s="54"/>
      <c r="O15" s="54"/>
      <c r="P15" s="54"/>
      <c r="R15" s="32"/>
    </row>
    <row r="16" spans="1:18">
      <c r="A16" s="24" t="s">
        <v>213</v>
      </c>
      <c r="B16" s="56">
        <f ca="1">'EF ele_warmte'!B12</f>
        <v>0.19834478833015273</v>
      </c>
      <c r="C16" s="56">
        <f ca="1">'EF ele_warmte'!B22</f>
        <v>0</v>
      </c>
      <c r="D16" s="25">
        <f>EF_CO2_aardgas</f>
        <v>0.20200000000000001</v>
      </c>
      <c r="E16" s="25">
        <f>EF_VLgas_CO2</f>
        <v>0.22700000000000001</v>
      </c>
      <c r="F16" s="25">
        <f>EF_stookolie_CO2</f>
        <v>0.26700000000000002</v>
      </c>
      <c r="G16" s="25">
        <f>EF_diesel_CO2</f>
        <v>0.26700000000000002</v>
      </c>
      <c r="H16" s="25">
        <f>EF_benzine_CO2</f>
        <v>0.249</v>
      </c>
      <c r="I16" s="25">
        <f>EF_bruinkool_CO2</f>
        <v>0.35099999999999998</v>
      </c>
      <c r="J16" s="25">
        <f>EF_steenkool_CO2</f>
        <v>0.35399999999999998</v>
      </c>
      <c r="K16" s="25">
        <f>EF_anderfossiel_CO2</f>
        <v>0.26400000000000001</v>
      </c>
      <c r="L16" s="56">
        <f>'EF brandstof'!J4</f>
        <v>0</v>
      </c>
      <c r="M16" s="56">
        <f>'EF brandstof'!K4</f>
        <v>0</v>
      </c>
      <c r="N16" s="56">
        <f>'EF brandstof'!L4</f>
        <v>0</v>
      </c>
      <c r="O16" s="57"/>
      <c r="P16" s="57"/>
    </row>
    <row r="17" spans="1:18" s="15" customFormat="1">
      <c r="A17" s="42"/>
      <c r="B17" s="54"/>
      <c r="C17" s="54"/>
      <c r="D17" s="54"/>
      <c r="E17" s="54"/>
      <c r="F17" s="54"/>
      <c r="G17" s="54"/>
      <c r="H17" s="54"/>
      <c r="I17" s="54"/>
      <c r="J17" s="54"/>
      <c r="K17" s="54"/>
      <c r="L17" s="54"/>
      <c r="M17" s="54"/>
      <c r="N17" s="54"/>
      <c r="O17" s="54"/>
      <c r="P17" s="54"/>
      <c r="R17" s="32"/>
    </row>
    <row r="18" spans="1:18" s="15" customFormat="1">
      <c r="A18" s="20" t="s">
        <v>339</v>
      </c>
      <c r="B18" s="23">
        <f ca="1">B14*B16</f>
        <v>0.70903667544100246</v>
      </c>
      <c r="C18" s="23"/>
      <c r="D18" s="23">
        <f t="shared" ref="D18:M18" si="1">D14*D16</f>
        <v>1.3378819362953007</v>
      </c>
      <c r="E18" s="23">
        <f t="shared" si="1"/>
        <v>14.452534749288768</v>
      </c>
      <c r="F18" s="23"/>
      <c r="G18" s="23">
        <f t="shared" si="1"/>
        <v>4788.4880172546973</v>
      </c>
      <c r="H18" s="23">
        <f t="shared" si="1"/>
        <v>1005.0929451355514</v>
      </c>
      <c r="I18" s="23"/>
      <c r="J18" s="23"/>
      <c r="K18" s="23"/>
      <c r="L18" s="23"/>
      <c r="M18" s="23">
        <f t="shared" si="1"/>
        <v>0</v>
      </c>
      <c r="N18" s="23"/>
      <c r="O18" s="23"/>
      <c r="P18" s="23"/>
    </row>
    <row r="19" spans="1:18" s="15" customFormat="1">
      <c r="A19" s="42"/>
      <c r="B19" s="309"/>
      <c r="C19" s="54"/>
      <c r="D19" s="54"/>
      <c r="E19" s="54"/>
      <c r="F19" s="54"/>
      <c r="G19" s="54"/>
      <c r="H19" s="54"/>
      <c r="I19" s="54"/>
      <c r="J19" s="54"/>
      <c r="K19" s="54"/>
      <c r="L19" s="54"/>
      <c r="M19" s="54"/>
      <c r="N19" s="54"/>
      <c r="O19" s="54"/>
      <c r="P19" s="54"/>
      <c r="R19" s="32"/>
    </row>
    <row r="20" spans="1:18">
      <c r="A20" s="1"/>
      <c r="B20" s="1"/>
      <c r="E20" s="754"/>
    </row>
    <row r="21" spans="1:18">
      <c r="A21" s="262" t="s">
        <v>504</v>
      </c>
      <c r="B21" s="263"/>
      <c r="C21" s="264"/>
      <c r="D21" s="264"/>
      <c r="E21" s="264"/>
      <c r="F21" s="264"/>
      <c r="G21" s="264"/>
      <c r="H21" s="264"/>
      <c r="I21" s="264"/>
      <c r="J21" s="264"/>
      <c r="K21" s="264"/>
      <c r="L21" s="264"/>
      <c r="M21" s="264"/>
      <c r="N21" s="265"/>
    </row>
    <row r="22" spans="1:18">
      <c r="A22" s="259"/>
      <c r="B22" s="260"/>
      <c r="C22" s="43"/>
      <c r="D22" s="43"/>
      <c r="E22" s="43"/>
      <c r="F22" s="43"/>
      <c r="G22" s="43"/>
      <c r="H22" s="43"/>
      <c r="I22" s="43"/>
      <c r="J22" s="43"/>
      <c r="K22" s="43"/>
      <c r="L22" s="43"/>
      <c r="M22" s="43"/>
      <c r="N22" s="174"/>
    </row>
    <row r="23" spans="1:18">
      <c r="A23" s="267" t="s">
        <v>307</v>
      </c>
      <c r="B23" s="900" t="s">
        <v>308</v>
      </c>
      <c r="C23" s="900" t="s">
        <v>717</v>
      </c>
      <c r="D23" s="900" t="s">
        <v>718</v>
      </c>
      <c r="E23" s="900" t="s">
        <v>719</v>
      </c>
      <c r="F23" s="900" t="s">
        <v>663</v>
      </c>
      <c r="G23" s="900" t="s">
        <v>720</v>
      </c>
      <c r="H23" s="900" t="s">
        <v>721</v>
      </c>
      <c r="I23" s="900" t="s">
        <v>118</v>
      </c>
      <c r="J23" s="900" t="s">
        <v>722</v>
      </c>
      <c r="K23" s="900" t="s">
        <v>723</v>
      </c>
      <c r="L23" s="901" t="s">
        <v>724</v>
      </c>
      <c r="M23" s="129" t="s">
        <v>181</v>
      </c>
      <c r="N23" s="268" t="s">
        <v>315</v>
      </c>
    </row>
    <row r="24" spans="1:18">
      <c r="A24" s="32" t="s">
        <v>709</v>
      </c>
      <c r="B24" s="1054">
        <v>2.8345900000000001E-4</v>
      </c>
      <c r="C24" s="1054">
        <v>0.78776956200000003</v>
      </c>
      <c r="D24" s="1055"/>
      <c r="E24" s="1054"/>
      <c r="F24" s="1054"/>
      <c r="G24" s="1054">
        <v>4.7918899999999998E-4</v>
      </c>
      <c r="H24" s="1055"/>
      <c r="I24" s="1055">
        <v>3.1133409999999999E-3</v>
      </c>
      <c r="J24" s="1055">
        <v>0.20571004300000001</v>
      </c>
      <c r="K24" s="1055">
        <v>3.1235949999999998E-3</v>
      </c>
      <c r="M24" s="1061" t="s">
        <v>892</v>
      </c>
      <c r="N24" s="865">
        <f>SUM(B24:K24)</f>
        <v>1.000479189</v>
      </c>
      <c r="O24" s="863" t="s">
        <v>664</v>
      </c>
    </row>
    <row r="25" spans="1:18">
      <c r="A25" s="32" t="s">
        <v>710</v>
      </c>
      <c r="B25" s="1055"/>
      <c r="C25" s="1054">
        <v>0.99997128800000001</v>
      </c>
      <c r="D25" s="1055"/>
      <c r="E25" s="1055"/>
      <c r="F25" s="1054"/>
      <c r="G25" s="1055"/>
      <c r="H25" s="1055"/>
      <c r="I25" s="1055"/>
      <c r="J25" s="1055">
        <v>2.87124E-5</v>
      </c>
      <c r="K25" s="1055"/>
      <c r="M25" s="1061" t="s">
        <v>892</v>
      </c>
      <c r="N25" s="270">
        <f>SUM(B25:K25)</f>
        <v>1.0000000004</v>
      </c>
    </row>
    <row r="26" spans="1:18">
      <c r="A26" s="240"/>
      <c r="B26" s="180"/>
      <c r="C26" s="180"/>
      <c r="D26" s="180"/>
      <c r="E26" s="180"/>
      <c r="F26" s="180"/>
      <c r="G26" s="180"/>
      <c r="H26" s="180"/>
      <c r="I26" s="180"/>
      <c r="J26" s="180"/>
      <c r="K26" s="180"/>
      <c r="L26" s="178"/>
      <c r="M26" s="178"/>
      <c r="N26" s="176"/>
    </row>
    <row r="27" spans="1:18" s="43" customFormat="1"/>
    <row r="28" spans="1:18">
      <c r="A28" s="262" t="s">
        <v>505</v>
      </c>
      <c r="B28" s="264"/>
      <c r="C28" s="264"/>
      <c r="D28" s="264"/>
      <c r="E28" s="264"/>
      <c r="F28" s="264"/>
      <c r="G28" s="264"/>
      <c r="H28" s="264"/>
      <c r="I28" s="264"/>
      <c r="J28" s="264"/>
      <c r="K28" s="264"/>
      <c r="L28" s="265"/>
    </row>
    <row r="29" spans="1:18">
      <c r="A29" s="261"/>
      <c r="B29" s="266"/>
      <c r="C29" s="266"/>
      <c r="D29" s="266"/>
      <c r="E29" s="266"/>
      <c r="F29" s="43"/>
      <c r="G29" s="43"/>
      <c r="H29" s="43"/>
      <c r="I29" s="43"/>
      <c r="J29" s="43"/>
      <c r="K29" s="43"/>
      <c r="L29" s="174"/>
    </row>
    <row r="30" spans="1:18">
      <c r="A30" s="422" t="s">
        <v>201</v>
      </c>
      <c r="B30" s="274" t="s">
        <v>317</v>
      </c>
      <c r="C30" s="862">
        <v>2014</v>
      </c>
      <c r="D30" s="274" t="s">
        <v>318</v>
      </c>
      <c r="E30" s="243" t="s">
        <v>181</v>
      </c>
      <c r="F30" s="271"/>
      <c r="G30" s="243"/>
      <c r="H30" s="243"/>
      <c r="I30" s="243"/>
      <c r="J30" s="243"/>
      <c r="K30" s="243"/>
      <c r="L30" s="272"/>
    </row>
    <row r="31" spans="1:18">
      <c r="A31" s="275" t="s">
        <v>319</v>
      </c>
      <c r="B31" s="276"/>
      <c r="F31" s="53"/>
      <c r="G31" s="43"/>
      <c r="H31" s="43"/>
      <c r="I31" s="43"/>
      <c r="J31" s="43"/>
      <c r="K31" s="43"/>
      <c r="L31" s="174"/>
    </row>
    <row r="32" spans="1:18">
      <c r="A32" s="277" t="s">
        <v>320</v>
      </c>
      <c r="B32" s="278"/>
      <c r="F32" s="53"/>
      <c r="G32" s="43"/>
      <c r="H32" s="43"/>
      <c r="I32" s="43"/>
      <c r="J32" s="43"/>
      <c r="K32" s="43"/>
      <c r="L32" s="174"/>
    </row>
    <row r="33" spans="1:16">
      <c r="A33" s="277" t="s">
        <v>321</v>
      </c>
      <c r="B33" s="279"/>
      <c r="F33" s="53"/>
      <c r="G33" s="43"/>
      <c r="H33" s="43"/>
      <c r="I33" s="43"/>
      <c r="J33" s="43"/>
      <c r="K33" s="43"/>
      <c r="L33" s="174"/>
    </row>
    <row r="34" spans="1:16">
      <c r="A34" s="277" t="s">
        <v>322</v>
      </c>
      <c r="B34" s="279"/>
      <c r="F34" s="53"/>
      <c r="G34" s="43"/>
      <c r="H34" s="43"/>
      <c r="I34" s="43"/>
      <c r="J34" s="43"/>
      <c r="K34" s="43"/>
      <c r="L34" s="174"/>
    </row>
    <row r="35" spans="1:16">
      <c r="A35" s="277" t="s">
        <v>323</v>
      </c>
      <c r="B35" s="279"/>
      <c r="C35" s="281">
        <v>5.4800000000000001E-2</v>
      </c>
      <c r="D35" s="58"/>
      <c r="E35" s="1065" t="s">
        <v>894</v>
      </c>
      <c r="F35" s="53"/>
      <c r="G35" s="43"/>
      <c r="H35" s="43"/>
      <c r="I35" s="43"/>
      <c r="J35" s="43"/>
      <c r="K35" s="43"/>
      <c r="L35" s="174"/>
    </row>
    <row r="36" spans="1:16">
      <c r="A36" s="261"/>
      <c r="B36" s="43"/>
      <c r="C36" s="43"/>
      <c r="D36" s="43"/>
      <c r="E36" s="154"/>
      <c r="F36" s="53"/>
      <c r="G36" s="43"/>
      <c r="H36" s="43"/>
      <c r="I36" s="43"/>
      <c r="J36" s="43"/>
      <c r="K36" s="43"/>
      <c r="L36" s="174"/>
    </row>
    <row r="37" spans="1:16">
      <c r="A37" s="422" t="s">
        <v>119</v>
      </c>
      <c r="B37" s="274" t="s">
        <v>317</v>
      </c>
      <c r="C37" s="862">
        <v>2014</v>
      </c>
      <c r="D37" s="274" t="s">
        <v>318</v>
      </c>
      <c r="E37" s="898" t="s">
        <v>181</v>
      </c>
      <c r="F37" s="284"/>
      <c r="G37" s="267"/>
      <c r="H37" s="267"/>
      <c r="I37" s="267"/>
      <c r="J37" s="267"/>
      <c r="K37" s="267"/>
      <c r="L37" s="268"/>
    </row>
    <row r="38" spans="1:16">
      <c r="A38" s="277" t="s">
        <v>324</v>
      </c>
      <c r="B38" s="278"/>
      <c r="F38" s="280"/>
      <c r="G38" s="58"/>
      <c r="H38" s="58"/>
      <c r="I38" s="58"/>
      <c r="J38" s="58"/>
      <c r="K38" s="58"/>
      <c r="L38" s="282"/>
    </row>
    <row r="39" spans="1:16">
      <c r="A39" s="277" t="s">
        <v>325</v>
      </c>
      <c r="B39" s="278"/>
      <c r="F39" s="280"/>
      <c r="G39" s="58"/>
      <c r="H39" s="58"/>
      <c r="I39" s="58"/>
      <c r="J39" s="58"/>
      <c r="K39" s="58"/>
      <c r="L39" s="282"/>
    </row>
    <row r="40" spans="1:16">
      <c r="A40" s="277" t="s">
        <v>321</v>
      </c>
      <c r="B40" s="279"/>
      <c r="F40" s="58"/>
      <c r="G40" s="58"/>
      <c r="H40" s="58"/>
      <c r="I40" s="58"/>
      <c r="J40" s="58"/>
      <c r="K40" s="58"/>
      <c r="L40" s="282"/>
    </row>
    <row r="41" spans="1:16">
      <c r="A41" s="277" t="s">
        <v>326</v>
      </c>
      <c r="B41" s="279"/>
      <c r="F41" s="58"/>
      <c r="G41" s="58"/>
      <c r="H41" s="58"/>
      <c r="I41" s="58"/>
      <c r="J41" s="58"/>
      <c r="K41" s="58"/>
      <c r="L41" s="282"/>
    </row>
    <row r="42" spans="1:16">
      <c r="A42" s="277" t="s">
        <v>323</v>
      </c>
      <c r="B42" s="279"/>
      <c r="C42" s="281">
        <v>2.9600000000000001E-2</v>
      </c>
      <c r="D42" s="280"/>
      <c r="E42" t="str">
        <f>E35</f>
        <v>Data VMM maart 2020</v>
      </c>
      <c r="F42" s="58"/>
      <c r="G42" s="283"/>
      <c r="H42" s="58"/>
      <c r="I42" s="58"/>
      <c r="J42" s="58"/>
      <c r="K42" s="58"/>
      <c r="L42" s="282"/>
    </row>
    <row r="43" spans="1:16">
      <c r="A43" s="4"/>
      <c r="B43" s="178"/>
      <c r="C43" s="178"/>
      <c r="D43" s="178"/>
      <c r="E43" s="178"/>
      <c r="F43" s="178"/>
      <c r="G43" s="178"/>
      <c r="H43" s="178"/>
      <c r="I43" s="178"/>
      <c r="J43" s="178"/>
      <c r="K43" s="178"/>
      <c r="L43" s="176"/>
    </row>
    <row r="44" spans="1:16" s="43" customFormat="1"/>
    <row r="45" spans="1:16" s="43" customFormat="1" ht="15.75" thickBot="1">
      <c r="A45" s="178"/>
      <c r="B45" s="178"/>
      <c r="C45" s="178"/>
      <c r="D45" s="178"/>
      <c r="E45" s="178"/>
      <c r="F45" s="178"/>
      <c r="G45" s="178"/>
      <c r="H45" s="178"/>
      <c r="I45" s="178"/>
      <c r="J45" s="178"/>
      <c r="K45" s="178"/>
      <c r="L45" s="178"/>
    </row>
    <row r="46" spans="1:16" s="15" customFormat="1" ht="17.25" thickTop="1" thickBot="1">
      <c r="A46" s="1223" t="s">
        <v>503</v>
      </c>
      <c r="B46" s="1224" t="s">
        <v>554</v>
      </c>
      <c r="C46" s="1225"/>
      <c r="D46" s="1225"/>
      <c r="E46" s="1225"/>
      <c r="F46" s="1225"/>
      <c r="G46" s="1225"/>
      <c r="H46" s="1225"/>
      <c r="I46" s="1225"/>
      <c r="J46" s="1225"/>
      <c r="K46" s="1225"/>
      <c r="L46" s="1225"/>
      <c r="M46" s="1225"/>
      <c r="N46" s="1225"/>
      <c r="O46" s="1225"/>
      <c r="P46" s="1225"/>
    </row>
    <row r="47" spans="1:16" s="15" customFormat="1" ht="15.75" thickTop="1">
      <c r="A47" s="1223"/>
      <c r="B47" s="1226" t="s">
        <v>20</v>
      </c>
      <c r="C47" s="1226" t="s">
        <v>195</v>
      </c>
      <c r="D47" s="1228" t="s">
        <v>196</v>
      </c>
      <c r="E47" s="1229"/>
      <c r="F47" s="1229"/>
      <c r="G47" s="1229"/>
      <c r="H47" s="1229"/>
      <c r="I47" s="1229"/>
      <c r="J47" s="1229"/>
      <c r="K47" s="1230"/>
      <c r="L47" s="1228" t="s">
        <v>197</v>
      </c>
      <c r="M47" s="1229"/>
      <c r="N47" s="1229"/>
      <c r="O47" s="1229"/>
      <c r="P47" s="1230"/>
    </row>
    <row r="48" spans="1:16" s="15" customFormat="1" ht="45">
      <c r="A48" s="1223"/>
      <c r="B48" s="1227"/>
      <c r="C48" s="1227"/>
      <c r="D48" s="12" t="s">
        <v>198</v>
      </c>
      <c r="E48" s="12" t="s">
        <v>199</v>
      </c>
      <c r="F48" s="12" t="s">
        <v>200</v>
      </c>
      <c r="G48" s="12" t="s">
        <v>201</v>
      </c>
      <c r="H48" s="12" t="s">
        <v>119</v>
      </c>
      <c r="I48" s="12" t="s">
        <v>202</v>
      </c>
      <c r="J48" s="12" t="s">
        <v>203</v>
      </c>
      <c r="K48" s="12" t="s">
        <v>204</v>
      </c>
      <c r="L48" s="12" t="s">
        <v>205</v>
      </c>
      <c r="M48" s="12" t="s">
        <v>206</v>
      </c>
      <c r="N48" s="12" t="s">
        <v>207</v>
      </c>
      <c r="O48" s="12" t="s">
        <v>208</v>
      </c>
      <c r="P48" s="12" t="s">
        <v>209</v>
      </c>
    </row>
    <row r="49" spans="1:18" s="15" customFormat="1">
      <c r="A49" s="42"/>
      <c r="B49" s="54"/>
      <c r="C49" s="54"/>
      <c r="D49" s="54"/>
      <c r="E49" s="54"/>
      <c r="F49" s="54"/>
      <c r="G49" s="54"/>
      <c r="H49" s="54"/>
      <c r="I49" s="54"/>
      <c r="J49" s="54"/>
      <c r="K49" s="54"/>
      <c r="L49" s="54"/>
      <c r="M49" s="54"/>
      <c r="N49" s="54"/>
      <c r="O49" s="54"/>
      <c r="P49" s="54"/>
      <c r="R49" s="32"/>
    </row>
    <row r="50" spans="1:18" s="297" customFormat="1">
      <c r="A50" s="296" t="s">
        <v>331</v>
      </c>
      <c r="B50" s="319">
        <f>SUM(B51:B52)</f>
        <v>0</v>
      </c>
      <c r="C50" s="319">
        <f t="shared" ref="C50:P50" si="2">SUM(C51:C52)</f>
        <v>0</v>
      </c>
      <c r="D50" s="319">
        <f t="shared" si="2"/>
        <v>0</v>
      </c>
      <c r="E50" s="319">
        <f t="shared" si="2"/>
        <v>0</v>
      </c>
      <c r="F50" s="319">
        <f t="shared" si="2"/>
        <v>0</v>
      </c>
      <c r="G50" s="319">
        <f t="shared" si="2"/>
        <v>2.353079926035115E-3</v>
      </c>
      <c r="H50" s="319">
        <f t="shared" si="2"/>
        <v>0</v>
      </c>
      <c r="I50" s="319">
        <f t="shared" si="2"/>
        <v>0</v>
      </c>
      <c r="J50" s="319">
        <f t="shared" si="2"/>
        <v>0</v>
      </c>
      <c r="K50" s="319">
        <f t="shared" si="2"/>
        <v>0</v>
      </c>
      <c r="L50" s="319">
        <f t="shared" si="2"/>
        <v>0</v>
      </c>
      <c r="M50" s="319">
        <f t="shared" si="2"/>
        <v>1.3449488648423205E-4</v>
      </c>
      <c r="N50" s="319">
        <f t="shared" si="2"/>
        <v>0</v>
      </c>
      <c r="O50" s="319">
        <f t="shared" si="2"/>
        <v>0</v>
      </c>
      <c r="P50" s="320">
        <f t="shared" si="2"/>
        <v>0</v>
      </c>
    </row>
    <row r="51" spans="1:18">
      <c r="A51" s="261" t="s">
        <v>330</v>
      </c>
      <c r="B51" s="321"/>
      <c r="C51" s="322"/>
      <c r="D51" s="322"/>
      <c r="E51" s="322"/>
      <c r="F51" s="322"/>
      <c r="G51" s="321">
        <f>vkm_bus
*($B$64*(SUMIFS(TableECFTransport[EnergieConsumptieFactor (PJ per km)],TableECFTransport[Index],"BUS_Niet-genummerde wegen_DIESEL_DIESEL")*0.5+SUMIFS(TableECFTransport[EnergieConsumptieFactor (PJ per km)],TableECFTransport[Index],"BUS_Genummerde wegen_DIESEL_DIESEL")*0.5)
+$B$65*(SUMIFS(TableECFTransport[EnergieConsumptieFactor (PJ per km)],TableECFTransport[Index],"BUS_Niet-genummerde wegen_DIESEL HYBRID CS_DIESEL")*0.5+SUMIFS(TableECFTransport[EnergieConsumptieFactor (PJ per km)],TableECFTransport[Index],"BUS_Genummerde wegen_DIESEL HYBRID CS_DIESEL")*0.5))
*(1-$C$78)</f>
        <v>2.353079926035115E-3</v>
      </c>
      <c r="H51" s="321"/>
      <c r="I51" s="323"/>
      <c r="J51" s="321"/>
      <c r="K51" s="321"/>
      <c r="L51" s="321"/>
      <c r="M51" s="321">
        <f>vkm_bus
*($B$64*(SUMIFS(TableECFTransport[EnergieConsumptieFactor (PJ per km)],TableECFTransport[Index],CONCATENATE("BUS_Niet-genummerde wegen_DIESEL_DIESEL"))*0.5+SUMIFS(TableECFTransport[EnergieConsumptieFactor (PJ per km)],TableECFTransport[Index],CONCATENATE("BUS_Genummerde wegen_DIESEL_DIESEL"))*0.5)
+$B$65*(SUMIFS(TableECFTransport[EnergieConsumptieFactor (PJ per km)],TableECFTransport[Index],CONCATENATE("BUS_Niet-genummerde wegen_DIESEL HYBRIDE CS_DIESEL"))*0.5+SUMIFS(TableECFTransport[EnergieConsumptieFactor (PJ per km)],TableECFTransport[Index],CONCATENATE("BUS_Genummerde wegen_DIESEL_DIESEL"))*0.5))
*($C$78)</f>
        <v>1.3449488648423205E-4</v>
      </c>
      <c r="N51" s="321"/>
      <c r="O51" s="321"/>
      <c r="P51" s="324"/>
    </row>
    <row r="52" spans="1:18">
      <c r="A52" s="4" t="s">
        <v>329</v>
      </c>
      <c r="B52" s="867">
        <f>vkm_tram*SUMIFS(TableECFTransport[EnergieConsumptieFactor (PJ per km)],TableECFTransport[Index],"Tram_gemiddeld_Electric_Electric")</f>
        <v>0</v>
      </c>
      <c r="C52" s="326"/>
      <c r="D52" s="326"/>
      <c r="E52" s="326"/>
      <c r="F52" s="326"/>
      <c r="G52" s="325"/>
      <c r="H52" s="325"/>
      <c r="I52" s="327"/>
      <c r="J52" s="325"/>
      <c r="K52" s="325"/>
      <c r="L52" s="325"/>
      <c r="M52" s="325"/>
      <c r="N52" s="325"/>
      <c r="O52" s="325"/>
      <c r="P52" s="328"/>
    </row>
    <row r="53" spans="1:18">
      <c r="B53" s="11"/>
      <c r="C53" s="55"/>
      <c r="D53" s="55"/>
      <c r="E53" s="55"/>
      <c r="F53" s="55"/>
      <c r="G53" s="11"/>
      <c r="H53" s="11"/>
      <c r="I53" s="10"/>
      <c r="J53" s="11"/>
      <c r="K53" s="11"/>
      <c r="L53" s="11"/>
      <c r="M53" s="11"/>
      <c r="N53" s="11"/>
      <c r="O53" s="11"/>
      <c r="P53" s="11"/>
    </row>
    <row r="54" spans="1:18" s="15" customFormat="1">
      <c r="A54" s="20" t="s">
        <v>338</v>
      </c>
      <c r="B54" s="21">
        <f>(B50)*10^9/3600</f>
        <v>0</v>
      </c>
      <c r="C54" s="21">
        <f t="shared" ref="C54:P54" si="3">(C50)*10^9/3600</f>
        <v>0</v>
      </c>
      <c r="D54" s="21">
        <f t="shared" si="3"/>
        <v>0</v>
      </c>
      <c r="E54" s="21">
        <f t="shared" si="3"/>
        <v>0</v>
      </c>
      <c r="F54" s="21">
        <f t="shared" si="3"/>
        <v>0</v>
      </c>
      <c r="G54" s="21">
        <f t="shared" si="3"/>
        <v>653.63331278753196</v>
      </c>
      <c r="H54" s="21">
        <f t="shared" si="3"/>
        <v>0</v>
      </c>
      <c r="I54" s="21">
        <f t="shared" si="3"/>
        <v>0</v>
      </c>
      <c r="J54" s="21">
        <f t="shared" si="3"/>
        <v>0</v>
      </c>
      <c r="K54" s="21">
        <f t="shared" si="3"/>
        <v>0</v>
      </c>
      <c r="L54" s="21">
        <f t="shared" si="3"/>
        <v>0</v>
      </c>
      <c r="M54" s="21">
        <f t="shared" si="3"/>
        <v>37.359690690064461</v>
      </c>
      <c r="N54" s="21">
        <f t="shared" si="3"/>
        <v>0</v>
      </c>
      <c r="O54" s="21">
        <f t="shared" si="3"/>
        <v>0</v>
      </c>
      <c r="P54" s="21">
        <f t="shared" si="3"/>
        <v>0</v>
      </c>
      <c r="R54" s="32"/>
    </row>
    <row r="55" spans="1:18" s="32" customFormat="1">
      <c r="A55" s="42"/>
      <c r="B55" s="54"/>
      <c r="C55" s="54"/>
      <c r="D55" s="54"/>
      <c r="E55" s="54"/>
      <c r="F55" s="54"/>
      <c r="G55" s="54"/>
      <c r="H55" s="54"/>
      <c r="I55" s="54"/>
      <c r="J55" s="54"/>
      <c r="K55" s="54"/>
      <c r="L55" s="54"/>
      <c r="M55" s="54"/>
      <c r="N55" s="54"/>
      <c r="O55" s="54"/>
      <c r="P55" s="54"/>
    </row>
    <row r="56" spans="1:18">
      <c r="A56" s="24" t="s">
        <v>213</v>
      </c>
      <c r="B56" s="56">
        <f ca="1">'EF ele_warmte'!B12</f>
        <v>0.19834478833015273</v>
      </c>
      <c r="C56" s="56">
        <f ca="1">'EF ele_warmte'!B22</f>
        <v>0</v>
      </c>
      <c r="D56" s="25">
        <f>EF_CO2_aardgas</f>
        <v>0.20200000000000001</v>
      </c>
      <c r="E56" s="25">
        <f>EF_VLgas_CO2</f>
        <v>0.22700000000000001</v>
      </c>
      <c r="F56" s="25">
        <f>EF_stookolie_CO2</f>
        <v>0.26700000000000002</v>
      </c>
      <c r="G56" s="25">
        <f>EF_diesel_CO2</f>
        <v>0.26700000000000002</v>
      </c>
      <c r="H56" s="25">
        <f>EF_benzine_CO2</f>
        <v>0.249</v>
      </c>
      <c r="I56" s="25">
        <f>EF_bruinkool_CO2</f>
        <v>0.35099999999999998</v>
      </c>
      <c r="J56" s="25">
        <f>EF_steenkool_CO2</f>
        <v>0.35399999999999998</v>
      </c>
      <c r="K56" s="25">
        <f>EF_anderfossiel_CO2</f>
        <v>0.26400000000000001</v>
      </c>
      <c r="L56" s="56">
        <f>'EF brandstof'!J4</f>
        <v>0</v>
      </c>
      <c r="M56" s="56">
        <f>'EF brandstof'!K4</f>
        <v>0</v>
      </c>
      <c r="N56" s="56">
        <f>'EF brandstof'!L4</f>
        <v>0</v>
      </c>
      <c r="O56" s="57"/>
      <c r="P56" s="57"/>
    </row>
    <row r="57" spans="1:18">
      <c r="A57" s="1"/>
      <c r="B57" s="1"/>
    </row>
    <row r="58" spans="1:18" s="15" customFormat="1">
      <c r="A58" s="20" t="s">
        <v>340</v>
      </c>
      <c r="B58" s="23">
        <f ca="1">B54*B56</f>
        <v>0</v>
      </c>
      <c r="C58" s="23">
        <f t="shared" ref="C58:P58" ca="1" si="4">C54*C56</f>
        <v>0</v>
      </c>
      <c r="D58" s="23">
        <f t="shared" si="4"/>
        <v>0</v>
      </c>
      <c r="E58" s="23">
        <f t="shared" si="4"/>
        <v>0</v>
      </c>
      <c r="F58" s="23">
        <f t="shared" si="4"/>
        <v>0</v>
      </c>
      <c r="G58" s="23">
        <f t="shared" si="4"/>
        <v>174.52009451427105</v>
      </c>
      <c r="H58" s="23">
        <f t="shared" si="4"/>
        <v>0</v>
      </c>
      <c r="I58" s="23">
        <f t="shared" si="4"/>
        <v>0</v>
      </c>
      <c r="J58" s="23">
        <f t="shared" si="4"/>
        <v>0</v>
      </c>
      <c r="K58" s="23">
        <f t="shared" si="4"/>
        <v>0</v>
      </c>
      <c r="L58" s="23">
        <f t="shared" si="4"/>
        <v>0</v>
      </c>
      <c r="M58" s="23">
        <f t="shared" si="4"/>
        <v>0</v>
      </c>
      <c r="N58" s="23">
        <f t="shared" si="4"/>
        <v>0</v>
      </c>
      <c r="O58" s="23">
        <f t="shared" si="4"/>
        <v>0</v>
      </c>
      <c r="P58" s="23">
        <f t="shared" si="4"/>
        <v>0</v>
      </c>
    </row>
    <row r="59" spans="1:18">
      <c r="A59" s="1"/>
      <c r="B59" s="1"/>
    </row>
    <row r="60" spans="1:18">
      <c r="A60" s="1"/>
      <c r="B60" s="1"/>
    </row>
    <row r="61" spans="1:18">
      <c r="A61" s="262" t="s">
        <v>568</v>
      </c>
      <c r="B61" s="264"/>
      <c r="C61" s="265"/>
    </row>
    <row r="62" spans="1:18" s="15" customFormat="1">
      <c r="A62" s="292"/>
      <c r="B62" s="288"/>
      <c r="C62" s="293"/>
    </row>
    <row r="63" spans="1:18">
      <c r="A63" s="294"/>
      <c r="B63" s="133"/>
      <c r="C63" s="295" t="s">
        <v>181</v>
      </c>
    </row>
    <row r="64" spans="1:18">
      <c r="A64" s="286" t="s">
        <v>201</v>
      </c>
      <c r="B64" s="289">
        <f>100%-B65</f>
        <v>0.97799999999999998</v>
      </c>
      <c r="C64" s="174"/>
    </row>
    <row r="65" spans="1:12">
      <c r="A65" s="286" t="s">
        <v>332</v>
      </c>
      <c r="B65" s="298">
        <v>2.1999999999999999E-2</v>
      </c>
      <c r="C65" s="174" t="s">
        <v>770</v>
      </c>
    </row>
    <row r="66" spans="1:12" s="15" customFormat="1">
      <c r="A66" s="287"/>
      <c r="B66" s="269"/>
      <c r="C66" s="232"/>
    </row>
    <row r="67" spans="1:12">
      <c r="A67" s="290" t="s">
        <v>315</v>
      </c>
      <c r="B67" s="291">
        <f>SUM(B64:B65)</f>
        <v>1</v>
      </c>
      <c r="C67" s="176"/>
    </row>
    <row r="70" spans="1:12">
      <c r="A70" s="262" t="s">
        <v>505</v>
      </c>
      <c r="B70" s="264"/>
      <c r="C70" s="264"/>
      <c r="D70" s="264"/>
      <c r="E70" s="264"/>
      <c r="F70" s="264"/>
      <c r="G70" s="264"/>
      <c r="H70" s="264"/>
      <c r="I70" s="264"/>
      <c r="J70" s="264"/>
      <c r="K70" s="264"/>
      <c r="L70" s="265"/>
    </row>
    <row r="71" spans="1:12">
      <c r="A71" s="420" t="s">
        <v>569</v>
      </c>
    </row>
    <row r="72" spans="1:12">
      <c r="A72" s="261"/>
      <c r="B72" s="266"/>
      <c r="C72" s="266"/>
      <c r="D72" s="266"/>
      <c r="E72" s="266"/>
    </row>
    <row r="73" spans="1:12">
      <c r="A73" s="273"/>
      <c r="B73" s="274" t="s">
        <v>317</v>
      </c>
      <c r="C73" s="862">
        <v>2014</v>
      </c>
      <c r="D73" s="274" t="s">
        <v>318</v>
      </c>
      <c r="E73" s="243" t="s">
        <v>181</v>
      </c>
    </row>
    <row r="74" spans="1:12">
      <c r="A74" t="str">
        <f t="shared" ref="A74:A75" si="5">A31</f>
        <v>diesel</v>
      </c>
      <c r="B74" s="419"/>
    </row>
    <row r="75" spans="1:12">
      <c r="A75" t="str">
        <f t="shared" si="5"/>
        <v>biodiesel</v>
      </c>
      <c r="B75" s="419"/>
    </row>
    <row r="76" spans="1:12">
      <c r="A76" t="str">
        <f>A33</f>
        <v>vol% liter</v>
      </c>
      <c r="B76" s="419"/>
    </row>
    <row r="77" spans="1:12">
      <c r="A77" t="str">
        <f>A34</f>
        <v>gew% kg</v>
      </c>
      <c r="B77" s="419"/>
    </row>
    <row r="78" spans="1:12">
      <c r="A78" t="str">
        <f>A35</f>
        <v>J%</v>
      </c>
      <c r="B78" s="419"/>
      <c r="C78" s="421">
        <f>C35</f>
        <v>5.4800000000000001E-2</v>
      </c>
      <c r="D78" s="419"/>
      <c r="E78" t="str">
        <f>E35</f>
        <v>Data VMM maart 2020</v>
      </c>
    </row>
    <row r="79" spans="1:12">
      <c r="B79" s="419"/>
      <c r="C79" s="419"/>
      <c r="D79" s="419"/>
    </row>
  </sheetData>
  <mergeCells count="12">
    <mergeCell ref="A46:A48"/>
    <mergeCell ref="B46:P46"/>
    <mergeCell ref="B47:B48"/>
    <mergeCell ref="C47:C48"/>
    <mergeCell ref="D47:K47"/>
    <mergeCell ref="L47:P47"/>
    <mergeCell ref="A1:A3"/>
    <mergeCell ref="B2:B3"/>
    <mergeCell ref="C2:C3"/>
    <mergeCell ref="D2:K2"/>
    <mergeCell ref="L2:P2"/>
    <mergeCell ref="B1:P1"/>
  </mergeCells>
  <dataValidations disablePrompts="1" count="1">
    <dataValidation type="list" allowBlank="1" showInputMessage="1" showErrorMessage="1" sqref="B47:D48 B2:D3">
      <formula1>#REF!</formula1>
    </dataValidation>
  </dataValidations>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A2:S91"/>
  <sheetViews>
    <sheetView showGridLines="0" zoomScale="69" zoomScaleNormal="69" workbookViewId="0">
      <selection sqref="A1:XFD1048576"/>
    </sheetView>
  </sheetViews>
  <sheetFormatPr defaultColWidth="9.140625" defaultRowHeight="14.25"/>
  <cols>
    <col min="1" max="1" width="67.85546875" style="446" customWidth="1"/>
    <col min="2" max="2" width="22.85546875" style="446" customWidth="1"/>
    <col min="3" max="3" width="21.28515625" style="62" customWidth="1"/>
    <col min="4" max="4" width="16" style="62" bestFit="1" customWidth="1"/>
    <col min="5" max="5" width="14.28515625" style="62" bestFit="1" customWidth="1"/>
    <col min="6" max="6" width="12.85546875" style="62" customWidth="1"/>
    <col min="7" max="7" width="13.85546875" style="62" bestFit="1" customWidth="1"/>
    <col min="8" max="8" width="14.28515625" style="62" bestFit="1" customWidth="1"/>
    <col min="9" max="9" width="12.7109375" style="62" bestFit="1" customWidth="1"/>
    <col min="10" max="11" width="17.28515625" style="62" bestFit="1" customWidth="1"/>
    <col min="12" max="12" width="19.140625" style="62" customWidth="1"/>
    <col min="13" max="13" width="13.85546875" style="62" customWidth="1"/>
    <col min="14" max="14" width="12.42578125" style="62" bestFit="1" customWidth="1"/>
    <col min="15" max="15" width="16.140625" style="62" customWidth="1"/>
    <col min="16" max="16" width="16.7109375" style="62" bestFit="1" customWidth="1"/>
    <col min="17" max="17" width="11.28515625" style="62" bestFit="1" customWidth="1"/>
    <col min="18" max="18" width="17.28515625" style="62" customWidth="1"/>
    <col min="19" max="19" width="9.140625" style="62"/>
    <col min="20" max="16384" width="9.140625" style="446"/>
  </cols>
  <sheetData>
    <row r="2" spans="1:19" ht="15.75">
      <c r="A2" s="1079" t="s">
        <v>220</v>
      </c>
      <c r="B2" s="1079"/>
      <c r="C2" s="1079"/>
      <c r="D2" s="59"/>
      <c r="E2" s="59"/>
      <c r="F2" s="59"/>
      <c r="G2" s="59"/>
      <c r="H2" s="60"/>
      <c r="I2" s="60"/>
      <c r="J2" s="61"/>
      <c r="K2" s="61"/>
      <c r="L2" s="60"/>
      <c r="M2" s="60"/>
      <c r="N2" s="60"/>
      <c r="O2" s="60"/>
      <c r="P2" s="60"/>
      <c r="Q2" s="60"/>
      <c r="R2" s="60"/>
    </row>
    <row r="3" spans="1:19">
      <c r="A3" s="1080"/>
      <c r="B3" s="1080"/>
      <c r="C3" s="1080"/>
      <c r="D3" s="1080"/>
      <c r="E3" s="1080"/>
      <c r="F3" s="1080"/>
      <c r="G3" s="1080"/>
      <c r="H3" s="1080"/>
      <c r="I3" s="1080"/>
      <c r="J3" s="1080"/>
      <c r="K3" s="1080"/>
      <c r="L3" s="1080"/>
      <c r="M3" s="1080"/>
      <c r="N3" s="1080"/>
      <c r="O3" s="1080"/>
      <c r="P3" s="1080"/>
      <c r="Q3" s="1080"/>
      <c r="R3" s="1080"/>
    </row>
    <row r="4" spans="1:19" ht="15.75" thickBot="1">
      <c r="A4" s="447"/>
      <c r="B4" s="447"/>
      <c r="C4" s="63"/>
      <c r="D4" s="63"/>
      <c r="E4" s="63"/>
      <c r="F4" s="63"/>
      <c r="G4" s="63"/>
      <c r="H4" s="63"/>
      <c r="I4" s="63"/>
      <c r="J4" s="63"/>
      <c r="K4" s="63"/>
      <c r="L4" s="63"/>
      <c r="M4" s="63"/>
      <c r="N4" s="63"/>
      <c r="O4" s="63"/>
      <c r="P4" s="63"/>
      <c r="Q4" s="63"/>
      <c r="R4" s="63"/>
    </row>
    <row r="5" spans="1:19" ht="16.5" thickBot="1">
      <c r="A5" s="1081" t="s">
        <v>221</v>
      </c>
      <c r="B5" s="776"/>
      <c r="C5" s="1084" t="s">
        <v>342</v>
      </c>
      <c r="D5" s="1085"/>
      <c r="E5" s="1085"/>
      <c r="F5" s="1085"/>
      <c r="G5" s="1085"/>
      <c r="H5" s="1085"/>
      <c r="I5" s="1085"/>
      <c r="J5" s="1085"/>
      <c r="K5" s="1085"/>
      <c r="L5" s="1085"/>
      <c r="M5" s="1085"/>
      <c r="N5" s="1085"/>
      <c r="O5" s="1085"/>
      <c r="P5" s="1085"/>
      <c r="Q5" s="1085"/>
      <c r="R5" s="1086"/>
    </row>
    <row r="6" spans="1:19" ht="16.5" thickTop="1">
      <c r="A6" s="1082"/>
      <c r="B6" s="777"/>
      <c r="C6" s="1087" t="s">
        <v>20</v>
      </c>
      <c r="D6" s="1089" t="s">
        <v>195</v>
      </c>
      <c r="E6" s="1091" t="s">
        <v>196</v>
      </c>
      <c r="F6" s="1092"/>
      <c r="G6" s="1092"/>
      <c r="H6" s="1092"/>
      <c r="I6" s="1092"/>
      <c r="J6" s="1092"/>
      <c r="K6" s="1092"/>
      <c r="L6" s="1093"/>
      <c r="M6" s="1091" t="s">
        <v>197</v>
      </c>
      <c r="N6" s="1092"/>
      <c r="O6" s="1092"/>
      <c r="P6" s="1092"/>
      <c r="Q6" s="1092"/>
      <c r="R6" s="1094" t="s">
        <v>115</v>
      </c>
    </row>
    <row r="7" spans="1:19" ht="45.75" thickBot="1">
      <c r="A7" s="1083"/>
      <c r="B7" s="778"/>
      <c r="C7" s="1088"/>
      <c r="D7" s="1090"/>
      <c r="E7" s="983" t="s">
        <v>198</v>
      </c>
      <c r="F7" s="983" t="s">
        <v>199</v>
      </c>
      <c r="G7" s="64" t="s">
        <v>200</v>
      </c>
      <c r="H7" s="983" t="s">
        <v>201</v>
      </c>
      <c r="I7" s="983" t="s">
        <v>119</v>
      </c>
      <c r="J7" s="983" t="s">
        <v>202</v>
      </c>
      <c r="K7" s="444" t="s">
        <v>203</v>
      </c>
      <c r="L7" s="444" t="s">
        <v>204</v>
      </c>
      <c r="M7" s="64" t="s">
        <v>205</v>
      </c>
      <c r="N7" s="65" t="s">
        <v>206</v>
      </c>
      <c r="O7" s="65" t="s">
        <v>207</v>
      </c>
      <c r="P7" s="65" t="s">
        <v>208</v>
      </c>
      <c r="Q7" s="66" t="s">
        <v>209</v>
      </c>
      <c r="R7" s="1095"/>
    </row>
    <row r="8" spans="1:19" ht="18.75" customHeight="1" thickTop="1">
      <c r="A8" s="783" t="s">
        <v>343</v>
      </c>
      <c r="B8" s="788"/>
      <c r="C8" s="1100"/>
      <c r="D8" s="1100"/>
      <c r="E8" s="1100"/>
      <c r="F8" s="1100"/>
      <c r="G8" s="1100"/>
      <c r="H8" s="1100"/>
      <c r="I8" s="1100"/>
      <c r="J8" s="1100"/>
      <c r="K8" s="1100"/>
      <c r="L8" s="1100"/>
      <c r="M8" s="1100"/>
      <c r="N8" s="1100"/>
      <c r="O8" s="1100"/>
      <c r="P8" s="1100"/>
      <c r="Q8" s="1100"/>
      <c r="R8" s="306"/>
    </row>
    <row r="9" spans="1:19" s="448" customFormat="1">
      <c r="A9" s="784" t="s">
        <v>222</v>
      </c>
      <c r="B9" s="789"/>
      <c r="C9" s="991">
        <f>'Eigen gebouwen'!B15</f>
        <v>0</v>
      </c>
      <c r="D9" s="991">
        <f>'Eigen gebouwen'!C15</f>
        <v>0</v>
      </c>
      <c r="E9" s="991">
        <f>'Eigen gebouwen'!D15</f>
        <v>0</v>
      </c>
      <c r="F9" s="991">
        <f>'Eigen gebouwen'!E15</f>
        <v>0</v>
      </c>
      <c r="G9" s="991">
        <f>'Eigen gebouwen'!F15</f>
        <v>0</v>
      </c>
      <c r="H9" s="991">
        <f>'Eigen gebouwen'!G15</f>
        <v>0</v>
      </c>
      <c r="I9" s="991">
        <f>'Eigen gebouwen'!H15</f>
        <v>0</v>
      </c>
      <c r="J9" s="991">
        <f>'Eigen gebouwen'!I15</f>
        <v>0</v>
      </c>
      <c r="K9" s="991">
        <f>'Eigen gebouwen'!J15</f>
        <v>0</v>
      </c>
      <c r="L9" s="991">
        <f>'Eigen gebouwen'!K15</f>
        <v>0</v>
      </c>
      <c r="M9" s="991">
        <f>'Eigen gebouwen'!L15</f>
        <v>0</v>
      </c>
      <c r="N9" s="991">
        <f>'Eigen gebouwen'!M15</f>
        <v>0</v>
      </c>
      <c r="O9" s="991">
        <f>'Eigen gebouwen'!N15</f>
        <v>0</v>
      </c>
      <c r="P9" s="991">
        <f>'Eigen gebouwen'!O15</f>
        <v>0</v>
      </c>
      <c r="Q9" s="992">
        <f>'Eigen gebouwen'!P15</f>
        <v>0</v>
      </c>
      <c r="R9" s="674">
        <f>SUM(C9:Q9)</f>
        <v>0</v>
      </c>
      <c r="S9" s="67"/>
    </row>
    <row r="10" spans="1:19" s="448" customFormat="1">
      <c r="A10" s="785" t="s">
        <v>223</v>
      </c>
      <c r="B10" s="790"/>
      <c r="C10" s="991">
        <f ca="1">tertiair!B16+'openbare verlichting'!B8</f>
        <v>11486.761999999999</v>
      </c>
      <c r="D10" s="991">
        <f ca="1">tertiair!C16</f>
        <v>0</v>
      </c>
      <c r="E10" s="991">
        <f ca="1">tertiair!D16</f>
        <v>10217.986790000003</v>
      </c>
      <c r="F10" s="991">
        <f>tertiair!E16</f>
        <v>103.82127233222759</v>
      </c>
      <c r="G10" s="991">
        <f ca="1">tertiair!F16</f>
        <v>1580.4443862317219</v>
      </c>
      <c r="H10" s="991">
        <f>tertiair!G16</f>
        <v>0</v>
      </c>
      <c r="I10" s="991">
        <f>tertiair!H16</f>
        <v>0</v>
      </c>
      <c r="J10" s="991">
        <f>tertiair!I16</f>
        <v>0</v>
      </c>
      <c r="K10" s="991">
        <f>tertiair!J16</f>
        <v>0</v>
      </c>
      <c r="L10" s="991">
        <f>tertiair!K16</f>
        <v>0</v>
      </c>
      <c r="M10" s="991">
        <f ca="1">tertiair!L16</f>
        <v>0</v>
      </c>
      <c r="N10" s="991">
        <f>tertiair!M16</f>
        <v>0</v>
      </c>
      <c r="O10" s="991">
        <f ca="1">tertiair!N16</f>
        <v>1204.6010970649336</v>
      </c>
      <c r="P10" s="991">
        <f>tertiair!O16</f>
        <v>0</v>
      </c>
      <c r="Q10" s="992">
        <f>tertiair!P16</f>
        <v>0</v>
      </c>
      <c r="R10" s="675">
        <f ca="1">SUM(C10:Q10)</f>
        <v>24593.615545628883</v>
      </c>
      <c r="S10" s="67"/>
    </row>
    <row r="11" spans="1:19" s="448" customFormat="1">
      <c r="A11" s="784" t="s">
        <v>224</v>
      </c>
      <c r="B11" s="789"/>
      <c r="C11" s="991">
        <f>huishoudens!B8</f>
        <v>15252.911779262307</v>
      </c>
      <c r="D11" s="991">
        <f>huishoudens!C8</f>
        <v>0</v>
      </c>
      <c r="E11" s="991">
        <f>huishoudens!D8</f>
        <v>46519.686664000001</v>
      </c>
      <c r="F11" s="991">
        <f>huishoudens!E8</f>
        <v>782.34839752268454</v>
      </c>
      <c r="G11" s="991">
        <f>huishoudens!F8</f>
        <v>0</v>
      </c>
      <c r="H11" s="991">
        <f>huishoudens!G8</f>
        <v>0</v>
      </c>
      <c r="I11" s="991">
        <f>huishoudens!H8</f>
        <v>0</v>
      </c>
      <c r="J11" s="991">
        <f>huishoudens!I8</f>
        <v>0</v>
      </c>
      <c r="K11" s="991">
        <f>huishoudens!J8</f>
        <v>0</v>
      </c>
      <c r="L11" s="991">
        <f>huishoudens!K8</f>
        <v>0</v>
      </c>
      <c r="M11" s="991">
        <f>huishoudens!L8</f>
        <v>0</v>
      </c>
      <c r="N11" s="991">
        <f>huishoudens!M8</f>
        <v>0</v>
      </c>
      <c r="O11" s="991">
        <f>huishoudens!N8</f>
        <v>902.6713237118081</v>
      </c>
      <c r="P11" s="991">
        <f>huishoudens!O8</f>
        <v>34.393333333333338</v>
      </c>
      <c r="Q11" s="992">
        <f>huishoudens!P8</f>
        <v>247.86666666666667</v>
      </c>
      <c r="R11" s="675">
        <f>SUM(C11:Q11)</f>
        <v>63739.878164496804</v>
      </c>
      <c r="S11" s="67"/>
    </row>
    <row r="12" spans="1:19" s="448" customFormat="1">
      <c r="A12" s="784" t="s">
        <v>506</v>
      </c>
      <c r="B12" s="789"/>
      <c r="C12" s="991">
        <f>'Eigen openbare verlichting'!B15</f>
        <v>0</v>
      </c>
      <c r="D12" s="991"/>
      <c r="E12" s="991"/>
      <c r="F12" s="991"/>
      <c r="G12" s="991"/>
      <c r="H12" s="991"/>
      <c r="I12" s="991"/>
      <c r="J12" s="991"/>
      <c r="K12" s="991"/>
      <c r="L12" s="991"/>
      <c r="M12" s="991"/>
      <c r="N12" s="991"/>
      <c r="O12" s="991"/>
      <c r="P12" s="991"/>
      <c r="Q12" s="991"/>
      <c r="R12" s="675">
        <f>SUM(C12:Q12)</f>
        <v>0</v>
      </c>
      <c r="S12" s="67"/>
    </row>
    <row r="13" spans="1:19" s="448" customFormat="1">
      <c r="A13" s="784" t="s">
        <v>652</v>
      </c>
      <c r="B13" s="793" t="s">
        <v>650</v>
      </c>
      <c r="C13" s="991">
        <f>industrie!B18</f>
        <v>3322.3989999999994</v>
      </c>
      <c r="D13" s="991">
        <f>industrie!C18</f>
        <v>0</v>
      </c>
      <c r="E13" s="991">
        <f>industrie!D18</f>
        <v>2706.069454</v>
      </c>
      <c r="F13" s="991">
        <f>industrie!E18</f>
        <v>387.26042165593111</v>
      </c>
      <c r="G13" s="991">
        <f>industrie!F18</f>
        <v>1721.0632215857036</v>
      </c>
      <c r="H13" s="991">
        <f>industrie!G18</f>
        <v>0</v>
      </c>
      <c r="I13" s="991">
        <f>industrie!H18</f>
        <v>0</v>
      </c>
      <c r="J13" s="991">
        <f>industrie!I18</f>
        <v>0</v>
      </c>
      <c r="K13" s="991">
        <f>industrie!J18</f>
        <v>13.081603741315117</v>
      </c>
      <c r="L13" s="991">
        <f>industrie!K18</f>
        <v>0</v>
      </c>
      <c r="M13" s="991">
        <f>industrie!L18</f>
        <v>0</v>
      </c>
      <c r="N13" s="991">
        <f>industrie!M18</f>
        <v>0</v>
      </c>
      <c r="O13" s="991">
        <f>industrie!N18</f>
        <v>307.01331334656288</v>
      </c>
      <c r="P13" s="991">
        <f>industrie!O18</f>
        <v>0</v>
      </c>
      <c r="Q13" s="992">
        <f>industrie!P18</f>
        <v>0</v>
      </c>
      <c r="R13" s="675">
        <f>SUM(C13:Q13)</f>
        <v>8456.8870143295117</v>
      </c>
      <c r="S13" s="67"/>
    </row>
    <row r="14" spans="1:19" s="448" customFormat="1">
      <c r="A14" s="784"/>
      <c r="B14" s="793" t="s">
        <v>651</v>
      </c>
      <c r="C14" s="991"/>
      <c r="D14" s="991"/>
      <c r="E14" s="991"/>
      <c r="F14" s="991"/>
      <c r="G14" s="991"/>
      <c r="H14" s="991"/>
      <c r="I14" s="991"/>
      <c r="J14" s="991"/>
      <c r="K14" s="991"/>
      <c r="L14" s="991"/>
      <c r="M14" s="991"/>
      <c r="N14" s="991"/>
      <c r="O14" s="991"/>
      <c r="P14" s="991"/>
      <c r="Q14" s="991"/>
      <c r="R14" s="675"/>
      <c r="S14" s="67"/>
    </row>
    <row r="15" spans="1:19" s="448" customFormat="1" ht="15" thickBot="1">
      <c r="A15" s="993" t="s">
        <v>847</v>
      </c>
      <c r="B15" s="994"/>
      <c r="C15" s="995"/>
      <c r="D15" s="995"/>
      <c r="E15" s="995"/>
      <c r="F15" s="995"/>
      <c r="G15" s="995"/>
      <c r="H15" s="995"/>
      <c r="I15" s="995"/>
      <c r="J15" s="995"/>
      <c r="K15" s="995"/>
      <c r="L15" s="995"/>
      <c r="M15" s="995"/>
      <c r="N15" s="995"/>
      <c r="O15" s="995"/>
      <c r="P15" s="995"/>
      <c r="Q15" s="996"/>
      <c r="R15" s="674"/>
      <c r="S15" s="67"/>
    </row>
    <row r="16" spans="1:19" s="448" customFormat="1" ht="15.75" thickBot="1">
      <c r="A16" s="676" t="s">
        <v>225</v>
      </c>
      <c r="B16" s="791"/>
      <c r="C16" s="707">
        <f ca="1">SUM(C9:C15)</f>
        <v>30062.072779262307</v>
      </c>
      <c r="D16" s="707">
        <f t="shared" ref="D16:R16" ca="1" si="0">SUM(D9:D15)</f>
        <v>0</v>
      </c>
      <c r="E16" s="707">
        <f t="shared" ca="1" si="0"/>
        <v>59443.742908</v>
      </c>
      <c r="F16" s="707">
        <f t="shared" si="0"/>
        <v>1273.4300915108433</v>
      </c>
      <c r="G16" s="707">
        <f t="shared" ca="1" si="0"/>
        <v>3301.5076078174252</v>
      </c>
      <c r="H16" s="707">
        <f t="shared" si="0"/>
        <v>0</v>
      </c>
      <c r="I16" s="707">
        <f t="shared" si="0"/>
        <v>0</v>
      </c>
      <c r="J16" s="707">
        <f t="shared" si="0"/>
        <v>0</v>
      </c>
      <c r="K16" s="707">
        <f t="shared" si="0"/>
        <v>13.081603741315117</v>
      </c>
      <c r="L16" s="707">
        <f t="shared" si="0"/>
        <v>0</v>
      </c>
      <c r="M16" s="707">
        <f t="shared" ca="1" si="0"/>
        <v>0</v>
      </c>
      <c r="N16" s="707">
        <f t="shared" si="0"/>
        <v>0</v>
      </c>
      <c r="O16" s="707">
        <f t="shared" ca="1" si="0"/>
        <v>2414.2857341233043</v>
      </c>
      <c r="P16" s="707">
        <f t="shared" si="0"/>
        <v>34.393333333333338</v>
      </c>
      <c r="Q16" s="707">
        <f t="shared" si="0"/>
        <v>247.86666666666667</v>
      </c>
      <c r="R16" s="707">
        <f t="shared" ca="1" si="0"/>
        <v>96790.380724455186</v>
      </c>
      <c r="S16" s="67"/>
    </row>
    <row r="17" spans="1:19" s="448" customFormat="1" ht="15.75">
      <c r="A17" s="786" t="s">
        <v>226</v>
      </c>
      <c r="B17" s="711"/>
      <c r="C17" s="1101"/>
      <c r="D17" s="1101"/>
      <c r="E17" s="1101"/>
      <c r="F17" s="1101"/>
      <c r="G17" s="1101"/>
      <c r="H17" s="1101"/>
      <c r="I17" s="1101"/>
      <c r="J17" s="1101"/>
      <c r="K17" s="1101"/>
      <c r="L17" s="1101"/>
      <c r="M17" s="1101"/>
      <c r="N17" s="1101"/>
      <c r="O17" s="1101"/>
      <c r="P17" s="1101"/>
      <c r="Q17" s="1101"/>
      <c r="R17" s="677"/>
      <c r="S17" s="67"/>
    </row>
    <row r="18" spans="1:19" s="448" customFormat="1">
      <c r="A18" s="784" t="s">
        <v>227</v>
      </c>
      <c r="B18" s="789"/>
      <c r="C18" s="991">
        <f>'Eigen vloot'!B27</f>
        <v>0</v>
      </c>
      <c r="D18" s="991">
        <f>'Eigen vloot'!C27</f>
        <v>0</v>
      </c>
      <c r="E18" s="991">
        <f>'Eigen vloot'!D27</f>
        <v>0</v>
      </c>
      <c r="F18" s="991">
        <f>'Eigen vloot'!E27</f>
        <v>0</v>
      </c>
      <c r="G18" s="991">
        <f>'Eigen vloot'!F27</f>
        <v>0</v>
      </c>
      <c r="H18" s="991">
        <f>'Eigen vloot'!G27</f>
        <v>0</v>
      </c>
      <c r="I18" s="991">
        <f>'Eigen vloot'!H27</f>
        <v>0</v>
      </c>
      <c r="J18" s="991">
        <f>'Eigen vloot'!I27</f>
        <v>0</v>
      </c>
      <c r="K18" s="991">
        <f>'Eigen vloot'!J27</f>
        <v>0</v>
      </c>
      <c r="L18" s="991">
        <f>'Eigen vloot'!K27</f>
        <v>0</v>
      </c>
      <c r="M18" s="991">
        <f>'Eigen vloot'!L27</f>
        <v>0</v>
      </c>
      <c r="N18" s="991">
        <f>'Eigen vloot'!M27</f>
        <v>0</v>
      </c>
      <c r="O18" s="991">
        <f>'Eigen vloot'!N27</f>
        <v>0</v>
      </c>
      <c r="P18" s="991">
        <f>'Eigen vloot'!O27</f>
        <v>0</v>
      </c>
      <c r="Q18" s="992">
        <f>'Eigen vloot'!P27</f>
        <v>0</v>
      </c>
      <c r="R18" s="675">
        <f>SUM(C18:Q18)</f>
        <v>0</v>
      </c>
      <c r="S18" s="67"/>
    </row>
    <row r="19" spans="1:19" s="448" customFormat="1">
      <c r="A19" s="784" t="s">
        <v>228</v>
      </c>
      <c r="B19" s="789"/>
      <c r="C19" s="991">
        <f>transport!B54</f>
        <v>0</v>
      </c>
      <c r="D19" s="991">
        <f>transport!C54</f>
        <v>0</v>
      </c>
      <c r="E19" s="991">
        <f>transport!D54</f>
        <v>0</v>
      </c>
      <c r="F19" s="991">
        <f>transport!E54</f>
        <v>0</v>
      </c>
      <c r="G19" s="991">
        <f>transport!F54</f>
        <v>0</v>
      </c>
      <c r="H19" s="991">
        <f>transport!G54</f>
        <v>653.63331278753196</v>
      </c>
      <c r="I19" s="991">
        <f>transport!H54</f>
        <v>0</v>
      </c>
      <c r="J19" s="991">
        <f>transport!I54</f>
        <v>0</v>
      </c>
      <c r="K19" s="991">
        <f>transport!J54</f>
        <v>0</v>
      </c>
      <c r="L19" s="991">
        <f>transport!K54</f>
        <v>0</v>
      </c>
      <c r="M19" s="991">
        <f>transport!L54</f>
        <v>0</v>
      </c>
      <c r="N19" s="991">
        <f>transport!M54</f>
        <v>37.359690690064461</v>
      </c>
      <c r="O19" s="991">
        <f>transport!N54</f>
        <v>0</v>
      </c>
      <c r="P19" s="991">
        <f>transport!O54</f>
        <v>0</v>
      </c>
      <c r="Q19" s="992">
        <f>transport!P54</f>
        <v>0</v>
      </c>
      <c r="R19" s="675">
        <f>SUM(C19:Q19)</f>
        <v>690.9930034775964</v>
      </c>
      <c r="S19" s="67"/>
    </row>
    <row r="20" spans="1:19" s="448" customFormat="1">
      <c r="A20" s="784" t="s">
        <v>306</v>
      </c>
      <c r="B20" s="789"/>
      <c r="C20" s="991">
        <f>transport!B14</f>
        <v>3.5747683688102909</v>
      </c>
      <c r="D20" s="991">
        <f>transport!C14</f>
        <v>0</v>
      </c>
      <c r="E20" s="991">
        <f>transport!D14</f>
        <v>6.6231779024519835</v>
      </c>
      <c r="F20" s="991">
        <f>transport!E14</f>
        <v>63.667553961624527</v>
      </c>
      <c r="G20" s="991">
        <f>transport!F14</f>
        <v>0</v>
      </c>
      <c r="H20" s="991">
        <f>transport!G14</f>
        <v>17934.412049643059</v>
      </c>
      <c r="I20" s="991">
        <f>transport!H14</f>
        <v>4036.5178519500059</v>
      </c>
      <c r="J20" s="991">
        <f>transport!I14</f>
        <v>0</v>
      </c>
      <c r="K20" s="991">
        <f>transport!J14</f>
        <v>0</v>
      </c>
      <c r="L20" s="991">
        <f>transport!K14</f>
        <v>0</v>
      </c>
      <c r="M20" s="991">
        <f>transport!L14</f>
        <v>0</v>
      </c>
      <c r="N20" s="991">
        <f>transport!M14</f>
        <v>1162.911497685908</v>
      </c>
      <c r="O20" s="991">
        <f>transport!N14</f>
        <v>0</v>
      </c>
      <c r="P20" s="991">
        <f>transport!O14</f>
        <v>0</v>
      </c>
      <c r="Q20" s="992">
        <f>transport!P14</f>
        <v>0</v>
      </c>
      <c r="R20" s="675">
        <f>SUM(C20:Q20)</f>
        <v>23207.706899511857</v>
      </c>
      <c r="S20" s="67"/>
    </row>
    <row r="21" spans="1:19" s="448" customFormat="1" ht="15" thickBot="1">
      <c r="A21" s="806" t="s">
        <v>848</v>
      </c>
      <c r="B21" s="994"/>
      <c r="C21" s="995"/>
      <c r="D21" s="995"/>
      <c r="E21" s="995"/>
      <c r="F21" s="995"/>
      <c r="G21" s="995"/>
      <c r="H21" s="995"/>
      <c r="I21" s="995"/>
      <c r="J21" s="995"/>
      <c r="K21" s="995"/>
      <c r="L21" s="995"/>
      <c r="M21" s="995"/>
      <c r="N21" s="995"/>
      <c r="O21" s="995"/>
      <c r="P21" s="995"/>
      <c r="Q21" s="996"/>
      <c r="R21" s="674"/>
      <c r="S21" s="67"/>
    </row>
    <row r="22" spans="1:19" s="448" customFormat="1" ht="15.75" thickBot="1">
      <c r="A22" s="680" t="s">
        <v>229</v>
      </c>
      <c r="B22" s="792"/>
      <c r="C22" s="787">
        <f>SUM(C18:C21)</f>
        <v>3.5747683688102909</v>
      </c>
      <c r="D22" s="787">
        <f t="shared" ref="D22:R22" si="1">SUM(D18:D21)</f>
        <v>0</v>
      </c>
      <c r="E22" s="787">
        <f t="shared" si="1"/>
        <v>6.6231779024519835</v>
      </c>
      <c r="F22" s="787">
        <f t="shared" si="1"/>
        <v>63.667553961624527</v>
      </c>
      <c r="G22" s="787">
        <f t="shared" si="1"/>
        <v>0</v>
      </c>
      <c r="H22" s="787">
        <f t="shared" si="1"/>
        <v>18588.045362430592</v>
      </c>
      <c r="I22" s="787">
        <f t="shared" si="1"/>
        <v>4036.5178519500059</v>
      </c>
      <c r="J22" s="787">
        <f t="shared" si="1"/>
        <v>0</v>
      </c>
      <c r="K22" s="787">
        <f t="shared" si="1"/>
        <v>0</v>
      </c>
      <c r="L22" s="787">
        <f t="shared" si="1"/>
        <v>0</v>
      </c>
      <c r="M22" s="787">
        <f t="shared" si="1"/>
        <v>0</v>
      </c>
      <c r="N22" s="787">
        <f t="shared" si="1"/>
        <v>1200.2711883759725</v>
      </c>
      <c r="O22" s="787">
        <f t="shared" si="1"/>
        <v>0</v>
      </c>
      <c r="P22" s="787">
        <f t="shared" si="1"/>
        <v>0</v>
      </c>
      <c r="Q22" s="787">
        <f t="shared" si="1"/>
        <v>0</v>
      </c>
      <c r="R22" s="787">
        <f t="shared" si="1"/>
        <v>23898.699902989454</v>
      </c>
      <c r="S22" s="67"/>
    </row>
    <row r="23" spans="1:19" s="448" customFormat="1" ht="15.75">
      <c r="A23" s="786" t="s">
        <v>236</v>
      </c>
      <c r="B23" s="711"/>
      <c r="C23" s="1101"/>
      <c r="D23" s="1101"/>
      <c r="E23" s="1101"/>
      <c r="F23" s="1101"/>
      <c r="G23" s="1101"/>
      <c r="H23" s="1101"/>
      <c r="I23" s="1101"/>
      <c r="J23" s="1101"/>
      <c r="K23" s="1101"/>
      <c r="L23" s="1101"/>
      <c r="M23" s="1101"/>
      <c r="N23" s="1101"/>
      <c r="O23" s="1101"/>
      <c r="P23" s="1101"/>
      <c r="Q23" s="1101"/>
      <c r="R23" s="677"/>
      <c r="S23" s="67"/>
    </row>
    <row r="24" spans="1:19" s="448" customFormat="1">
      <c r="A24" s="784" t="s">
        <v>647</v>
      </c>
      <c r="B24" s="789"/>
      <c r="C24" s="991">
        <f>+landbouw!B8</f>
        <v>14.333</v>
      </c>
      <c r="D24" s="991">
        <f>+landbouw!C8</f>
        <v>0</v>
      </c>
      <c r="E24" s="991">
        <f>+landbouw!D8</f>
        <v>17.753163999999998</v>
      </c>
      <c r="F24" s="991">
        <f>+landbouw!E8</f>
        <v>0.13275824921222681</v>
      </c>
      <c r="G24" s="991">
        <f>+landbouw!F8</f>
        <v>36.365551433697973</v>
      </c>
      <c r="H24" s="991">
        <f>+landbouw!G8</f>
        <v>0</v>
      </c>
      <c r="I24" s="991">
        <f>+landbouw!H8</f>
        <v>0</v>
      </c>
      <c r="J24" s="991">
        <f>+landbouw!I8</f>
        <v>0</v>
      </c>
      <c r="K24" s="991">
        <f>+landbouw!J8</f>
        <v>2.1974088567468488</v>
      </c>
      <c r="L24" s="991">
        <f>+landbouw!K8</f>
        <v>0</v>
      </c>
      <c r="M24" s="991">
        <f>+landbouw!L8</f>
        <v>0</v>
      </c>
      <c r="N24" s="991">
        <f>+landbouw!M8</f>
        <v>0</v>
      </c>
      <c r="O24" s="991">
        <f>+landbouw!N8</f>
        <v>0</v>
      </c>
      <c r="P24" s="991">
        <f>+landbouw!O8</f>
        <v>0</v>
      </c>
      <c r="Q24" s="992">
        <f>+landbouw!P8</f>
        <v>0</v>
      </c>
      <c r="R24" s="675">
        <f>SUM(C24:Q24)</f>
        <v>70.781882539657047</v>
      </c>
      <c r="S24" s="67"/>
    </row>
    <row r="25" spans="1:19" s="448" customFormat="1" ht="15" thickBot="1">
      <c r="A25" s="806" t="s">
        <v>849</v>
      </c>
      <c r="B25" s="994"/>
      <c r="C25" s="995">
        <f>IF(Onbekend_ele_kWh="---",0,Onbekend_ele_kWh)/1000+IF(REST_rest_ele_kWh="---",0,REST_rest_ele_kWh)/1000</f>
        <v>550.22</v>
      </c>
      <c r="D25" s="995"/>
      <c r="E25" s="995">
        <f>IF(onbekend_gas_kWh="---",0,onbekend_gas_kWh)/1000+IF(REST_rest_gas_kWh="---",0,REST_rest_gas_kWh)/1000</f>
        <v>1378.82</v>
      </c>
      <c r="F25" s="995"/>
      <c r="G25" s="995"/>
      <c r="H25" s="995"/>
      <c r="I25" s="995"/>
      <c r="J25" s="995"/>
      <c r="K25" s="995"/>
      <c r="L25" s="995"/>
      <c r="M25" s="995"/>
      <c r="N25" s="995"/>
      <c r="O25" s="995"/>
      <c r="P25" s="995"/>
      <c r="Q25" s="996"/>
      <c r="R25" s="675">
        <f>SUM(C25:Q25)</f>
        <v>1929.04</v>
      </c>
      <c r="S25" s="67"/>
    </row>
    <row r="26" spans="1:19" s="448" customFormat="1" ht="15.75" thickBot="1">
      <c r="A26" s="680" t="s">
        <v>850</v>
      </c>
      <c r="B26" s="792"/>
      <c r="C26" s="787">
        <f>SUM(C24:C25)</f>
        <v>564.553</v>
      </c>
      <c r="D26" s="787">
        <f t="shared" ref="D26:R26" si="2">SUM(D24:D25)</f>
        <v>0</v>
      </c>
      <c r="E26" s="787">
        <f t="shared" si="2"/>
        <v>1396.5731639999999</v>
      </c>
      <c r="F26" s="787">
        <f t="shared" si="2"/>
        <v>0.13275824921222681</v>
      </c>
      <c r="G26" s="787">
        <f t="shared" si="2"/>
        <v>36.365551433697973</v>
      </c>
      <c r="H26" s="787">
        <f t="shared" si="2"/>
        <v>0</v>
      </c>
      <c r="I26" s="787">
        <f t="shared" si="2"/>
        <v>0</v>
      </c>
      <c r="J26" s="787">
        <f t="shared" si="2"/>
        <v>0</v>
      </c>
      <c r="K26" s="787">
        <f t="shared" si="2"/>
        <v>2.1974088567468488</v>
      </c>
      <c r="L26" s="787">
        <f t="shared" si="2"/>
        <v>0</v>
      </c>
      <c r="M26" s="787">
        <f t="shared" si="2"/>
        <v>0</v>
      </c>
      <c r="N26" s="787">
        <f t="shared" si="2"/>
        <v>0</v>
      </c>
      <c r="O26" s="787">
        <f t="shared" si="2"/>
        <v>0</v>
      </c>
      <c r="P26" s="787">
        <f t="shared" si="2"/>
        <v>0</v>
      </c>
      <c r="Q26" s="787">
        <f t="shared" si="2"/>
        <v>0</v>
      </c>
      <c r="R26" s="787">
        <f t="shared" si="2"/>
        <v>1999.8218825396571</v>
      </c>
      <c r="S26" s="67"/>
    </row>
    <row r="27" spans="1:19" s="448" customFormat="1" ht="17.25" thickTop="1" thickBot="1">
      <c r="A27" s="681" t="s">
        <v>115</v>
      </c>
      <c r="B27" s="780"/>
      <c r="C27" s="682">
        <f ca="1">C22+C16+C26</f>
        <v>30630.200547631117</v>
      </c>
      <c r="D27" s="682">
        <f t="shared" ref="D27:R27" ca="1" si="3">D22+D16+D26</f>
        <v>0</v>
      </c>
      <c r="E27" s="682">
        <f t="shared" ca="1" si="3"/>
        <v>60846.939249902454</v>
      </c>
      <c r="F27" s="682">
        <f t="shared" si="3"/>
        <v>1337.23040372168</v>
      </c>
      <c r="G27" s="682">
        <f t="shared" ca="1" si="3"/>
        <v>3337.8731592511231</v>
      </c>
      <c r="H27" s="682">
        <f t="shared" si="3"/>
        <v>18588.045362430592</v>
      </c>
      <c r="I27" s="682">
        <f t="shared" si="3"/>
        <v>4036.5178519500059</v>
      </c>
      <c r="J27" s="682">
        <f t="shared" si="3"/>
        <v>0</v>
      </c>
      <c r="K27" s="682">
        <f t="shared" si="3"/>
        <v>15.279012598061966</v>
      </c>
      <c r="L27" s="682">
        <f t="shared" si="3"/>
        <v>0</v>
      </c>
      <c r="M27" s="682">
        <f t="shared" ca="1" si="3"/>
        <v>0</v>
      </c>
      <c r="N27" s="682">
        <f t="shared" si="3"/>
        <v>1200.2711883759725</v>
      </c>
      <c r="O27" s="682">
        <f t="shared" ca="1" si="3"/>
        <v>2414.2857341233043</v>
      </c>
      <c r="P27" s="682">
        <f t="shared" si="3"/>
        <v>34.393333333333338</v>
      </c>
      <c r="Q27" s="682">
        <f t="shared" si="3"/>
        <v>247.86666666666667</v>
      </c>
      <c r="R27" s="682">
        <f t="shared" ca="1" si="3"/>
        <v>122688.9025099843</v>
      </c>
      <c r="S27" s="67"/>
    </row>
    <row r="28" spans="1:19" ht="15.75" customHeight="1" thickBot="1">
      <c r="A28" s="683"/>
      <c r="B28" s="683"/>
      <c r="C28" s="684"/>
      <c r="D28" s="684"/>
      <c r="E28" s="684"/>
      <c r="F28" s="684"/>
      <c r="G28" s="684"/>
      <c r="H28" s="684"/>
      <c r="I28" s="684"/>
      <c r="J28" s="684"/>
      <c r="K28" s="684"/>
      <c r="L28" s="684"/>
      <c r="M28" s="684"/>
      <c r="N28" s="684"/>
      <c r="O28" s="684"/>
      <c r="P28" s="684"/>
      <c r="Q28" s="684"/>
      <c r="R28" s="684"/>
    </row>
    <row r="29" spans="1:19" ht="41.25" customHeight="1" thickTop="1" thickBot="1">
      <c r="A29" s="685" t="s">
        <v>344</v>
      </c>
      <c r="B29" s="685"/>
      <c r="C29" s="686">
        <f>'EF ele_warmte'!B5</f>
        <v>0</v>
      </c>
      <c r="D29" s="687"/>
      <c r="E29" s="688"/>
      <c r="F29" s="687"/>
      <c r="G29" s="687"/>
      <c r="H29" s="687"/>
      <c r="I29" s="687"/>
      <c r="J29" s="687"/>
      <c r="K29" s="687"/>
      <c r="L29" s="687"/>
      <c r="M29" s="687"/>
      <c r="N29" s="687"/>
      <c r="O29" s="687"/>
      <c r="P29" s="687"/>
      <c r="Q29" s="687"/>
      <c r="R29" s="687"/>
    </row>
    <row r="30" spans="1:19" ht="31.5" thickTop="1" thickBot="1">
      <c r="A30" s="689" t="s">
        <v>345</v>
      </c>
      <c r="B30" s="689"/>
      <c r="C30" s="690" t="s">
        <v>210</v>
      </c>
      <c r="D30" s="691"/>
      <c r="E30" s="691"/>
      <c r="F30" s="691"/>
      <c r="G30" s="691"/>
      <c r="H30" s="692"/>
      <c r="I30" s="693"/>
      <c r="J30" s="693"/>
      <c r="K30" s="693"/>
      <c r="L30" s="693"/>
      <c r="M30" s="693"/>
      <c r="N30" s="693"/>
      <c r="O30" s="693"/>
      <c r="P30" s="693"/>
      <c r="Q30" s="693"/>
      <c r="R30" s="693"/>
    </row>
    <row r="31" spans="1:19" ht="15" thickTop="1">
      <c r="A31" s="1102"/>
      <c r="B31" s="1102"/>
      <c r="C31" s="1102"/>
      <c r="D31" s="694"/>
      <c r="E31" s="693"/>
      <c r="F31" s="693"/>
      <c r="G31" s="693"/>
      <c r="H31" s="693"/>
      <c r="I31" s="693"/>
      <c r="J31" s="693"/>
      <c r="K31" s="693"/>
      <c r="L31" s="693"/>
      <c r="M31" s="693"/>
      <c r="N31" s="693"/>
      <c r="O31" s="693"/>
      <c r="P31" s="693"/>
      <c r="Q31" s="693"/>
      <c r="R31" s="693"/>
    </row>
    <row r="32" spans="1:19" ht="15.75">
      <c r="A32" s="695" t="s">
        <v>230</v>
      </c>
      <c r="B32" s="695"/>
      <c r="C32" s="694"/>
      <c r="D32" s="694"/>
      <c r="E32" s="693"/>
      <c r="F32" s="693"/>
      <c r="G32" s="693"/>
      <c r="H32" s="693"/>
      <c r="I32" s="693"/>
      <c r="J32" s="693"/>
      <c r="K32" s="693"/>
      <c r="L32" s="693"/>
      <c r="M32" s="693"/>
      <c r="N32" s="693"/>
      <c r="O32" s="693"/>
      <c r="P32" s="693"/>
      <c r="Q32" s="693"/>
      <c r="R32" s="693"/>
    </row>
    <row r="33" spans="1:18">
      <c r="A33" s="1103"/>
      <c r="B33" s="1103"/>
      <c r="C33" s="1103"/>
      <c r="D33" s="1103"/>
      <c r="E33" s="1103"/>
      <c r="F33" s="1103"/>
      <c r="G33" s="1103"/>
      <c r="H33" s="1103"/>
      <c r="I33" s="1103"/>
      <c r="J33" s="1103"/>
      <c r="K33" s="1103"/>
      <c r="L33" s="1103"/>
      <c r="M33" s="1103"/>
      <c r="N33" s="1103"/>
      <c r="O33" s="1103"/>
      <c r="P33" s="1103"/>
      <c r="Q33" s="1103"/>
      <c r="R33" s="1103"/>
    </row>
    <row r="34" spans="1:18" ht="15.75" thickBot="1">
      <c r="A34" s="696"/>
      <c r="B34" s="696"/>
      <c r="C34" s="697"/>
      <c r="D34" s="697"/>
      <c r="E34" s="697"/>
      <c r="F34" s="697"/>
      <c r="G34" s="697"/>
      <c r="H34" s="697"/>
      <c r="I34" s="697"/>
      <c r="J34" s="697"/>
      <c r="K34" s="697"/>
      <c r="L34" s="697"/>
      <c r="M34" s="697"/>
      <c r="N34" s="697"/>
      <c r="O34" s="697"/>
      <c r="P34" s="697"/>
      <c r="Q34" s="697"/>
      <c r="R34" s="697"/>
    </row>
    <row r="35" spans="1:18" ht="17.25" thickTop="1" thickBot="1">
      <c r="A35" s="1104"/>
      <c r="B35" s="794"/>
      <c r="C35" s="1106" t="s">
        <v>346</v>
      </c>
      <c r="D35" s="1107"/>
      <c r="E35" s="1107"/>
      <c r="F35" s="1107"/>
      <c r="G35" s="1107"/>
      <c r="H35" s="1107"/>
      <c r="I35" s="1107"/>
      <c r="J35" s="1107"/>
      <c r="K35" s="1107"/>
      <c r="L35" s="1107"/>
      <c r="M35" s="1107"/>
      <c r="N35" s="1107"/>
      <c r="O35" s="1107"/>
      <c r="P35" s="1107"/>
      <c r="Q35" s="1107"/>
      <c r="R35" s="1108"/>
    </row>
    <row r="36" spans="1:18" ht="16.5" thickTop="1">
      <c r="A36" s="1105"/>
      <c r="B36" s="795"/>
      <c r="C36" s="1109" t="s">
        <v>20</v>
      </c>
      <c r="D36" s="1111" t="s">
        <v>231</v>
      </c>
      <c r="E36" s="1113" t="s">
        <v>196</v>
      </c>
      <c r="F36" s="1114"/>
      <c r="G36" s="1114"/>
      <c r="H36" s="1114"/>
      <c r="I36" s="1114"/>
      <c r="J36" s="1114"/>
      <c r="K36" s="1114"/>
      <c r="L36" s="1115"/>
      <c r="M36" s="1113" t="s">
        <v>197</v>
      </c>
      <c r="N36" s="1114"/>
      <c r="O36" s="1114"/>
      <c r="P36" s="1114"/>
      <c r="Q36" s="1114"/>
      <c r="R36" s="1116" t="s">
        <v>115</v>
      </c>
    </row>
    <row r="37" spans="1:18" ht="45.75" thickBot="1">
      <c r="A37" s="1105"/>
      <c r="B37" s="795"/>
      <c r="C37" s="1110"/>
      <c r="D37" s="1112"/>
      <c r="E37" s="698" t="s">
        <v>198</v>
      </c>
      <c r="F37" s="698" t="s">
        <v>199</v>
      </c>
      <c r="G37" s="698" t="s">
        <v>200</v>
      </c>
      <c r="H37" s="698" t="s">
        <v>201</v>
      </c>
      <c r="I37" s="698" t="s">
        <v>119</v>
      </c>
      <c r="J37" s="698" t="s">
        <v>202</v>
      </c>
      <c r="K37" s="699" t="s">
        <v>232</v>
      </c>
      <c r="L37" s="699" t="s">
        <v>204</v>
      </c>
      <c r="M37" s="64" t="s">
        <v>205</v>
      </c>
      <c r="N37" s="65" t="s">
        <v>206</v>
      </c>
      <c r="O37" s="698" t="s">
        <v>233</v>
      </c>
      <c r="P37" s="698" t="s">
        <v>234</v>
      </c>
      <c r="Q37" s="699" t="s">
        <v>209</v>
      </c>
      <c r="R37" s="1117"/>
    </row>
    <row r="38" spans="1:18" ht="17.25" thickTop="1" thickBot="1">
      <c r="A38" s="807" t="s">
        <v>343</v>
      </c>
      <c r="B38" s="808"/>
      <c r="C38" s="700" t="s">
        <v>235</v>
      </c>
      <c r="D38" s="701"/>
      <c r="E38" s="702"/>
      <c r="F38" s="702"/>
      <c r="G38" s="702"/>
      <c r="H38" s="702"/>
      <c r="I38" s="702"/>
      <c r="J38" s="702"/>
      <c r="K38" s="702"/>
      <c r="L38" s="702"/>
      <c r="M38" s="997"/>
      <c r="N38" s="997"/>
      <c r="O38" s="702"/>
      <c r="P38" s="997"/>
      <c r="Q38" s="703"/>
      <c r="R38" s="704"/>
    </row>
    <row r="39" spans="1:18" ht="15" thickTop="1">
      <c r="A39" s="998" t="s">
        <v>222</v>
      </c>
      <c r="B39" s="804"/>
      <c r="C39" s="991">
        <f ca="1">'Eigen gebouwen'!B19</f>
        <v>0</v>
      </c>
      <c r="D39" s="991">
        <f ca="1">'Eigen gebouwen'!C19</f>
        <v>0</v>
      </c>
      <c r="E39" s="991">
        <f>'Eigen gebouwen'!D19</f>
        <v>0</v>
      </c>
      <c r="F39" s="991">
        <f>'Eigen gebouwen'!E19</f>
        <v>0</v>
      </c>
      <c r="G39" s="991">
        <f>'Eigen gebouwen'!F19</f>
        <v>0</v>
      </c>
      <c r="H39" s="991">
        <f>'Eigen gebouwen'!G19</f>
        <v>0</v>
      </c>
      <c r="I39" s="991">
        <f>'Eigen gebouwen'!H19</f>
        <v>0</v>
      </c>
      <c r="J39" s="991">
        <f>'Eigen gebouwen'!I19</f>
        <v>0</v>
      </c>
      <c r="K39" s="991">
        <f>'Eigen gebouwen'!J19</f>
        <v>0</v>
      </c>
      <c r="L39" s="991">
        <f>'Eigen gebouwen'!K19</f>
        <v>0</v>
      </c>
      <c r="M39" s="991">
        <f>'Eigen gebouwen'!L19</f>
        <v>0</v>
      </c>
      <c r="N39" s="991">
        <f>'Eigen gebouwen'!M19</f>
        <v>0</v>
      </c>
      <c r="O39" s="991">
        <f>'Eigen gebouwen'!N19</f>
        <v>0</v>
      </c>
      <c r="P39" s="991">
        <f>'Eigen gebouwen'!O19</f>
        <v>0</v>
      </c>
      <c r="Q39" s="749">
        <f>'Eigen gebouwen'!P19</f>
        <v>0</v>
      </c>
      <c r="R39" s="999">
        <f t="shared" ref="R39:R44" ca="1" si="4">SUM(C39:Q39)</f>
        <v>0</v>
      </c>
    </row>
    <row r="40" spans="1:18">
      <c r="A40" s="785" t="s">
        <v>223</v>
      </c>
      <c r="B40" s="805"/>
      <c r="C40" s="991">
        <f ca="1">tertiair!B20+'openbare verlichting'!B12</f>
        <v>2278.3393774888418</v>
      </c>
      <c r="D40" s="991">
        <f ca="1">tertiair!C20</f>
        <v>0</v>
      </c>
      <c r="E40" s="991">
        <f ca="1">tertiair!D20</f>
        <v>2064.0333315800008</v>
      </c>
      <c r="F40" s="991">
        <f>tertiair!E20</f>
        <v>23.567428819415664</v>
      </c>
      <c r="G40" s="991">
        <f ca="1">tertiair!F20</f>
        <v>421.97865112386978</v>
      </c>
      <c r="H40" s="991">
        <f>tertiair!G20</f>
        <v>0</v>
      </c>
      <c r="I40" s="991">
        <f>tertiair!H20</f>
        <v>0</v>
      </c>
      <c r="J40" s="991">
        <f>tertiair!I20</f>
        <v>0</v>
      </c>
      <c r="K40" s="991">
        <f>tertiair!J20</f>
        <v>0</v>
      </c>
      <c r="L40" s="991">
        <f>tertiair!K20</f>
        <v>0</v>
      </c>
      <c r="M40" s="991">
        <f ca="1">tertiair!L20</f>
        <v>0</v>
      </c>
      <c r="N40" s="991">
        <f>tertiair!M20</f>
        <v>0</v>
      </c>
      <c r="O40" s="991">
        <f ca="1">tertiair!N20</f>
        <v>0</v>
      </c>
      <c r="P40" s="991">
        <f>tertiair!O20</f>
        <v>0</v>
      </c>
      <c r="Q40" s="749">
        <f>tertiair!P20</f>
        <v>0</v>
      </c>
      <c r="R40" s="825">
        <f t="shared" ca="1" si="4"/>
        <v>4787.9187890121284</v>
      </c>
    </row>
    <row r="41" spans="1:18">
      <c r="A41" s="797" t="s">
        <v>224</v>
      </c>
      <c r="B41" s="804"/>
      <c r="C41" s="991">
        <f ca="1">huishoudens!B12</f>
        <v>3025.3355582762756</v>
      </c>
      <c r="D41" s="991">
        <f ca="1">huishoudens!C12</f>
        <v>0</v>
      </c>
      <c r="E41" s="991">
        <f>huishoudens!D12</f>
        <v>9396.9767061279999</v>
      </c>
      <c r="F41" s="991">
        <f>huishoudens!E12</f>
        <v>177.5930862376494</v>
      </c>
      <c r="G41" s="991">
        <f>huishoudens!F12</f>
        <v>0</v>
      </c>
      <c r="H41" s="991">
        <f>huishoudens!G12</f>
        <v>0</v>
      </c>
      <c r="I41" s="991">
        <f>huishoudens!H12</f>
        <v>0</v>
      </c>
      <c r="J41" s="991">
        <f>huishoudens!I12</f>
        <v>0</v>
      </c>
      <c r="K41" s="991">
        <f>huishoudens!J12</f>
        <v>0</v>
      </c>
      <c r="L41" s="991">
        <f>huishoudens!K12</f>
        <v>0</v>
      </c>
      <c r="M41" s="991">
        <f>huishoudens!L12</f>
        <v>0</v>
      </c>
      <c r="N41" s="991">
        <f>huishoudens!M12</f>
        <v>0</v>
      </c>
      <c r="O41" s="991">
        <f>huishoudens!N12</f>
        <v>0</v>
      </c>
      <c r="P41" s="991">
        <f>huishoudens!O12</f>
        <v>0</v>
      </c>
      <c r="Q41" s="749">
        <f>huishoudens!P12</f>
        <v>0</v>
      </c>
      <c r="R41" s="825">
        <f t="shared" ca="1" si="4"/>
        <v>12599.905350641926</v>
      </c>
    </row>
    <row r="42" spans="1:18">
      <c r="A42" s="797" t="s">
        <v>506</v>
      </c>
      <c r="B42" s="804"/>
      <c r="C42" s="991">
        <f ca="1">'Eigen openbare verlichting'!B19</f>
        <v>0</v>
      </c>
      <c r="D42" s="991"/>
      <c r="E42" s="991"/>
      <c r="F42" s="991"/>
      <c r="G42" s="991"/>
      <c r="H42" s="991"/>
      <c r="I42" s="991"/>
      <c r="J42" s="991"/>
      <c r="K42" s="991"/>
      <c r="L42" s="991"/>
      <c r="M42" s="991"/>
      <c r="N42" s="991"/>
      <c r="O42" s="991"/>
      <c r="P42" s="991"/>
      <c r="Q42" s="749"/>
      <c r="R42" s="825">
        <f t="shared" ca="1" si="4"/>
        <v>0</v>
      </c>
    </row>
    <row r="43" spans="1:18">
      <c r="A43" s="797" t="s">
        <v>653</v>
      </c>
      <c r="B43" s="812" t="s">
        <v>650</v>
      </c>
      <c r="C43" s="991">
        <f ca="1">industrie!B22</f>
        <v>658.98052640331105</v>
      </c>
      <c r="D43" s="991">
        <f ca="1">industrie!C22</f>
        <v>0</v>
      </c>
      <c r="E43" s="991">
        <f>industrie!D22</f>
        <v>546.62602970800003</v>
      </c>
      <c r="F43" s="991">
        <f>industrie!E22</f>
        <v>87.908115715896372</v>
      </c>
      <c r="G43" s="991">
        <f>industrie!F22</f>
        <v>459.5238801633829</v>
      </c>
      <c r="H43" s="991">
        <f>industrie!G22</f>
        <v>0</v>
      </c>
      <c r="I43" s="991">
        <f>industrie!H22</f>
        <v>0</v>
      </c>
      <c r="J43" s="991">
        <f>industrie!I22</f>
        <v>0</v>
      </c>
      <c r="K43" s="991">
        <f>industrie!J22</f>
        <v>4.6308877244255511</v>
      </c>
      <c r="L43" s="991">
        <f>industrie!K22</f>
        <v>0</v>
      </c>
      <c r="M43" s="991">
        <f>industrie!L22</f>
        <v>0</v>
      </c>
      <c r="N43" s="991">
        <f>industrie!M22</f>
        <v>0</v>
      </c>
      <c r="O43" s="991">
        <f>industrie!N22</f>
        <v>0</v>
      </c>
      <c r="P43" s="991">
        <f>industrie!O22</f>
        <v>0</v>
      </c>
      <c r="Q43" s="749">
        <f>industrie!P22</f>
        <v>0</v>
      </c>
      <c r="R43" s="824">
        <f t="shared" ca="1" si="4"/>
        <v>1757.6694397150159</v>
      </c>
    </row>
    <row r="44" spans="1:18">
      <c r="A44" s="797"/>
      <c r="B44" s="804" t="s">
        <v>651</v>
      </c>
      <c r="C44" s="991"/>
      <c r="D44" s="991"/>
      <c r="E44" s="991"/>
      <c r="F44" s="991"/>
      <c r="G44" s="991"/>
      <c r="H44" s="991"/>
      <c r="I44" s="991"/>
      <c r="J44" s="991"/>
      <c r="K44" s="991"/>
      <c r="L44" s="991"/>
      <c r="M44" s="991"/>
      <c r="N44" s="991"/>
      <c r="O44" s="991"/>
      <c r="P44" s="991"/>
      <c r="Q44" s="749"/>
      <c r="R44" s="825">
        <f t="shared" si="4"/>
        <v>0</v>
      </c>
    </row>
    <row r="45" spans="1:18" ht="15" thickBot="1">
      <c r="A45" s="993" t="s">
        <v>847</v>
      </c>
      <c r="B45" s="1000"/>
      <c r="C45" s="995"/>
      <c r="D45" s="995"/>
      <c r="E45" s="995"/>
      <c r="F45" s="995"/>
      <c r="G45" s="995"/>
      <c r="H45" s="995"/>
      <c r="I45" s="995"/>
      <c r="J45" s="995"/>
      <c r="K45" s="995"/>
      <c r="L45" s="995"/>
      <c r="M45" s="995"/>
      <c r="N45" s="995"/>
      <c r="O45" s="995"/>
      <c r="P45" s="995"/>
      <c r="Q45" s="996"/>
      <c r="R45" s="1001"/>
    </row>
    <row r="46" spans="1:18" ht="15.75" thickBot="1">
      <c r="A46" s="798" t="s">
        <v>225</v>
      </c>
      <c r="B46" s="811"/>
      <c r="C46" s="707">
        <f ca="1">SUM(C39:C45)</f>
        <v>5962.6554621684281</v>
      </c>
      <c r="D46" s="707">
        <f t="shared" ref="D46:Q46" ca="1" si="5">SUM(D39:D45)</f>
        <v>0</v>
      </c>
      <c r="E46" s="707">
        <f t="shared" ca="1" si="5"/>
        <v>12007.636067416002</v>
      </c>
      <c r="F46" s="707">
        <f t="shared" si="5"/>
        <v>289.06863077296146</v>
      </c>
      <c r="G46" s="707">
        <f t="shared" ca="1" si="5"/>
        <v>881.50253128725262</v>
      </c>
      <c r="H46" s="707">
        <f t="shared" si="5"/>
        <v>0</v>
      </c>
      <c r="I46" s="707">
        <f t="shared" si="5"/>
        <v>0</v>
      </c>
      <c r="J46" s="707">
        <f t="shared" si="5"/>
        <v>0</v>
      </c>
      <c r="K46" s="707">
        <f t="shared" si="5"/>
        <v>4.6308877244255511</v>
      </c>
      <c r="L46" s="707">
        <f t="shared" si="5"/>
        <v>0</v>
      </c>
      <c r="M46" s="707">
        <f t="shared" ca="1" si="5"/>
        <v>0</v>
      </c>
      <c r="N46" s="707">
        <f t="shared" si="5"/>
        <v>0</v>
      </c>
      <c r="O46" s="707">
        <f t="shared" ca="1" si="5"/>
        <v>0</v>
      </c>
      <c r="P46" s="707">
        <f t="shared" si="5"/>
        <v>0</v>
      </c>
      <c r="Q46" s="707">
        <f t="shared" si="5"/>
        <v>0</v>
      </c>
      <c r="R46" s="707">
        <f ca="1">SUM(R39:R45)</f>
        <v>19145.493579369071</v>
      </c>
    </row>
    <row r="47" spans="1:18" ht="15.75">
      <c r="A47" s="799" t="s">
        <v>226</v>
      </c>
      <c r="B47" s="809"/>
      <c r="C47" s="700"/>
      <c r="D47" s="701"/>
      <c r="E47" s="701"/>
      <c r="F47" s="701"/>
      <c r="G47" s="701"/>
      <c r="H47" s="701"/>
      <c r="I47" s="701"/>
      <c r="J47" s="701"/>
      <c r="K47" s="701"/>
      <c r="L47" s="701"/>
      <c r="M47" s="710"/>
      <c r="N47" s="710"/>
      <c r="O47" s="701"/>
      <c r="P47" s="710"/>
      <c r="Q47" s="710"/>
      <c r="R47" s="704"/>
    </row>
    <row r="48" spans="1:18">
      <c r="A48" s="797" t="s">
        <v>227</v>
      </c>
      <c r="B48" s="804"/>
      <c r="C48" s="991">
        <f ca="1">'Eigen vloot'!B31</f>
        <v>0</v>
      </c>
      <c r="D48" s="991">
        <f>'Eigen vloot'!C31</f>
        <v>0</v>
      </c>
      <c r="E48" s="991">
        <f>'Eigen vloot'!D31</f>
        <v>0</v>
      </c>
      <c r="F48" s="991">
        <f>'Eigen vloot'!E31</f>
        <v>0</v>
      </c>
      <c r="G48" s="991">
        <f>'Eigen vloot'!F31</f>
        <v>0</v>
      </c>
      <c r="H48" s="991">
        <f>'Eigen vloot'!G31</f>
        <v>0</v>
      </c>
      <c r="I48" s="991">
        <f>'Eigen vloot'!H31</f>
        <v>0</v>
      </c>
      <c r="J48" s="991">
        <f>'Eigen vloot'!I31</f>
        <v>0</v>
      </c>
      <c r="K48" s="991">
        <f>'Eigen vloot'!J31</f>
        <v>0</v>
      </c>
      <c r="L48" s="991">
        <f>'Eigen vloot'!K31</f>
        <v>0</v>
      </c>
      <c r="M48" s="991">
        <f>'Eigen vloot'!L31</f>
        <v>0</v>
      </c>
      <c r="N48" s="991">
        <f>'Eigen vloot'!M31</f>
        <v>0</v>
      </c>
      <c r="O48" s="991">
        <f>'Eigen vloot'!N31</f>
        <v>0</v>
      </c>
      <c r="P48" s="991">
        <f>'Eigen vloot'!O31</f>
        <v>0</v>
      </c>
      <c r="Q48" s="991">
        <f>'Eigen vloot'!P31</f>
        <v>0</v>
      </c>
      <c r="R48" s="705">
        <f ca="1">SUM(C48:Q48)</f>
        <v>0</v>
      </c>
    </row>
    <row r="49" spans="1:18">
      <c r="A49" s="797" t="s">
        <v>228</v>
      </c>
      <c r="B49" s="804"/>
      <c r="C49" s="991">
        <f ca="1">transport!B58</f>
        <v>0</v>
      </c>
      <c r="D49" s="991">
        <f ca="1">transport!C58</f>
        <v>0</v>
      </c>
      <c r="E49" s="991">
        <f>transport!D58</f>
        <v>0</v>
      </c>
      <c r="F49" s="991">
        <f>transport!E58</f>
        <v>0</v>
      </c>
      <c r="G49" s="991">
        <f>transport!F58</f>
        <v>0</v>
      </c>
      <c r="H49" s="991">
        <f>transport!G58</f>
        <v>174.52009451427105</v>
      </c>
      <c r="I49" s="991">
        <f>transport!H58</f>
        <v>0</v>
      </c>
      <c r="J49" s="991">
        <f>transport!I58</f>
        <v>0</v>
      </c>
      <c r="K49" s="991">
        <f>transport!J58</f>
        <v>0</v>
      </c>
      <c r="L49" s="991">
        <f>transport!K58</f>
        <v>0</v>
      </c>
      <c r="M49" s="991">
        <f>transport!L58</f>
        <v>0</v>
      </c>
      <c r="N49" s="991">
        <f>transport!M58</f>
        <v>0</v>
      </c>
      <c r="O49" s="991">
        <f>transport!N58</f>
        <v>0</v>
      </c>
      <c r="P49" s="991">
        <f>transport!O58</f>
        <v>0</v>
      </c>
      <c r="Q49" s="992">
        <f>transport!P58</f>
        <v>0</v>
      </c>
      <c r="R49" s="705">
        <f ca="1">SUM(C49:Q49)</f>
        <v>174.52009451427105</v>
      </c>
    </row>
    <row r="50" spans="1:18">
      <c r="A50" s="800" t="s">
        <v>306</v>
      </c>
      <c r="B50" s="810"/>
      <c r="C50" s="678">
        <f ca="1">transport!B18</f>
        <v>0.70903667544100246</v>
      </c>
      <c r="D50" s="678">
        <f>transport!C18</f>
        <v>0</v>
      </c>
      <c r="E50" s="678">
        <f>transport!D18</f>
        <v>1.3378819362953007</v>
      </c>
      <c r="F50" s="678">
        <f>transport!E18</f>
        <v>14.452534749288768</v>
      </c>
      <c r="G50" s="678">
        <f>transport!F18</f>
        <v>0</v>
      </c>
      <c r="H50" s="678">
        <f>transport!G18</f>
        <v>4788.4880172546973</v>
      </c>
      <c r="I50" s="678">
        <f>transport!H18</f>
        <v>1005.0929451355514</v>
      </c>
      <c r="J50" s="678">
        <f>transport!I18</f>
        <v>0</v>
      </c>
      <c r="K50" s="678">
        <f>transport!J18</f>
        <v>0</v>
      </c>
      <c r="L50" s="678">
        <f>transport!K18</f>
        <v>0</v>
      </c>
      <c r="M50" s="678">
        <f>transport!L18</f>
        <v>0</v>
      </c>
      <c r="N50" s="678">
        <f>transport!M18</f>
        <v>0</v>
      </c>
      <c r="O50" s="678">
        <f>transport!N18</f>
        <v>0</v>
      </c>
      <c r="P50" s="678">
        <f>transport!O18</f>
        <v>0</v>
      </c>
      <c r="Q50" s="679">
        <f>transport!P18</f>
        <v>0</v>
      </c>
      <c r="R50" s="706">
        <f ca="1">SUM(C50:Q50)</f>
        <v>5810.0804157512739</v>
      </c>
    </row>
    <row r="51" spans="1:18" ht="15" thickBot="1">
      <c r="A51" s="797" t="s">
        <v>848</v>
      </c>
      <c r="B51" s="804"/>
      <c r="C51" s="991"/>
      <c r="D51" s="991"/>
      <c r="E51" s="991"/>
      <c r="F51" s="991"/>
      <c r="G51" s="991"/>
      <c r="H51" s="991"/>
      <c r="I51" s="991"/>
      <c r="J51" s="991"/>
      <c r="K51" s="991"/>
      <c r="L51" s="991"/>
      <c r="M51" s="991"/>
      <c r="N51" s="991"/>
      <c r="O51" s="991"/>
      <c r="P51" s="991"/>
      <c r="Q51" s="992"/>
      <c r="R51" s="705"/>
    </row>
    <row r="52" spans="1:18" ht="15.75" thickBot="1">
      <c r="A52" s="798" t="s">
        <v>229</v>
      </c>
      <c r="B52" s="811"/>
      <c r="C52" s="707">
        <f ca="1">SUM(C48:C51)</f>
        <v>0.70903667544100246</v>
      </c>
      <c r="D52" s="707">
        <f t="shared" ref="D52:Q52" ca="1" si="6">SUM(D48:D51)</f>
        <v>0</v>
      </c>
      <c r="E52" s="707">
        <f t="shared" si="6"/>
        <v>1.3378819362953007</v>
      </c>
      <c r="F52" s="707">
        <f t="shared" si="6"/>
        <v>14.452534749288768</v>
      </c>
      <c r="G52" s="707">
        <f t="shared" si="6"/>
        <v>0</v>
      </c>
      <c r="H52" s="707">
        <f t="shared" si="6"/>
        <v>4963.0081117689688</v>
      </c>
      <c r="I52" s="707">
        <f t="shared" si="6"/>
        <v>1005.0929451355514</v>
      </c>
      <c r="J52" s="707">
        <f t="shared" si="6"/>
        <v>0</v>
      </c>
      <c r="K52" s="707">
        <f t="shared" si="6"/>
        <v>0</v>
      </c>
      <c r="L52" s="707">
        <f t="shared" si="6"/>
        <v>0</v>
      </c>
      <c r="M52" s="707">
        <f t="shared" si="6"/>
        <v>0</v>
      </c>
      <c r="N52" s="707">
        <f t="shared" si="6"/>
        <v>0</v>
      </c>
      <c r="O52" s="707">
        <f t="shared" si="6"/>
        <v>0</v>
      </c>
      <c r="P52" s="707">
        <f t="shared" si="6"/>
        <v>0</v>
      </c>
      <c r="Q52" s="707">
        <f t="shared" si="6"/>
        <v>0</v>
      </c>
      <c r="R52" s="707">
        <f ca="1">SUM(R48:R51)</f>
        <v>5984.6005102655454</v>
      </c>
    </row>
    <row r="53" spans="1:18" ht="15.75">
      <c r="A53" s="799" t="s">
        <v>236</v>
      </c>
      <c r="B53" s="779"/>
      <c r="C53" s="700"/>
      <c r="D53" s="701"/>
      <c r="E53" s="701"/>
      <c r="F53" s="701"/>
      <c r="G53" s="701"/>
      <c r="H53" s="701"/>
      <c r="I53" s="701"/>
      <c r="J53" s="701"/>
      <c r="K53" s="701"/>
      <c r="L53" s="701"/>
      <c r="M53" s="710"/>
      <c r="N53" s="710"/>
      <c r="O53" s="701"/>
      <c r="P53" s="710"/>
      <c r="Q53" s="710"/>
      <c r="R53" s="704"/>
    </row>
    <row r="54" spans="1:18">
      <c r="A54" s="800" t="s">
        <v>647</v>
      </c>
      <c r="B54" s="810"/>
      <c r="C54" s="678">
        <f ca="1">+landbouw!B12</f>
        <v>2.8428758511360792</v>
      </c>
      <c r="D54" s="678">
        <f ca="1">+landbouw!C12</f>
        <v>0</v>
      </c>
      <c r="E54" s="678">
        <f>+landbouw!D12</f>
        <v>3.5861391279999997</v>
      </c>
      <c r="F54" s="678">
        <f>+landbouw!E12</f>
        <v>3.0136122571175487E-2</v>
      </c>
      <c r="G54" s="678">
        <f>+landbouw!F12</f>
        <v>9.7096022327973603</v>
      </c>
      <c r="H54" s="678">
        <f>+landbouw!G12</f>
        <v>0</v>
      </c>
      <c r="I54" s="678">
        <f>+landbouw!H12</f>
        <v>0</v>
      </c>
      <c r="J54" s="678">
        <f>+landbouw!I12</f>
        <v>0</v>
      </c>
      <c r="K54" s="678">
        <f>+landbouw!J12</f>
        <v>0.77788273528838447</v>
      </c>
      <c r="L54" s="678">
        <f>+landbouw!K12</f>
        <v>0</v>
      </c>
      <c r="M54" s="678">
        <f>+landbouw!L12</f>
        <v>0</v>
      </c>
      <c r="N54" s="678">
        <f>+landbouw!M12</f>
        <v>0</v>
      </c>
      <c r="O54" s="678">
        <f>+landbouw!N12</f>
        <v>0</v>
      </c>
      <c r="P54" s="678">
        <f>+landbouw!O12</f>
        <v>0</v>
      </c>
      <c r="Q54" s="679">
        <f>+landbouw!P12</f>
        <v>0</v>
      </c>
      <c r="R54" s="706">
        <f ca="1">SUM(C54:Q54)</f>
        <v>16.946636069792998</v>
      </c>
    </row>
    <row r="55" spans="1:18" ht="15" thickBot="1">
      <c r="A55" s="800" t="s">
        <v>849</v>
      </c>
      <c r="B55" s="810"/>
      <c r="C55" s="678">
        <f ca="1">C25*'EF ele_warmte'!B12</f>
        <v>109.13326943501664</v>
      </c>
      <c r="D55" s="678"/>
      <c r="E55" s="678">
        <f>E25*EF_CO2_aardgas</f>
        <v>278.52163999999999</v>
      </c>
      <c r="F55" s="678"/>
      <c r="G55" s="678"/>
      <c r="H55" s="678"/>
      <c r="I55" s="678"/>
      <c r="J55" s="678"/>
      <c r="K55" s="678"/>
      <c r="L55" s="678"/>
      <c r="M55" s="678"/>
      <c r="N55" s="678"/>
      <c r="O55" s="678"/>
      <c r="P55" s="678"/>
      <c r="Q55" s="679"/>
      <c r="R55" s="706">
        <f ca="1">SUM(C55:Q55)</f>
        <v>387.65490943501663</v>
      </c>
    </row>
    <row r="56" spans="1:18" ht="15.75" thickBot="1">
      <c r="A56" s="798" t="s">
        <v>850</v>
      </c>
      <c r="B56" s="811"/>
      <c r="C56" s="707">
        <f ca="1">SUM(C54:C55)</f>
        <v>111.97614528615273</v>
      </c>
      <c r="D56" s="707">
        <f t="shared" ref="D56:Q56" ca="1" si="7">SUM(D54:D55)</f>
        <v>0</v>
      </c>
      <c r="E56" s="707">
        <f t="shared" si="7"/>
        <v>282.107779128</v>
      </c>
      <c r="F56" s="707">
        <f t="shared" si="7"/>
        <v>3.0136122571175487E-2</v>
      </c>
      <c r="G56" s="707">
        <f t="shared" si="7"/>
        <v>9.7096022327973603</v>
      </c>
      <c r="H56" s="707">
        <f t="shared" si="7"/>
        <v>0</v>
      </c>
      <c r="I56" s="707">
        <f t="shared" si="7"/>
        <v>0</v>
      </c>
      <c r="J56" s="707">
        <f t="shared" si="7"/>
        <v>0</v>
      </c>
      <c r="K56" s="707">
        <f t="shared" si="7"/>
        <v>0.77788273528838447</v>
      </c>
      <c r="L56" s="707">
        <f t="shared" si="7"/>
        <v>0</v>
      </c>
      <c r="M56" s="707">
        <f t="shared" si="7"/>
        <v>0</v>
      </c>
      <c r="N56" s="707">
        <f t="shared" si="7"/>
        <v>0</v>
      </c>
      <c r="O56" s="707">
        <f t="shared" si="7"/>
        <v>0</v>
      </c>
      <c r="P56" s="707">
        <f t="shared" si="7"/>
        <v>0</v>
      </c>
      <c r="Q56" s="708">
        <f t="shared" si="7"/>
        <v>0</v>
      </c>
      <c r="R56" s="709">
        <f ca="1">SUM(R54:R55)</f>
        <v>404.60154550480962</v>
      </c>
    </row>
    <row r="57" spans="1:18" ht="15.75">
      <c r="A57" s="779" t="s">
        <v>648</v>
      </c>
      <c r="B57" s="779"/>
      <c r="C57" s="712"/>
      <c r="D57" s="701"/>
      <c r="E57" s="701"/>
      <c r="F57" s="701"/>
      <c r="G57" s="701"/>
      <c r="H57" s="701"/>
      <c r="I57" s="701"/>
      <c r="J57" s="701"/>
      <c r="K57" s="701"/>
      <c r="L57" s="701"/>
      <c r="M57" s="710"/>
      <c r="N57" s="710"/>
      <c r="O57" s="701"/>
      <c r="P57" s="710"/>
      <c r="Q57" s="710"/>
      <c r="R57" s="704"/>
    </row>
    <row r="58" spans="1:18" ht="15">
      <c r="A58" s="801" t="s">
        <v>237</v>
      </c>
      <c r="B58" s="815"/>
      <c r="C58" s="1096"/>
      <c r="D58" s="1097"/>
      <c r="E58" s="1097"/>
      <c r="F58" s="1097"/>
      <c r="G58" s="1097"/>
      <c r="H58" s="1097"/>
      <c r="I58" s="1097"/>
      <c r="J58" s="1097"/>
      <c r="K58" s="1097"/>
      <c r="L58" s="1097"/>
      <c r="M58" s="1097"/>
      <c r="N58" s="1097"/>
      <c r="O58" s="1097"/>
      <c r="P58" s="1097"/>
      <c r="Q58" s="1097"/>
      <c r="R58" s="713"/>
    </row>
    <row r="59" spans="1:18" ht="15">
      <c r="A59" s="802" t="s">
        <v>238</v>
      </c>
      <c r="B59" s="789"/>
      <c r="C59" s="1098"/>
      <c r="D59" s="1099"/>
      <c r="E59" s="1099"/>
      <c r="F59" s="1099"/>
      <c r="G59" s="1099"/>
      <c r="H59" s="1099"/>
      <c r="I59" s="1099"/>
      <c r="J59" s="1099"/>
      <c r="K59" s="1099"/>
      <c r="L59" s="1099"/>
      <c r="M59" s="1099"/>
      <c r="N59" s="1099"/>
      <c r="O59" s="1099"/>
      <c r="P59" s="1099"/>
      <c r="Q59" s="1099"/>
      <c r="R59" s="714"/>
    </row>
    <row r="60" spans="1:18" ht="15" thickBot="1">
      <c r="A60" s="813" t="s">
        <v>239</v>
      </c>
      <c r="B60" s="814"/>
      <c r="C60" s="1098"/>
      <c r="D60" s="1099"/>
      <c r="E60" s="1099"/>
      <c r="F60" s="1099"/>
      <c r="G60" s="1099"/>
      <c r="H60" s="1099"/>
      <c r="I60" s="1099"/>
      <c r="J60" s="1099"/>
      <c r="K60" s="1099"/>
      <c r="L60" s="1099"/>
      <c r="M60" s="1099"/>
      <c r="N60" s="1099"/>
      <c r="O60" s="1099"/>
      <c r="P60" s="1099"/>
      <c r="Q60" s="1099"/>
      <c r="R60" s="706"/>
    </row>
    <row r="61" spans="1:18" ht="16.5" thickBot="1">
      <c r="A61" s="816" t="s">
        <v>115</v>
      </c>
      <c r="B61" s="817"/>
      <c r="C61" s="715">
        <f ca="1">C46+C52+C56</f>
        <v>6075.3406441300222</v>
      </c>
      <c r="D61" s="715">
        <f t="shared" ref="D61:Q61" ca="1" si="8">D46+D52+D56</f>
        <v>0</v>
      </c>
      <c r="E61" s="715">
        <f t="shared" ca="1" si="8"/>
        <v>12291.081728480298</v>
      </c>
      <c r="F61" s="715">
        <f t="shared" si="8"/>
        <v>303.55130164482136</v>
      </c>
      <c r="G61" s="715">
        <f t="shared" ca="1" si="8"/>
        <v>891.21213352004997</v>
      </c>
      <c r="H61" s="715">
        <f t="shared" si="8"/>
        <v>4963.0081117689688</v>
      </c>
      <c r="I61" s="715">
        <f t="shared" si="8"/>
        <v>1005.0929451355514</v>
      </c>
      <c r="J61" s="715">
        <f t="shared" si="8"/>
        <v>0</v>
      </c>
      <c r="K61" s="715">
        <f t="shared" si="8"/>
        <v>5.4087704597139359</v>
      </c>
      <c r="L61" s="715">
        <f t="shared" si="8"/>
        <v>0</v>
      </c>
      <c r="M61" s="715">
        <f t="shared" ca="1" si="8"/>
        <v>0</v>
      </c>
      <c r="N61" s="715">
        <f t="shared" si="8"/>
        <v>0</v>
      </c>
      <c r="O61" s="715">
        <f t="shared" ca="1" si="8"/>
        <v>0</v>
      </c>
      <c r="P61" s="715">
        <f t="shared" si="8"/>
        <v>0</v>
      </c>
      <c r="Q61" s="715">
        <f t="shared" si="8"/>
        <v>0</v>
      </c>
      <c r="R61" s="715">
        <f ca="1">R46+R52+R56</f>
        <v>25534.695635139426</v>
      </c>
    </row>
    <row r="62" spans="1:18" ht="15.75" thickTop="1" thickBot="1">
      <c r="A62" s="981"/>
      <c r="B62" s="981"/>
      <c r="C62" s="716"/>
      <c r="D62" s="716"/>
      <c r="E62" s="717"/>
      <c r="F62" s="717"/>
      <c r="G62" s="717"/>
      <c r="H62" s="717"/>
      <c r="I62" s="717"/>
      <c r="J62" s="717"/>
      <c r="K62" s="717"/>
      <c r="L62" s="717"/>
      <c r="M62" s="717"/>
      <c r="N62" s="717"/>
      <c r="O62" s="717"/>
      <c r="P62" s="717"/>
      <c r="Q62" s="717"/>
      <c r="R62" s="717"/>
    </row>
    <row r="63" spans="1:18" ht="20.25" thickTop="1" thickBot="1">
      <c r="A63" s="718" t="s">
        <v>347</v>
      </c>
      <c r="B63" s="796"/>
      <c r="C63" s="756">
        <f t="shared" ref="C63:Q63" ca="1" si="9">IF(ISERROR(C61/C27),0,C61/C27)</f>
        <v>0.19834478833015273</v>
      </c>
      <c r="D63" s="756">
        <f t="shared" ca="1" si="9"/>
        <v>0</v>
      </c>
      <c r="E63" s="1002">
        <f t="shared" ca="1" si="9"/>
        <v>0.20200000000000004</v>
      </c>
      <c r="F63" s="756">
        <f t="shared" si="9"/>
        <v>0.22700000000000001</v>
      </c>
      <c r="G63" s="756">
        <f t="shared" ca="1" si="9"/>
        <v>0.26700000000000002</v>
      </c>
      <c r="H63" s="756">
        <f t="shared" si="9"/>
        <v>0.26700000000000002</v>
      </c>
      <c r="I63" s="756">
        <f t="shared" si="9"/>
        <v>0.24899999999999997</v>
      </c>
      <c r="J63" s="756">
        <f t="shared" si="9"/>
        <v>0</v>
      </c>
      <c r="K63" s="756">
        <f t="shared" si="9"/>
        <v>0.35399999999999998</v>
      </c>
      <c r="L63" s="756">
        <f t="shared" si="9"/>
        <v>0</v>
      </c>
      <c r="M63" s="756">
        <f t="shared" ca="1" si="9"/>
        <v>0</v>
      </c>
      <c r="N63" s="756">
        <f t="shared" si="9"/>
        <v>0</v>
      </c>
      <c r="O63" s="756">
        <f t="shared" ca="1" si="9"/>
        <v>0</v>
      </c>
      <c r="P63" s="756">
        <f t="shared" si="9"/>
        <v>0</v>
      </c>
      <c r="Q63" s="756">
        <f t="shared" si="9"/>
        <v>0</v>
      </c>
      <c r="R63" s="717"/>
    </row>
    <row r="64" spans="1:18" ht="33" thickTop="1" thickBot="1">
      <c r="A64" s="803" t="s">
        <v>348</v>
      </c>
      <c r="B64" s="781"/>
      <c r="C64" s="757">
        <f>'EF ele_warmte'!B6</f>
        <v>0.221</v>
      </c>
      <c r="D64" s="758"/>
      <c r="E64" s="759"/>
      <c r="F64" s="760"/>
      <c r="G64" s="760"/>
      <c r="H64" s="760"/>
      <c r="I64" s="760"/>
      <c r="J64" s="760"/>
      <c r="K64" s="760"/>
      <c r="L64" s="760"/>
      <c r="M64" s="760"/>
      <c r="N64" s="760"/>
      <c r="O64" s="760"/>
      <c r="P64" s="760"/>
      <c r="Q64" s="760"/>
      <c r="R64" s="717"/>
    </row>
    <row r="65" spans="1:18" ht="15" thickTop="1">
      <c r="A65" s="719"/>
      <c r="B65" s="719"/>
      <c r="C65" s="717"/>
      <c r="D65" s="717"/>
      <c r="E65" s="717"/>
      <c r="F65" s="717"/>
      <c r="G65" s="717"/>
      <c r="H65" s="717"/>
      <c r="I65" s="717"/>
      <c r="J65" s="717"/>
      <c r="K65" s="717"/>
      <c r="L65" s="717"/>
      <c r="M65" s="717"/>
      <c r="N65" s="717"/>
      <c r="O65" s="717"/>
      <c r="P65" s="717"/>
      <c r="Q65" s="717"/>
      <c r="R65" s="717"/>
    </row>
    <row r="66" spans="1:18" ht="18.75">
      <c r="A66" s="720" t="s">
        <v>349</v>
      </c>
      <c r="B66" s="720"/>
      <c r="C66" s="693"/>
      <c r="D66" s="721"/>
      <c r="E66" s="693"/>
      <c r="F66" s="693"/>
      <c r="G66" s="693"/>
      <c r="H66" s="693"/>
      <c r="I66" s="693"/>
      <c r="J66" s="693"/>
      <c r="K66" s="693"/>
      <c r="L66" s="693"/>
      <c r="M66" s="693"/>
      <c r="N66" s="693"/>
      <c r="O66" s="693"/>
      <c r="P66" s="722"/>
      <c r="Q66" s="722"/>
      <c r="R66" s="722"/>
    </row>
    <row r="67" spans="1:18">
      <c r="A67" s="1103"/>
      <c r="B67" s="1103"/>
      <c r="C67" s="1103"/>
      <c r="D67" s="1103"/>
      <c r="E67" s="1103"/>
      <c r="F67" s="1103"/>
      <c r="G67" s="1103"/>
      <c r="H67" s="1103"/>
      <c r="I67" s="1103"/>
      <c r="J67" s="1103"/>
      <c r="K67" s="1103"/>
      <c r="L67" s="1103"/>
      <c r="M67" s="1103"/>
      <c r="N67" s="1103"/>
      <c r="O67" s="1103"/>
      <c r="P67" s="1103"/>
      <c r="Q67" s="1103"/>
      <c r="R67" s="723"/>
    </row>
    <row r="68" spans="1:18" ht="16.5" customHeight="1" thickBot="1">
      <c r="A68" s="696"/>
      <c r="B68" s="696"/>
      <c r="C68" s="697"/>
      <c r="D68" s="697"/>
      <c r="E68" s="697"/>
      <c r="F68" s="697"/>
      <c r="G68" s="697"/>
      <c r="H68" s="697"/>
      <c r="I68" s="697"/>
      <c r="J68" s="697"/>
      <c r="K68" s="697"/>
      <c r="L68" s="697"/>
      <c r="M68" s="697"/>
      <c r="N68" s="697"/>
      <c r="O68" s="697"/>
      <c r="P68" s="697"/>
      <c r="Q68" s="697"/>
      <c r="R68" s="697"/>
    </row>
    <row r="69" spans="1:18" ht="48.75" customHeight="1" thickTop="1" thickBot="1">
      <c r="A69" s="1116" t="s">
        <v>240</v>
      </c>
      <c r="B69" s="1119" t="s">
        <v>350</v>
      </c>
      <c r="C69" s="1120"/>
      <c r="D69" s="1123" t="s">
        <v>351</v>
      </c>
      <c r="E69" s="1124"/>
      <c r="F69" s="1124"/>
      <c r="G69" s="1124"/>
      <c r="H69" s="1124"/>
      <c r="I69" s="1124"/>
      <c r="J69" s="1124"/>
      <c r="K69" s="1124"/>
      <c r="L69" s="1124"/>
      <c r="M69" s="1124"/>
      <c r="N69" s="1124"/>
      <c r="O69" s="1125"/>
      <c r="P69" s="1003" t="s">
        <v>656</v>
      </c>
      <c r="Q69" s="1126" t="s">
        <v>655</v>
      </c>
      <c r="R69" s="1127"/>
    </row>
    <row r="70" spans="1:18" ht="61.5" thickTop="1" thickBot="1">
      <c r="A70" s="1118"/>
      <c r="B70" s="1121"/>
      <c r="C70" s="1122"/>
      <c r="D70" s="1128" t="s">
        <v>196</v>
      </c>
      <c r="E70" s="1129"/>
      <c r="F70" s="1129"/>
      <c r="G70" s="1129"/>
      <c r="H70" s="1130"/>
      <c r="I70" s="974" t="s">
        <v>245</v>
      </c>
      <c r="J70" s="974" t="s">
        <v>233</v>
      </c>
      <c r="K70" s="974" t="s">
        <v>208</v>
      </c>
      <c r="L70" s="974" t="s">
        <v>209</v>
      </c>
      <c r="M70" s="724" t="s">
        <v>244</v>
      </c>
      <c r="N70" s="974" t="s">
        <v>246</v>
      </c>
      <c r="O70" s="976" t="s">
        <v>126</v>
      </c>
      <c r="P70" s="1004"/>
      <c r="Q70" s="831"/>
      <c r="R70" s="832"/>
    </row>
    <row r="71" spans="1:18" ht="95.25" customHeight="1" thickTop="1" thickBot="1">
      <c r="A71" s="1117"/>
      <c r="B71" s="979" t="s">
        <v>654</v>
      </c>
      <c r="C71" s="979" t="s">
        <v>851</v>
      </c>
      <c r="D71" s="1005" t="s">
        <v>198</v>
      </c>
      <c r="E71" s="1006" t="s">
        <v>199</v>
      </c>
      <c r="F71" s="974" t="s">
        <v>200</v>
      </c>
      <c r="G71" s="971" t="s">
        <v>202</v>
      </c>
      <c r="H71" s="1007" t="s">
        <v>203</v>
      </c>
      <c r="I71" s="975"/>
      <c r="J71" s="975"/>
      <c r="K71" s="975"/>
      <c r="L71" s="975"/>
      <c r="M71" s="972"/>
      <c r="N71" s="975"/>
      <c r="O71" s="980"/>
      <c r="P71" s="1008"/>
      <c r="Q71" s="982" t="s">
        <v>657</v>
      </c>
      <c r="R71" s="980" t="s">
        <v>658</v>
      </c>
    </row>
    <row r="72" spans="1:18" ht="15.75" thickTop="1">
      <c r="A72" s="725" t="s">
        <v>248</v>
      </c>
      <c r="B72" s="818">
        <f>'lokale energieproductie'!B4</f>
        <v>0</v>
      </c>
      <c r="C72" s="1152"/>
      <c r="D72" s="1152"/>
      <c r="E72" s="1153"/>
      <c r="F72" s="1153"/>
      <c r="G72" s="1143"/>
      <c r="H72" s="1146"/>
      <c r="I72" s="1149"/>
      <c r="J72" s="977"/>
      <c r="K72" s="1131"/>
      <c r="L72" s="1131"/>
      <c r="M72" s="1131"/>
      <c r="N72" s="1131"/>
      <c r="O72" s="1134"/>
      <c r="P72" s="826">
        <v>0</v>
      </c>
      <c r="Q72" s="1009"/>
      <c r="R72" s="826">
        <v>0</v>
      </c>
    </row>
    <row r="73" spans="1:18" ht="15">
      <c r="A73" s="726" t="s">
        <v>249</v>
      </c>
      <c r="B73" s="725">
        <f>'lokale energieproductie'!B5</f>
        <v>0</v>
      </c>
      <c r="C73" s="1150"/>
      <c r="D73" s="1150"/>
      <c r="E73" s="1132"/>
      <c r="F73" s="1132"/>
      <c r="G73" s="1144"/>
      <c r="H73" s="1147"/>
      <c r="I73" s="1150"/>
      <c r="J73" s="978"/>
      <c r="K73" s="1132"/>
      <c r="L73" s="1132"/>
      <c r="M73" s="1132"/>
      <c r="N73" s="1132"/>
      <c r="O73" s="1135"/>
      <c r="P73" s="827">
        <v>0</v>
      </c>
      <c r="Q73" s="833"/>
      <c r="R73" s="827">
        <v>0</v>
      </c>
    </row>
    <row r="74" spans="1:18" ht="15">
      <c r="A74" s="726" t="s">
        <v>250</v>
      </c>
      <c r="B74" s="725">
        <f>'lokale energieproductie'!B6</f>
        <v>3139.9713886717409</v>
      </c>
      <c r="C74" s="1150"/>
      <c r="D74" s="1150"/>
      <c r="E74" s="1132"/>
      <c r="F74" s="1132"/>
      <c r="G74" s="1144"/>
      <c r="H74" s="1147"/>
      <c r="I74" s="1150"/>
      <c r="J74" s="978"/>
      <c r="K74" s="1132"/>
      <c r="L74" s="1132"/>
      <c r="M74" s="1132"/>
      <c r="N74" s="1132"/>
      <c r="O74" s="1135"/>
      <c r="P74" s="827">
        <v>0</v>
      </c>
      <c r="Q74" s="833"/>
      <c r="R74" s="827">
        <v>0</v>
      </c>
    </row>
    <row r="75" spans="1:18" ht="15.75" thickBot="1">
      <c r="A75" s="726" t="s">
        <v>852</v>
      </c>
      <c r="B75" s="725">
        <f>'lokale energieproductie'!B7</f>
        <v>0</v>
      </c>
      <c r="C75" s="1151"/>
      <c r="D75" s="1151"/>
      <c r="E75" s="1133"/>
      <c r="F75" s="1133"/>
      <c r="G75" s="1145"/>
      <c r="H75" s="1148"/>
      <c r="I75" s="1151"/>
      <c r="J75" s="1010"/>
      <c r="K75" s="1133"/>
      <c r="L75" s="1133"/>
      <c r="M75" s="1133"/>
      <c r="N75" s="1133"/>
      <c r="O75" s="1136"/>
      <c r="P75" s="827">
        <v>0</v>
      </c>
      <c r="Q75" s="1011"/>
      <c r="R75" s="827">
        <v>0</v>
      </c>
    </row>
    <row r="76" spans="1:18" ht="15">
      <c r="A76" s="727" t="s">
        <v>251</v>
      </c>
      <c r="B76" s="725">
        <f>'lokale energieproductie'!B8*IFERROR(SUM(I76:O76)/SUM(D76:O76),0)</f>
        <v>0</v>
      </c>
      <c r="C76" s="725">
        <f>'lokale energieproductie'!B8*IFERROR(SUM(D76:H76)/SUM(D76:O76),0)</f>
        <v>0</v>
      </c>
      <c r="D76" s="1012">
        <f>'lokale energieproductie'!C8</f>
        <v>0</v>
      </c>
      <c r="E76" s="1013">
        <f>'lokale energieproductie'!D8</f>
        <v>0</v>
      </c>
      <c r="F76" s="1013">
        <f>'lokale energieproductie'!E8</f>
        <v>0</v>
      </c>
      <c r="G76" s="1013">
        <f>'lokale energieproductie'!F8</f>
        <v>0</v>
      </c>
      <c r="H76" s="1013">
        <f>'lokale energieproductie'!G8</f>
        <v>0</v>
      </c>
      <c r="I76" s="1013">
        <f>'lokale energieproductie'!I8</f>
        <v>0</v>
      </c>
      <c r="J76" s="1013">
        <f>'lokale energieproductie'!J8</f>
        <v>0</v>
      </c>
      <c r="K76" s="1013">
        <f>'lokale energieproductie'!M8</f>
        <v>0</v>
      </c>
      <c r="L76" s="1013">
        <f>'lokale energieproductie'!N8</f>
        <v>0</v>
      </c>
      <c r="M76" s="1013">
        <f>'lokale energieproductie'!H8</f>
        <v>0</v>
      </c>
      <c r="N76" s="1013">
        <f>'lokale energieproductie'!K8</f>
        <v>0</v>
      </c>
      <c r="O76" s="1014">
        <f>'lokale energieproductie'!L8</f>
        <v>0</v>
      </c>
      <c r="P76" s="1015"/>
      <c r="Q76" s="828">
        <f>D76*EF_CO2_aardgas+E76*EF_VLgas_CO2+'SEAP template'!F76*EF_stookolie_CO2+EF_bruinkool_CO2*'SEAP template'!G76+'SEAP template'!H76*EF_steenkool_CO2+'EF brandstof'!M4*'SEAP template'!M76+'SEAP template'!O76*EF_anderfossiel_CO2</f>
        <v>0</v>
      </c>
      <c r="R76" s="827">
        <v>0</v>
      </c>
    </row>
    <row r="77" spans="1:18" ht="30.75" thickBot="1">
      <c r="A77" s="728" t="s">
        <v>352</v>
      </c>
      <c r="B77" s="725">
        <f>'lokale energieproductie'!B9*IFERROR(SUM(I77:O77)/SUM(D77:O77),0)</f>
        <v>0</v>
      </c>
      <c r="C77" s="725">
        <f>'lokale energieproductie'!B9*IFERROR(SUM(D77:H77)/SUM(D77:O77),0)</f>
        <v>0</v>
      </c>
      <c r="D77" s="750">
        <f>'lokale energieproductie'!C9</f>
        <v>0</v>
      </c>
      <c r="E77" s="751">
        <f>'lokale energieproductie'!D9</f>
        <v>0</v>
      </c>
      <c r="F77" s="751">
        <f>'lokale energieproductie'!E9</f>
        <v>0</v>
      </c>
      <c r="G77" s="751">
        <f>'lokale energieproductie'!F9</f>
        <v>0</v>
      </c>
      <c r="H77" s="751">
        <f>'lokale energieproductie'!G9</f>
        <v>0</v>
      </c>
      <c r="I77" s="1013">
        <f>'lokale energieproductie'!I9</f>
        <v>0</v>
      </c>
      <c r="J77" s="1013">
        <f>'lokale energieproductie'!J9</f>
        <v>0</v>
      </c>
      <c r="K77" s="1013">
        <f>'lokale energieproductie'!M9</f>
        <v>0</v>
      </c>
      <c r="L77" s="1013">
        <f>'lokale energieproductie'!N9</f>
        <v>0</v>
      </c>
      <c r="M77" s="1013">
        <f>'lokale energieproductie'!H9</f>
        <v>0</v>
      </c>
      <c r="N77" s="1013">
        <f>'lokale energieproductie'!K9</f>
        <v>0</v>
      </c>
      <c r="O77" s="1014">
        <f>'lokale energieproductie'!L9</f>
        <v>0</v>
      </c>
      <c r="P77" s="820"/>
      <c r="Q77" s="828">
        <f>D77*EF_CO2_aardgas+E77*EF_VLgas_CO2+'SEAP template'!F77*EF_stookolie_CO2+EF_bruinkool_CO2*'SEAP template'!G77+'SEAP template'!H77*EF_steenkool_CO2+'EF brandstof'!M4*'SEAP template'!M77+'SEAP template'!O77*EF_anderfossiel_CO2</f>
        <v>0</v>
      </c>
      <c r="R77" s="830">
        <v>0</v>
      </c>
    </row>
    <row r="78" spans="1:18" ht="16.5" thickTop="1" thickBot="1">
      <c r="A78" s="729" t="s">
        <v>115</v>
      </c>
      <c r="B78" s="730">
        <f>SUM(B72:B77)</f>
        <v>3139.9713886717409</v>
      </c>
      <c r="C78" s="730">
        <f>SUM(C72:C77)</f>
        <v>0</v>
      </c>
      <c r="D78" s="731">
        <f t="shared" ref="D78:H78" si="10">SUM(D76:D77)</f>
        <v>0</v>
      </c>
      <c r="E78" s="731">
        <f t="shared" si="10"/>
        <v>0</v>
      </c>
      <c r="F78" s="731">
        <f t="shared" si="10"/>
        <v>0</v>
      </c>
      <c r="G78" s="731">
        <f t="shared" si="10"/>
        <v>0</v>
      </c>
      <c r="H78" s="731">
        <f t="shared" si="10"/>
        <v>0</v>
      </c>
      <c r="I78" s="731">
        <f>SUM(I76:I77)</f>
        <v>0</v>
      </c>
      <c r="J78" s="731">
        <f>SUM(J76:J77)</f>
        <v>0</v>
      </c>
      <c r="K78" s="731">
        <f t="shared" ref="K78:L78" si="11">SUM(K76:K77)</f>
        <v>0</v>
      </c>
      <c r="L78" s="731">
        <f t="shared" si="11"/>
        <v>0</v>
      </c>
      <c r="M78" s="731">
        <f>SUM(M76:M77)</f>
        <v>0</v>
      </c>
      <c r="N78" s="731">
        <f>SUM(N76:N77)</f>
        <v>0</v>
      </c>
      <c r="O78" s="835">
        <f>SUM(O76:O77)</f>
        <v>0</v>
      </c>
      <c r="P78" s="732">
        <v>0</v>
      </c>
      <c r="Q78" s="732">
        <f>SUM(Q76:Q77)</f>
        <v>0</v>
      </c>
      <c r="R78" s="732">
        <f>SUM(R72:R77)</f>
        <v>0</v>
      </c>
    </row>
    <row r="79" spans="1:18" ht="15.75" thickTop="1">
      <c r="A79" s="733"/>
      <c r="B79" s="782"/>
      <c r="C79" s="734"/>
      <c r="D79" s="734"/>
      <c r="E79" s="694"/>
      <c r="F79" s="693"/>
      <c r="G79" s="693"/>
      <c r="H79" s="693"/>
      <c r="I79" s="735"/>
      <c r="J79" s="693"/>
      <c r="K79" s="693"/>
      <c r="L79" s="693"/>
      <c r="M79" s="693"/>
      <c r="N79" s="736"/>
      <c r="O79" s="693"/>
      <c r="P79" s="693"/>
      <c r="Q79" s="693"/>
      <c r="R79" s="693"/>
    </row>
    <row r="80" spans="1:18" ht="15">
      <c r="A80" s="981"/>
      <c r="B80" s="981"/>
      <c r="C80" s="734"/>
      <c r="D80" s="734"/>
      <c r="E80" s="693"/>
      <c r="F80" s="693"/>
      <c r="G80" s="693"/>
      <c r="H80" s="693"/>
      <c r="I80" s="693"/>
      <c r="J80" s="693"/>
      <c r="K80" s="693"/>
      <c r="L80" s="693"/>
      <c r="M80" s="693"/>
      <c r="N80" s="693"/>
      <c r="O80" s="693"/>
      <c r="P80" s="693"/>
      <c r="Q80" s="693"/>
      <c r="R80" s="693"/>
    </row>
    <row r="81" spans="1:19" ht="18.75">
      <c r="A81" s="737" t="s">
        <v>353</v>
      </c>
      <c r="B81" s="737"/>
      <c r="C81" s="738"/>
      <c r="D81" s="721"/>
      <c r="E81" s="693"/>
      <c r="F81" s="693"/>
      <c r="G81" s="693"/>
      <c r="H81" s="693"/>
      <c r="I81" s="693"/>
      <c r="J81" s="693"/>
      <c r="K81" s="693"/>
      <c r="L81" s="693"/>
      <c r="M81" s="693"/>
      <c r="N81" s="693"/>
      <c r="O81" s="693"/>
      <c r="P81" s="693"/>
      <c r="Q81" s="693"/>
      <c r="R81" s="693"/>
    </row>
    <row r="82" spans="1:19">
      <c r="A82" s="1103"/>
      <c r="B82" s="1103"/>
      <c r="C82" s="1103"/>
      <c r="D82" s="1103"/>
      <c r="E82" s="1103"/>
      <c r="F82" s="1103"/>
      <c r="G82" s="1103"/>
      <c r="H82" s="1103"/>
      <c r="I82" s="1103"/>
      <c r="J82" s="1103"/>
      <c r="K82" s="1103"/>
      <c r="L82" s="1103"/>
      <c r="M82" s="1103"/>
      <c r="N82" s="1103"/>
      <c r="O82" s="1103"/>
      <c r="P82" s="1103"/>
      <c r="Q82" s="723"/>
      <c r="R82" s="723"/>
    </row>
    <row r="83" spans="1:19" ht="15.75" thickBot="1">
      <c r="A83" s="696"/>
      <c r="B83" s="696"/>
      <c r="C83" s="697"/>
      <c r="D83" s="697"/>
      <c r="E83" s="697"/>
      <c r="F83" s="697"/>
      <c r="G83" s="697"/>
      <c r="H83" s="697"/>
      <c r="I83" s="697"/>
      <c r="J83" s="697"/>
      <c r="K83" s="697"/>
      <c r="L83" s="697"/>
      <c r="M83" s="697"/>
      <c r="N83" s="697"/>
      <c r="O83" s="697"/>
      <c r="P83" s="697"/>
      <c r="Q83" s="697"/>
      <c r="R83" s="697"/>
    </row>
    <row r="84" spans="1:19" ht="48.2" customHeight="1" thickTop="1" thickBot="1">
      <c r="A84" s="1116" t="s">
        <v>252</v>
      </c>
      <c r="B84" s="1119" t="s">
        <v>354</v>
      </c>
      <c r="C84" s="1137"/>
      <c r="D84" s="1140" t="s">
        <v>355</v>
      </c>
      <c r="E84" s="1141"/>
      <c r="F84" s="1141"/>
      <c r="G84" s="1141"/>
      <c r="H84" s="1141"/>
      <c r="I84" s="1141"/>
      <c r="J84" s="1141"/>
      <c r="K84" s="1141"/>
      <c r="L84" s="1141"/>
      <c r="M84" s="1141"/>
      <c r="N84" s="1141"/>
      <c r="O84" s="1142"/>
      <c r="P84" s="1003" t="s">
        <v>656</v>
      </c>
      <c r="Q84" s="1119" t="s">
        <v>655</v>
      </c>
      <c r="R84" s="1120"/>
    </row>
    <row r="85" spans="1:19" ht="16.5" customHeight="1" thickTop="1" thickBot="1">
      <c r="A85" s="1118"/>
      <c r="B85" s="1138"/>
      <c r="C85" s="1139"/>
      <c r="D85" s="1157" t="s">
        <v>196</v>
      </c>
      <c r="E85" s="1158"/>
      <c r="F85" s="1158"/>
      <c r="G85" s="1158"/>
      <c r="H85" s="1159"/>
      <c r="I85" s="1160" t="s">
        <v>245</v>
      </c>
      <c r="J85" s="1111" t="s">
        <v>233</v>
      </c>
      <c r="K85" s="1163" t="s">
        <v>208</v>
      </c>
      <c r="L85" s="1163" t="s">
        <v>209</v>
      </c>
      <c r="M85" s="1164" t="s">
        <v>244</v>
      </c>
      <c r="N85" s="1163" t="s">
        <v>256</v>
      </c>
      <c r="O85" s="1166" t="s">
        <v>126</v>
      </c>
      <c r="P85" s="1004"/>
      <c r="Q85" s="831"/>
      <c r="R85" s="832"/>
    </row>
    <row r="86" spans="1:19" ht="110.25" customHeight="1" thickTop="1" thickBot="1">
      <c r="A86" s="1117"/>
      <c r="B86" s="819" t="s">
        <v>654</v>
      </c>
      <c r="C86" s="819" t="s">
        <v>851</v>
      </c>
      <c r="D86" s="982" t="s">
        <v>198</v>
      </c>
      <c r="E86" s="975" t="s">
        <v>199</v>
      </c>
      <c r="F86" s="973" t="s">
        <v>200</v>
      </c>
      <c r="G86" s="975" t="s">
        <v>202</v>
      </c>
      <c r="H86" s="739" t="s">
        <v>203</v>
      </c>
      <c r="I86" s="1161"/>
      <c r="J86" s="1162"/>
      <c r="K86" s="1112"/>
      <c r="L86" s="1112"/>
      <c r="M86" s="1165"/>
      <c r="N86" s="1112"/>
      <c r="O86" s="1167"/>
      <c r="P86" s="1008"/>
      <c r="Q86" s="982" t="s">
        <v>657</v>
      </c>
      <c r="R86" s="980" t="s">
        <v>658</v>
      </c>
    </row>
    <row r="87" spans="1:19" ht="15.75" thickTop="1">
      <c r="A87" s="740" t="s">
        <v>251</v>
      </c>
      <c r="B87" s="741">
        <f>'lokale energieproductie'!B17*IFERROR(SUM(I87:O87)/SUM(D87:O87),0)</f>
        <v>0</v>
      </c>
      <c r="C87" s="741">
        <f>'lokale energieproductie'!B17*IFERROR(SUM(D87:H87)/SUM(D87:O87),0)</f>
        <v>0</v>
      </c>
      <c r="D87" s="752">
        <f>'lokale energieproductie'!C17</f>
        <v>0</v>
      </c>
      <c r="E87" s="752">
        <f>'lokale energieproductie'!D17</f>
        <v>0</v>
      </c>
      <c r="F87" s="752">
        <f>'lokale energieproductie'!E17</f>
        <v>0</v>
      </c>
      <c r="G87" s="752">
        <f>'lokale energieproductie'!F17</f>
        <v>0</v>
      </c>
      <c r="H87" s="752">
        <f>'lokale energieproductie'!G17</f>
        <v>0</v>
      </c>
      <c r="I87" s="752">
        <f>'lokale energieproductie'!I17</f>
        <v>0</v>
      </c>
      <c r="J87" s="752">
        <f>'lokale energieproductie'!J17</f>
        <v>0</v>
      </c>
      <c r="K87" s="752">
        <f>'lokale energieproductie'!M17</f>
        <v>0</v>
      </c>
      <c r="L87" s="752">
        <f>'lokale energieproductie'!N17</f>
        <v>0</v>
      </c>
      <c r="M87" s="752">
        <f>'lokale energieproductie'!H17</f>
        <v>0</v>
      </c>
      <c r="N87" s="752">
        <f>'lokale energieproductie'!K17</f>
        <v>0</v>
      </c>
      <c r="O87" s="752">
        <f>'lokale energieproductie'!L17</f>
        <v>0</v>
      </c>
      <c r="P87" s="1154"/>
      <c r="Q87" s="834">
        <f>D87*EF_CO2_aardgas+E87*EF_VLgas_CO2+'SEAP template'!F87*EF_stookolie_CO2+EF_bruinkool_CO2*'SEAP template'!G87+'SEAP template'!H87*EF_steenkool_CO2+'EF brandstof'!M4*'SEAP template'!M87+'SEAP template'!O87*EF_anderfossiel_CO2</f>
        <v>0</v>
      </c>
      <c r="R87" s="821">
        <v>0</v>
      </c>
    </row>
    <row r="88" spans="1:19" ht="15">
      <c r="A88" s="742" t="s">
        <v>257</v>
      </c>
      <c r="B88" s="741">
        <f>'lokale energieproductie'!B18*IFERROR(SUM(I88:O88)/SUM(D88:O88),0)</f>
        <v>0</v>
      </c>
      <c r="C88" s="741">
        <f>'lokale energieproductie'!B18*IFERROR(SUM(D88:H88)/SUM(D88:O88),0)</f>
        <v>0</v>
      </c>
      <c r="D88" s="752">
        <f>'lokale energieproductie'!C18</f>
        <v>0</v>
      </c>
      <c r="E88" s="752">
        <f>'lokale energieproductie'!D18</f>
        <v>0</v>
      </c>
      <c r="F88" s="752">
        <f>'lokale energieproductie'!E18</f>
        <v>0</v>
      </c>
      <c r="G88" s="752">
        <f>'lokale energieproductie'!F18</f>
        <v>0</v>
      </c>
      <c r="H88" s="752">
        <f>'lokale energieproductie'!G18</f>
        <v>0</v>
      </c>
      <c r="I88" s="752">
        <f>'lokale energieproductie'!I18</f>
        <v>0</v>
      </c>
      <c r="J88" s="752">
        <f>'lokale energieproductie'!J18</f>
        <v>0</v>
      </c>
      <c r="K88" s="752">
        <f>'lokale energieproductie'!M18</f>
        <v>0</v>
      </c>
      <c r="L88" s="752">
        <f>'lokale energieproductie'!N18</f>
        <v>0</v>
      </c>
      <c r="M88" s="752">
        <f>'lokale energieproductie'!H18</f>
        <v>0</v>
      </c>
      <c r="N88" s="752">
        <f>'lokale energieproductie'!K18</f>
        <v>0</v>
      </c>
      <c r="O88" s="752">
        <f>'lokale energieproductie'!L18</f>
        <v>0</v>
      </c>
      <c r="P88" s="1155"/>
      <c r="Q88" s="828">
        <f>D88*EF_CO2_aardgas+E88*EF_VLgas_CO2+'SEAP template'!F88*EF_stookolie_CO2+EF_bruinkool_CO2*'SEAP template'!G88+'SEAP template'!H88*EF_steenkool_CO2+'EF brandstof'!M4*'SEAP template'!M88+'SEAP template'!O88*EF_anderfossiel_CO2</f>
        <v>0</v>
      </c>
      <c r="R88" s="822">
        <v>0</v>
      </c>
    </row>
    <row r="89" spans="1:19" ht="30" thickBot="1">
      <c r="A89" s="728" t="s">
        <v>352</v>
      </c>
      <c r="B89" s="741">
        <f>'lokale energieproductie'!B19*IFERROR(SUM(I89:O89)/SUM(D89:O89),0)</f>
        <v>0</v>
      </c>
      <c r="C89" s="741">
        <f>'lokale energieproductie'!B19*IFERROR(SUM(D89:H89)/SUM(D89:O89),0)</f>
        <v>0</v>
      </c>
      <c r="D89" s="752">
        <f>'lokale energieproductie'!C19</f>
        <v>0</v>
      </c>
      <c r="E89" s="752">
        <f>'lokale energieproductie'!D19</f>
        <v>0</v>
      </c>
      <c r="F89" s="752">
        <f>'lokale energieproductie'!E19</f>
        <v>0</v>
      </c>
      <c r="G89" s="752">
        <f>'lokale energieproductie'!F19</f>
        <v>0</v>
      </c>
      <c r="H89" s="752">
        <f>'lokale energieproductie'!G19</f>
        <v>0</v>
      </c>
      <c r="I89" s="752">
        <f>'lokale energieproductie'!I19</f>
        <v>0</v>
      </c>
      <c r="J89" s="752">
        <f>'lokale energieproductie'!J19</f>
        <v>0</v>
      </c>
      <c r="K89" s="752">
        <f>'lokale energieproductie'!M19</f>
        <v>0</v>
      </c>
      <c r="L89" s="752">
        <f>'lokale energieproductie'!N19</f>
        <v>0</v>
      </c>
      <c r="M89" s="752">
        <f>'lokale energieproductie'!H19</f>
        <v>0</v>
      </c>
      <c r="N89" s="752">
        <f>'lokale energieproductie'!K19</f>
        <v>0</v>
      </c>
      <c r="O89" s="752">
        <f>'lokale energieproductie'!L19</f>
        <v>0</v>
      </c>
      <c r="P89" s="1156"/>
      <c r="Q89" s="829">
        <f>D89*EF_CO2_aardgas+E89*EF_VLgas_CO2+'SEAP template'!F89*EF_stookolie_CO2+EF_bruinkool_CO2*'SEAP template'!G89+'SEAP template'!H89*EF_steenkool_CO2+'EF brandstof'!M4*'SEAP template'!M89+'SEAP template'!O89*EF_anderfossiel_CO2</f>
        <v>0</v>
      </c>
      <c r="R89" s="823">
        <v>0</v>
      </c>
    </row>
    <row r="90" spans="1:19" ht="16.5" thickTop="1" thickBot="1">
      <c r="A90" s="743" t="s">
        <v>115</v>
      </c>
      <c r="B90" s="730">
        <f>SUM(B87:B89)</f>
        <v>0</v>
      </c>
      <c r="C90" s="730">
        <f>SUM(C87:C89)</f>
        <v>0</v>
      </c>
      <c r="D90" s="730">
        <f t="shared" ref="D90:H90" si="12">SUM(D87:D89)</f>
        <v>0</v>
      </c>
      <c r="E90" s="730">
        <f t="shared" si="12"/>
        <v>0</v>
      </c>
      <c r="F90" s="730">
        <f t="shared" si="12"/>
        <v>0</v>
      </c>
      <c r="G90" s="730">
        <f t="shared" si="12"/>
        <v>0</v>
      </c>
      <c r="H90" s="730">
        <f t="shared" si="12"/>
        <v>0</v>
      </c>
      <c r="I90" s="730">
        <f>SUM(I87:I89)</f>
        <v>0</v>
      </c>
      <c r="J90" s="730">
        <f>SUM(J87:J89)</f>
        <v>0</v>
      </c>
      <c r="K90" s="730">
        <f t="shared" ref="K90:L90" si="13">SUM(K87:K89)</f>
        <v>0</v>
      </c>
      <c r="L90" s="730">
        <f t="shared" si="13"/>
        <v>0</v>
      </c>
      <c r="M90" s="730">
        <f>SUM(M87:M89)</f>
        <v>0</v>
      </c>
      <c r="N90" s="730">
        <f>SUM(N87:N89)</f>
        <v>0</v>
      </c>
      <c r="O90" s="730">
        <f>SUM(O87:O89)</f>
        <v>0</v>
      </c>
      <c r="P90" s="730">
        <v>0</v>
      </c>
      <c r="Q90" s="730">
        <f>SUM(Q87:Q89)</f>
        <v>0</v>
      </c>
      <c r="R90" s="835">
        <f>SUM(R87:R89)</f>
        <v>0</v>
      </c>
    </row>
    <row r="91" spans="1:19" ht="15.75" thickTop="1">
      <c r="A91" s="744"/>
      <c r="B91" s="744"/>
      <c r="C91" s="745"/>
      <c r="D91" s="746"/>
      <c r="E91" s="747"/>
      <c r="F91" s="735"/>
      <c r="G91" s="735"/>
      <c r="H91" s="735"/>
      <c r="I91" s="735"/>
      <c r="J91" s="735"/>
      <c r="K91" s="735"/>
      <c r="L91" s="735"/>
      <c r="M91" s="693"/>
      <c r="Q91" s="735"/>
      <c r="R91" s="693"/>
      <c r="S91" s="722"/>
    </row>
  </sheetData>
  <mergeCells count="54">
    <mergeCell ref="P87:P89"/>
    <mergeCell ref="Q84:R84"/>
    <mergeCell ref="D85:H85"/>
    <mergeCell ref="I85:I86"/>
    <mergeCell ref="J85:J86"/>
    <mergeCell ref="K85:K86"/>
    <mergeCell ref="L85:L86"/>
    <mergeCell ref="M85:M86"/>
    <mergeCell ref="N85:N86"/>
    <mergeCell ref="O85:O86"/>
    <mergeCell ref="M72:M75"/>
    <mergeCell ref="N72:N75"/>
    <mergeCell ref="O72:O75"/>
    <mergeCell ref="A82:P82"/>
    <mergeCell ref="A84:A86"/>
    <mergeCell ref="B84:C85"/>
    <mergeCell ref="D84:O84"/>
    <mergeCell ref="G72:G75"/>
    <mergeCell ref="H72:H75"/>
    <mergeCell ref="I72:I75"/>
    <mergeCell ref="K72:K75"/>
    <mergeCell ref="L72:L75"/>
    <mergeCell ref="C72:C75"/>
    <mergeCell ref="D72:D75"/>
    <mergeCell ref="E72:E75"/>
    <mergeCell ref="F72:F75"/>
    <mergeCell ref="A67:Q67"/>
    <mergeCell ref="A69:A71"/>
    <mergeCell ref="B69:C70"/>
    <mergeCell ref="D69:O69"/>
    <mergeCell ref="Q69:R69"/>
    <mergeCell ref="D70:H70"/>
    <mergeCell ref="C58:Q60"/>
    <mergeCell ref="C8:Q8"/>
    <mergeCell ref="C17:Q17"/>
    <mergeCell ref="C23:Q23"/>
    <mergeCell ref="A31:C31"/>
    <mergeCell ref="A33:R33"/>
    <mergeCell ref="A35:A37"/>
    <mergeCell ref="C35:R35"/>
    <mergeCell ref="C36:C37"/>
    <mergeCell ref="D36:D37"/>
    <mergeCell ref="E36:L36"/>
    <mergeCell ref="M36:Q36"/>
    <mergeCell ref="R36:R37"/>
    <mergeCell ref="A2:C2"/>
    <mergeCell ref="A3:R3"/>
    <mergeCell ref="A5:A7"/>
    <mergeCell ref="C5:R5"/>
    <mergeCell ref="C6:C7"/>
    <mergeCell ref="D6:D7"/>
    <mergeCell ref="E6:L6"/>
    <mergeCell ref="M6:Q6"/>
    <mergeCell ref="R6:R7"/>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5" tint="-0.249977111117893"/>
  </sheetPr>
  <dimension ref="A1:AA51"/>
  <sheetViews>
    <sheetView showGridLines="0" topLeftCell="A297" zoomScale="65" zoomScaleNormal="65" workbookViewId="0">
      <selection activeCell="M339" sqref="M339"/>
    </sheetView>
  </sheetViews>
  <sheetFormatPr defaultColWidth="9.140625" defaultRowHeight="15"/>
  <cols>
    <col min="1" max="1" width="38" style="603" customWidth="1"/>
    <col min="2" max="2" width="27" style="603" customWidth="1"/>
    <col min="3" max="3" width="25.42578125" style="603" customWidth="1"/>
    <col min="4" max="4" width="41.28515625" style="603" customWidth="1"/>
    <col min="5" max="5" width="27.5703125" style="603" customWidth="1"/>
    <col min="6" max="7" width="18" style="603" customWidth="1"/>
    <col min="8" max="8" width="23.42578125" style="603" customWidth="1"/>
    <col min="9" max="9" width="28.5703125" style="603" customWidth="1"/>
    <col min="10" max="10" width="35.28515625" style="603" customWidth="1"/>
    <col min="11" max="11" width="32.7109375" style="603" customWidth="1"/>
    <col min="12" max="14" width="23.85546875" style="603" customWidth="1"/>
    <col min="15" max="15" width="21.140625" style="603" customWidth="1"/>
    <col min="16" max="16" width="17.5703125" style="603" customWidth="1"/>
    <col min="17" max="17" width="22.85546875" style="603" customWidth="1"/>
    <col min="18" max="18" width="19.140625" style="603" customWidth="1"/>
    <col min="19" max="19" width="24.7109375" style="603" customWidth="1"/>
    <col min="20" max="20" width="9.140625" style="603"/>
    <col min="21" max="21" width="21.140625" style="603" customWidth="1"/>
    <col min="22" max="22" width="14.85546875" style="603" customWidth="1"/>
    <col min="23" max="23" width="16.140625" style="603" customWidth="1"/>
    <col min="24" max="24" width="14.7109375" style="603" customWidth="1"/>
    <col min="25" max="26" width="16.140625" style="603" customWidth="1"/>
    <col min="27" max="27" width="17.28515625" style="603" customWidth="1"/>
    <col min="28" max="28" width="16.85546875" style="603" customWidth="1"/>
    <col min="29" max="16384" width="9.140625" style="603"/>
  </cols>
  <sheetData>
    <row r="1" spans="1:21" s="534" customFormat="1" ht="17.45" customHeight="1" thickTop="1" thickBot="1">
      <c r="A1" s="1231" t="s">
        <v>240</v>
      </c>
      <c r="B1" s="1234" t="s">
        <v>241</v>
      </c>
      <c r="C1" s="1243" t="s">
        <v>242</v>
      </c>
      <c r="D1" s="1244"/>
      <c r="E1" s="1244"/>
      <c r="F1" s="1244"/>
      <c r="G1" s="1244"/>
      <c r="H1" s="1244"/>
      <c r="I1" s="1244"/>
      <c r="J1" s="1244"/>
      <c r="K1" s="1244"/>
      <c r="L1" s="1244"/>
      <c r="M1" s="1244"/>
      <c r="N1" s="1245"/>
      <c r="O1" s="1246" t="s">
        <v>243</v>
      </c>
      <c r="P1" s="1234" t="s">
        <v>556</v>
      </c>
      <c r="Q1" s="1246"/>
      <c r="S1" s="1252"/>
      <c r="T1" s="1252"/>
      <c r="U1" s="1252"/>
    </row>
    <row r="2" spans="1:21" s="534" customFormat="1" ht="15.75" thickBot="1">
      <c r="A2" s="1232"/>
      <c r="B2" s="1232"/>
      <c r="C2" s="1236" t="s">
        <v>196</v>
      </c>
      <c r="D2" s="1237"/>
      <c r="E2" s="1237"/>
      <c r="F2" s="1237"/>
      <c r="G2" s="1238"/>
      <c r="H2" s="1239" t="s">
        <v>244</v>
      </c>
      <c r="I2" s="1241" t="s">
        <v>245</v>
      </c>
      <c r="J2" s="1241" t="s">
        <v>233</v>
      </c>
      <c r="K2" s="1241" t="s">
        <v>246</v>
      </c>
      <c r="L2" s="1241" t="s">
        <v>126</v>
      </c>
      <c r="M2" s="1241" t="s">
        <v>855</v>
      </c>
      <c r="N2" s="1255" t="s">
        <v>856</v>
      </c>
      <c r="O2" s="1247"/>
      <c r="P2" s="1249"/>
      <c r="Q2" s="1247"/>
      <c r="S2" s="1252"/>
      <c r="T2" s="1252"/>
      <c r="U2" s="1252"/>
    </row>
    <row r="3" spans="1:21" s="534" customFormat="1" ht="53.45" customHeight="1" thickBot="1">
      <c r="A3" s="1233"/>
      <c r="B3" s="1235"/>
      <c r="C3" s="535" t="s">
        <v>198</v>
      </c>
      <c r="D3" s="990" t="s">
        <v>199</v>
      </c>
      <c r="E3" s="536" t="s">
        <v>200</v>
      </c>
      <c r="F3" s="537" t="s">
        <v>202</v>
      </c>
      <c r="G3" s="538" t="s">
        <v>203</v>
      </c>
      <c r="H3" s="1240"/>
      <c r="I3" s="1242"/>
      <c r="J3" s="1242"/>
      <c r="K3" s="1242"/>
      <c r="L3" s="1242"/>
      <c r="M3" s="1242"/>
      <c r="N3" s="1256"/>
      <c r="O3" s="1248"/>
      <c r="P3" s="1235"/>
      <c r="Q3" s="1248"/>
      <c r="S3" s="1252"/>
      <c r="T3" s="1252"/>
      <c r="U3" s="1252"/>
    </row>
    <row r="4" spans="1:21" s="534" customFormat="1" ht="15.75" thickTop="1">
      <c r="A4" s="539" t="s">
        <v>248</v>
      </c>
      <c r="B4" s="540">
        <f>IF(ISERROR(kWh_wind_land),0,kWh_wind_land)</f>
        <v>0</v>
      </c>
      <c r="C4" s="1257"/>
      <c r="D4" s="1260"/>
      <c r="E4" s="1260"/>
      <c r="F4" s="1263"/>
      <c r="G4" s="1266"/>
      <c r="H4" s="1269"/>
      <c r="I4" s="1260"/>
      <c r="J4" s="1260"/>
      <c r="K4" s="1260"/>
      <c r="L4" s="1260"/>
      <c r="M4" s="1260"/>
      <c r="N4" s="1019"/>
      <c r="O4" s="541"/>
      <c r="P4" s="1272"/>
      <c r="Q4" s="1273"/>
      <c r="S4" s="986"/>
      <c r="T4" s="1274"/>
      <c r="U4" s="1274"/>
    </row>
    <row r="5" spans="1:21" s="534" customFormat="1">
      <c r="A5" s="542" t="s">
        <v>249</v>
      </c>
      <c r="B5" s="540">
        <f>IF(ISERROR(kWh_waterkracht),0,kWh_waterkracht)</f>
        <v>0</v>
      </c>
      <c r="C5" s="1258"/>
      <c r="D5" s="1261"/>
      <c r="E5" s="1261"/>
      <c r="F5" s="1264"/>
      <c r="G5" s="1267"/>
      <c r="H5" s="1270"/>
      <c r="I5" s="1261"/>
      <c r="J5" s="1261"/>
      <c r="K5" s="1261"/>
      <c r="L5" s="1261"/>
      <c r="M5" s="1261"/>
      <c r="N5" s="1019"/>
      <c r="O5" s="543"/>
      <c r="P5" s="1253"/>
      <c r="Q5" s="1254"/>
      <c r="S5" s="986"/>
      <c r="T5" s="1274"/>
      <c r="U5" s="1274"/>
    </row>
    <row r="6" spans="1:21" s="534" customFormat="1">
      <c r="A6" s="542" t="s">
        <v>250</v>
      </c>
      <c r="B6" s="540">
        <f>IF(ISERROR((kWh_PV_kleiner_dan_10kW+kWh_PV_groter_dan_10kW)),0,(kWh_PV_kleiner_dan_10kW+kWh_PV_groter_dan_10kW))</f>
        <v>3139.9713886717409</v>
      </c>
      <c r="C6" s="1258"/>
      <c r="D6" s="1261"/>
      <c r="E6" s="1261"/>
      <c r="F6" s="1264"/>
      <c r="G6" s="1267"/>
      <c r="H6" s="1270"/>
      <c r="I6" s="1261"/>
      <c r="J6" s="1261"/>
      <c r="K6" s="1261"/>
      <c r="L6" s="1261"/>
      <c r="M6" s="1261"/>
      <c r="N6" s="1019"/>
      <c r="O6" s="543"/>
      <c r="P6" s="1253"/>
      <c r="Q6" s="1254"/>
      <c r="S6" s="986"/>
      <c r="T6" s="1274"/>
      <c r="U6" s="1274"/>
    </row>
    <row r="7" spans="1:21" s="534" customFormat="1">
      <c r="A7" s="542" t="s">
        <v>852</v>
      </c>
      <c r="B7" s="540"/>
      <c r="C7" s="1259"/>
      <c r="D7" s="1262"/>
      <c r="E7" s="1262"/>
      <c r="F7" s="1265"/>
      <c r="G7" s="1268"/>
      <c r="H7" s="1271"/>
      <c r="I7" s="1262"/>
      <c r="J7" s="1262"/>
      <c r="K7" s="1262"/>
      <c r="L7" s="1262"/>
      <c r="M7" s="1262"/>
      <c r="N7" s="1020"/>
      <c r="O7" s="543"/>
      <c r="P7" s="987"/>
      <c r="Q7" s="988"/>
      <c r="S7" s="986"/>
      <c r="T7" s="986"/>
      <c r="U7" s="986"/>
    </row>
    <row r="8" spans="1:21" s="534" customFormat="1">
      <c r="A8" s="544" t="s">
        <v>251</v>
      </c>
      <c r="B8" s="1021">
        <f>N29</f>
        <v>0</v>
      </c>
      <c r="C8" s="545">
        <f>B48</f>
        <v>0</v>
      </c>
      <c r="D8" s="1022"/>
      <c r="E8" s="1022">
        <f>E48</f>
        <v>0</v>
      </c>
      <c r="F8" s="1023"/>
      <c r="G8" s="546"/>
      <c r="H8" s="1022">
        <f>I48</f>
        <v>0</v>
      </c>
      <c r="I8" s="1022">
        <f>G48+F48</f>
        <v>0</v>
      </c>
      <c r="J8" s="1022">
        <f>H48+D48+C48</f>
        <v>0</v>
      </c>
      <c r="K8" s="1022"/>
      <c r="L8" s="1022"/>
      <c r="M8" s="1022"/>
      <c r="N8" s="547"/>
      <c r="O8" s="548">
        <f>C8*$C$12+D8*$D$12+E8*$E$12+F8*$F$12+G8*$G$12+H8*$H$12+I8*$I$12+J8*$J$12</f>
        <v>0</v>
      </c>
      <c r="P8" s="1253"/>
      <c r="Q8" s="1254"/>
      <c r="S8" s="986"/>
      <c r="T8" s="1274"/>
      <c r="U8" s="1274"/>
    </row>
    <row r="9" spans="1:21" s="534" customFormat="1" ht="17.45" customHeight="1" thickBot="1">
      <c r="A9" s="549" t="s">
        <v>247</v>
      </c>
      <c r="B9" s="550">
        <f>N36+'Eigen informatie GS &amp; warmtenet'!B12</f>
        <v>0</v>
      </c>
      <c r="C9" s="551">
        <f>P36+IF(ISERROR(('Eigen informatie GS &amp; warmtenet'!B15)*(('Eigen informatie GS &amp; warmtenet'!B12)/('Eigen informatie GS &amp; warmtenet'!B11+'Eigen informatie GS &amp; warmtenet'!B12))),0,('Eigen informatie GS &amp; warmtenet'!B15)*(('Eigen informatie GS &amp; warmtenet'!B12)/('Eigen informatie GS &amp; warmtenet'!B11+'Eigen informatie GS &amp; warmtenet'!B12)))</f>
        <v>0</v>
      </c>
      <c r="D9" s="552">
        <f>IF(ISERROR('Eigen informatie GS &amp; warmtenet'!B16*(('Eigen informatie GS &amp; warmtenet'!$B$12)/('Eigen informatie GS &amp; warmtenet'!$B$11+'Eigen informatie GS &amp; warmtenet'!$B$12))),0,'Eigen informatie GS &amp; warmtenet'!B16*(('Eigen informatie GS &amp; warmtenet'!B12)/('Eigen informatie GS &amp; warmtenet'!$B$11+'Eigen informatie GS &amp; warmtenet'!$B$12)))</f>
        <v>0</v>
      </c>
      <c r="E9" s="552">
        <f>S36+IF(ISERROR('Eigen informatie GS &amp; warmtenet'!B17*(('Eigen informatie GS &amp; warmtenet'!$B$12)/('Eigen informatie GS &amp; warmtenet'!$B$11+'Eigen informatie GS &amp; warmtenet'!$B$12))),0,'Eigen informatie GS &amp; warmtenet'!B17/(('Eigen informatie GS &amp; warmtenet'!B12)/('Eigen informatie GS &amp; warmtenet'!$B$11+'Eigen informatie GS &amp; warmtenet'!$B$12)))</f>
        <v>0</v>
      </c>
      <c r="F9" s="552">
        <f>IF(ISERROR('Eigen informatie GS &amp; warmtenet'!B18*(('Eigen informatie GS &amp; warmtenet'!$B$12)/('Eigen informatie GS &amp; warmtenet'!$B$11+'Eigen informatie GS &amp; warmtenet'!$B$12))),0,'Eigen informatie GS &amp; warmtenet'!B18*(('Eigen informatie GS &amp; warmtenet'!B12)/('Eigen informatie GS &amp; warmtenet'!$B$11+'Eigen informatie GS &amp; warmtenet'!$B$12)))</f>
        <v>0</v>
      </c>
      <c r="G9" s="553">
        <f>IF(ISERROR('Eigen informatie GS &amp; warmtenet'!B19*(('Eigen informatie GS &amp; warmtenet'!$B$12)/('Eigen informatie GS &amp; warmtenet'!$B$11+'Eigen informatie GS &amp; warmtenet'!$B$12))),0,'Eigen informatie GS &amp; warmtenet'!B19*(('Eigen informatie GS &amp; warmtenet'!B12)/('Eigen informatie GS &amp; warmtenet'!$B$11+'Eigen informatie GS &amp; warmtenet'!$B$12)))</f>
        <v>0</v>
      </c>
      <c r="H9" s="552">
        <f>W36+IF(ISERROR('Eigen informatie GS &amp; warmtenet'!B20*(('Eigen informatie GS &amp; warmtenet'!$B$12)/('Eigen informatie GS &amp; warmtenet'!$B$11+'Eigen informatie GS &amp; warmtenet'!$B$12))),0,'Eigen informatie GS &amp; warmtenet'!B20*(('Eigen informatie GS &amp; warmtenet'!B12)/('Eigen informatie GS &amp; warmtenet'!$B$11+'Eigen informatie GS &amp; warmtenet'!$B$12)))</f>
        <v>0</v>
      </c>
      <c r="I9" s="552">
        <f>(T36+U36)+IF(ISERROR('Eigen informatie GS &amp; warmtenet'!B21*(('Eigen informatie GS &amp; warmtenet'!$B$12)/('Eigen informatie GS &amp; warmtenet'!$B$11+'Eigen informatie GS &amp; warmtenet'!$B$12))),0,'Eigen informatie GS &amp; warmtenet'!B21*(('Eigen informatie GS &amp; warmtenet'!B12)/('Eigen informatie GS &amp; warmtenet'!$B$11+'Eigen informatie GS &amp; warmtenet'!$B$12)))</f>
        <v>0</v>
      </c>
      <c r="J9" s="552">
        <f>V36+Q36+R36+IF(ISERROR('Eigen informatie GS &amp; warmtenet'!B22*(('Eigen informatie GS &amp; warmtenet'!$B$12)/('Eigen informatie GS &amp; warmtenet'!$B$11+'Eigen informatie GS &amp; warmtenet'!$B$12))),0,'Eigen informatie GS &amp; warmtenet'!B22*(('Eigen informatie GS &amp; warmtenet'!B12)/('Eigen informatie GS &amp; warmtenet'!$B$11+'Eigen informatie GS &amp; warmtenet'!$B$12)))</f>
        <v>0</v>
      </c>
      <c r="K9" s="554">
        <f>IF(ISERROR('Eigen informatie GS &amp; warmtenet'!B23*(('Eigen informatie GS &amp; warmtenet'!$B$12)/('Eigen informatie GS &amp; warmtenet'!$B$11+'Eigen informatie GS &amp; warmtenet'!$B$12))),0,'Eigen informatie GS &amp; warmtenet'!B23*(('Eigen informatie GS &amp; warmtenet'!B12)/('Eigen informatie GS &amp; warmtenet'!$B$11+'Eigen informatie GS &amp; warmtenet'!$B$12)))</f>
        <v>0</v>
      </c>
      <c r="L9" s="554">
        <f>IF(ISERROR('Eigen informatie GS &amp; warmtenet'!B24*(('Eigen informatie GS &amp; warmtenet'!$B$12)/('Eigen informatie GS &amp; warmtenet'!$B$11+'Eigen informatie GS &amp; warmtenet'!$B$12))),0,'Eigen informatie GS &amp; warmtenet'!B24*(('Eigen informatie GS &amp; warmtenet'!B12)/('Eigen informatie GS &amp; warmtenet'!$B$11+'Eigen informatie GS &amp; warmtenet'!$B$12)))</f>
        <v>0</v>
      </c>
      <c r="M9" s="554"/>
      <c r="N9" s="1024"/>
      <c r="O9" s="548">
        <f>C9*$C$12+D9*$D$12+E9*$E$12+F9*$F$12+G9*$G$12+H9*$H$12+I9*$I$12+J9*$J$12</f>
        <v>0</v>
      </c>
      <c r="P9" s="1250"/>
      <c r="Q9" s="1251"/>
      <c r="R9" s="555"/>
      <c r="S9" s="986"/>
      <c r="T9" s="1274"/>
      <c r="U9" s="1274"/>
    </row>
    <row r="10" spans="1:21" s="534" customFormat="1" ht="16.5" thickTop="1" thickBot="1">
      <c r="A10" s="556" t="s">
        <v>115</v>
      </c>
      <c r="B10" s="557">
        <f>SUM(B4:B9)</f>
        <v>3139.9713886717409</v>
      </c>
      <c r="C10" s="558">
        <f t="shared" ref="C10:L10" si="0">SUM(C8:C9)</f>
        <v>0</v>
      </c>
      <c r="D10" s="558">
        <f t="shared" si="0"/>
        <v>0</v>
      </c>
      <c r="E10" s="558">
        <f t="shared" si="0"/>
        <v>0</v>
      </c>
      <c r="F10" s="558">
        <f t="shared" si="0"/>
        <v>0</v>
      </c>
      <c r="G10" s="558">
        <f t="shared" si="0"/>
        <v>0</v>
      </c>
      <c r="H10" s="558">
        <f t="shared" si="0"/>
        <v>0</v>
      </c>
      <c r="I10" s="558">
        <f t="shared" si="0"/>
        <v>0</v>
      </c>
      <c r="J10" s="558">
        <f t="shared" si="0"/>
        <v>0</v>
      </c>
      <c r="K10" s="558">
        <f t="shared" si="0"/>
        <v>0</v>
      </c>
      <c r="L10" s="558">
        <f t="shared" si="0"/>
        <v>0</v>
      </c>
      <c r="M10" s="1025"/>
      <c r="N10" s="1025"/>
      <c r="O10" s="559">
        <f>SUM(O4:O9)</f>
        <v>0</v>
      </c>
      <c r="P10" s="560"/>
      <c r="R10" s="984"/>
      <c r="S10" s="986"/>
      <c r="T10" s="984"/>
      <c r="U10" s="984"/>
    </row>
    <row r="11" spans="1:21" s="563" customFormat="1" ht="15.75" thickTop="1">
      <c r="A11" s="561"/>
      <c r="B11" s="562"/>
      <c r="C11" s="562"/>
      <c r="D11" s="562"/>
      <c r="E11" s="562"/>
      <c r="F11" s="562"/>
      <c r="G11" s="562"/>
      <c r="H11" s="562"/>
      <c r="I11" s="562"/>
      <c r="J11" s="562"/>
      <c r="K11" s="562"/>
      <c r="L11" s="562"/>
      <c r="M11" s="562"/>
      <c r="N11" s="562"/>
      <c r="P11" s="562"/>
      <c r="R11" s="562"/>
    </row>
    <row r="12" spans="1:21" s="563" customFormat="1">
      <c r="A12" s="1026" t="s">
        <v>289</v>
      </c>
      <c r="B12" s="1027"/>
      <c r="C12" s="1027">
        <f>EF_CO2_aardgas</f>
        <v>0.20200000000000001</v>
      </c>
      <c r="D12" s="1027">
        <f>EF_VLgas_CO2</f>
        <v>0.22700000000000001</v>
      </c>
      <c r="E12" s="1027">
        <f>EF_stookolie_CO2</f>
        <v>0.26700000000000002</v>
      </c>
      <c r="F12" s="1027">
        <f>EF_bruinkool_CO2</f>
        <v>0.35099999999999998</v>
      </c>
      <c r="G12" s="1027">
        <f>EF_steenkool_CO2</f>
        <v>0.35399999999999998</v>
      </c>
      <c r="H12" s="1027">
        <f>'EF brandstof'!M4</f>
        <v>0.33</v>
      </c>
      <c r="I12" s="1027">
        <f>'EF brandstof'!J4</f>
        <v>0</v>
      </c>
      <c r="J12" s="1027">
        <f>'EF brandstof'!L4</f>
        <v>0</v>
      </c>
      <c r="K12" s="1027">
        <f>'EF brandstof'!L4</f>
        <v>0</v>
      </c>
      <c r="L12" s="1027"/>
      <c r="M12" s="1027"/>
      <c r="N12" s="1027"/>
      <c r="P12" s="564"/>
      <c r="Q12" s="564"/>
      <c r="R12" s="564"/>
    </row>
    <row r="13" spans="1:21" s="534" customFormat="1" ht="15.75" thickBot="1">
      <c r="A13" s="565"/>
      <c r="B13" s="564"/>
      <c r="C13" s="564"/>
      <c r="D13" s="564"/>
      <c r="E13" s="564"/>
      <c r="F13" s="564"/>
      <c r="G13" s="564"/>
      <c r="H13" s="564"/>
      <c r="I13" s="564"/>
      <c r="J13" s="564"/>
      <c r="K13" s="564"/>
      <c r="L13" s="564"/>
      <c r="M13" s="564"/>
      <c r="N13" s="564"/>
      <c r="O13" s="564"/>
      <c r="P13" s="564"/>
      <c r="Q13" s="564"/>
      <c r="R13" s="564"/>
    </row>
    <row r="14" spans="1:21" s="534" customFormat="1" ht="17.25" thickTop="1" thickBot="1">
      <c r="A14" s="1231" t="s">
        <v>252</v>
      </c>
      <c r="B14" s="1231" t="s">
        <v>253</v>
      </c>
      <c r="C14" s="1275" t="s">
        <v>254</v>
      </c>
      <c r="D14" s="1276"/>
      <c r="E14" s="1276"/>
      <c r="F14" s="1276"/>
      <c r="G14" s="1276"/>
      <c r="H14" s="1276"/>
      <c r="I14" s="1276"/>
      <c r="J14" s="1276"/>
      <c r="K14" s="1276"/>
      <c r="L14" s="1276"/>
      <c r="M14" s="1276"/>
      <c r="N14" s="1277"/>
      <c r="O14" s="1246" t="s">
        <v>243</v>
      </c>
      <c r="P14" s="1234" t="s">
        <v>255</v>
      </c>
      <c r="Q14" s="1246"/>
      <c r="R14" s="1252"/>
      <c r="S14" s="1252"/>
      <c r="T14" s="1252"/>
    </row>
    <row r="15" spans="1:21" s="534" customFormat="1" ht="15.75" customHeight="1" thickBot="1">
      <c r="A15" s="1232"/>
      <c r="B15" s="1232"/>
      <c r="C15" s="1278" t="s">
        <v>196</v>
      </c>
      <c r="D15" s="1279"/>
      <c r="E15" s="1279"/>
      <c r="F15" s="1279"/>
      <c r="G15" s="1280"/>
      <c r="H15" s="1281" t="s">
        <v>244</v>
      </c>
      <c r="I15" s="1281" t="s">
        <v>245</v>
      </c>
      <c r="J15" s="1281" t="s">
        <v>233</v>
      </c>
      <c r="K15" s="1281" t="s">
        <v>256</v>
      </c>
      <c r="L15" s="1281" t="s">
        <v>126</v>
      </c>
      <c r="M15" s="1281" t="s">
        <v>855</v>
      </c>
      <c r="N15" s="1255" t="s">
        <v>856</v>
      </c>
      <c r="O15" s="1247"/>
      <c r="P15" s="1249"/>
      <c r="Q15" s="1247"/>
      <c r="R15" s="1252"/>
      <c r="S15" s="1252"/>
      <c r="T15" s="1252"/>
    </row>
    <row r="16" spans="1:21" s="534" customFormat="1" ht="40.700000000000003" customHeight="1" thickBot="1">
      <c r="A16" s="1233"/>
      <c r="B16" s="1233"/>
      <c r="C16" s="566" t="s">
        <v>198</v>
      </c>
      <c r="D16" s="990" t="s">
        <v>199</v>
      </c>
      <c r="E16" s="989" t="s">
        <v>200</v>
      </c>
      <c r="F16" s="990" t="s">
        <v>202</v>
      </c>
      <c r="G16" s="567" t="s">
        <v>203</v>
      </c>
      <c r="H16" s="1240"/>
      <c r="I16" s="1240"/>
      <c r="J16" s="1240"/>
      <c r="K16" s="1240"/>
      <c r="L16" s="1240"/>
      <c r="M16" s="1240"/>
      <c r="N16" s="1256"/>
      <c r="O16" s="1248"/>
      <c r="P16" s="1235"/>
      <c r="Q16" s="1248"/>
      <c r="R16" s="1252"/>
      <c r="S16" s="1252"/>
      <c r="T16" s="1252"/>
    </row>
    <row r="17" spans="1:26" s="534" customFormat="1" ht="15.75" thickTop="1">
      <c r="A17" s="568" t="s">
        <v>251</v>
      </c>
      <c r="B17" s="569">
        <f>O29</f>
        <v>0</v>
      </c>
      <c r="C17" s="570">
        <f>B49</f>
        <v>0</v>
      </c>
      <c r="D17" s="571"/>
      <c r="E17" s="571">
        <f>E49</f>
        <v>0</v>
      </c>
      <c r="F17" s="1028"/>
      <c r="G17" s="572"/>
      <c r="H17" s="570">
        <f>I49</f>
        <v>0</v>
      </c>
      <c r="I17" s="571">
        <f>G49+F49</f>
        <v>0</v>
      </c>
      <c r="J17" s="571">
        <f>H49+D49+C49</f>
        <v>0</v>
      </c>
      <c r="K17" s="571"/>
      <c r="L17" s="571"/>
      <c r="M17" s="571"/>
      <c r="N17" s="1029"/>
      <c r="O17" s="573">
        <f>C17*$C$22+E17*$E$22+H17*$H$22+I17*$I$22+J17*$J$22+D17*$D$22+F17*$F$22+G17*$G$22+K17*$K$22+L17*$L$22</f>
        <v>0</v>
      </c>
      <c r="P17" s="1290"/>
      <c r="Q17" s="1291"/>
      <c r="R17" s="985"/>
      <c r="S17" s="1285"/>
      <c r="T17" s="1285"/>
    </row>
    <row r="18" spans="1:26" s="534" customFormat="1">
      <c r="A18" s="574" t="s">
        <v>257</v>
      </c>
      <c r="B18" s="575">
        <f>'Eigen informatie GS &amp; warmtenet'!B32</f>
        <v>0</v>
      </c>
      <c r="C18" s="1022">
        <f>'Eigen informatie GS &amp; warmtenet'!B35</f>
        <v>0</v>
      </c>
      <c r="D18" s="1022">
        <f>'Eigen informatie GS &amp; warmtenet'!B36</f>
        <v>0</v>
      </c>
      <c r="E18" s="1022">
        <f>'Eigen informatie GS &amp; warmtenet'!B37</f>
        <v>0</v>
      </c>
      <c r="F18" s="1022">
        <f>'Eigen informatie GS &amp; warmtenet'!B38</f>
        <v>0</v>
      </c>
      <c r="G18" s="1022">
        <f>'Eigen informatie GS &amp; warmtenet'!B39</f>
        <v>0</v>
      </c>
      <c r="H18" s="1022">
        <f>'Eigen informatie GS &amp; warmtenet'!B40</f>
        <v>0</v>
      </c>
      <c r="I18" s="1022">
        <f>'Eigen informatie GS &amp; warmtenet'!B41</f>
        <v>0</v>
      </c>
      <c r="J18" s="1022">
        <f>'Eigen informatie GS &amp; warmtenet'!B42</f>
        <v>0</v>
      </c>
      <c r="K18" s="1022">
        <f>'Eigen informatie GS &amp; warmtenet'!B43</f>
        <v>0</v>
      </c>
      <c r="L18" s="1022">
        <f>'Eigen informatie GS &amp; warmtenet'!B44</f>
        <v>0</v>
      </c>
      <c r="M18" s="1022">
        <f>'Eigen informatie GS &amp; warmtenet'!B45</f>
        <v>0</v>
      </c>
      <c r="N18" s="1022">
        <f>'Eigen informatie GS &amp; warmtenet'!B46</f>
        <v>0</v>
      </c>
      <c r="O18" s="573">
        <f>C18*$C$22+E18*$E$22+H18*$H$22+I18*$I$22+J18*$J$22+D18*$D$22+F18*$F$22+G18*$G$22+K18*$K$22+L18*$L$22</f>
        <v>0</v>
      </c>
      <c r="P18" s="1286"/>
      <c r="Q18" s="1287"/>
      <c r="R18" s="986"/>
      <c r="S18" s="1274"/>
      <c r="T18" s="1274"/>
    </row>
    <row r="19" spans="1:26" s="534" customFormat="1" ht="15.75" thickBot="1">
      <c r="A19" s="549" t="s">
        <v>247</v>
      </c>
      <c r="B19" s="575">
        <f>'Eigen informatie GS &amp; warmtenet'!B11</f>
        <v>0</v>
      </c>
      <c r="C19" s="1030">
        <f>IF(ISERROR(('Eigen informatie GS &amp; warmtenet'!B15)*(('Eigen informatie GS &amp; warmtenet'!$B$11)/('Eigen informatie GS &amp; warmtenet'!$B$11+'Eigen informatie GS &amp; warmtenet'!$B$12))),0,('Eigen informatie GS &amp; warmtenet'!B15)*(('Eigen informatie GS &amp; warmtenet'!$B$11)/('Eigen informatie GS &amp; warmtenet'!$B$11+'Eigen informatie GS &amp; warmtenet'!$B$12)))</f>
        <v>0</v>
      </c>
      <c r="D19" s="1030">
        <f>IF(ISERROR(('Eigen informatie GS &amp; warmtenet'!B16)*(('Eigen informatie GS &amp; warmtenet'!$B$11)/('Eigen informatie GS &amp; warmtenet'!$B$11+'Eigen informatie GS &amp; warmtenet'!$B$12))),0,('Eigen informatie GS &amp; warmtenet'!B16)*(('Eigen informatie GS &amp; warmtenet'!$B$11)/('Eigen informatie GS &amp; warmtenet'!$B$11+'Eigen informatie GS &amp; warmtenet'!$B$12)))</f>
        <v>0</v>
      </c>
      <c r="E19" s="1030">
        <f>IF(ISERROR(('Eigen informatie GS &amp; warmtenet'!B17)*(('Eigen informatie GS &amp; warmtenet'!$B$11)/('Eigen informatie GS &amp; warmtenet'!$B$11+'Eigen informatie GS &amp; warmtenet'!$B$12))),0,('Eigen informatie GS &amp; warmtenet'!B17)*(('Eigen informatie GS &amp; warmtenet'!$B$11)/('Eigen informatie GS &amp; warmtenet'!$B$11+'Eigen informatie GS &amp; warmtenet'!$B$12)))</f>
        <v>0</v>
      </c>
      <c r="F19" s="1030">
        <f>IF(ISERROR(('Eigen informatie GS &amp; warmtenet'!B18)*(('Eigen informatie GS &amp; warmtenet'!$B$11)/('Eigen informatie GS &amp; warmtenet'!$B$11+'Eigen informatie GS &amp; warmtenet'!$B$12))),0,('Eigen informatie GS &amp; warmtenet'!B18)*(('Eigen informatie GS &amp; warmtenet'!$B$11)/('Eigen informatie GS &amp; warmtenet'!$B$11+'Eigen informatie GS &amp; warmtenet'!$B$12)))</f>
        <v>0</v>
      </c>
      <c r="G19" s="1030">
        <f>IF(ISERROR(('Eigen informatie GS &amp; warmtenet'!B19)*(('Eigen informatie GS &amp; warmtenet'!$B$11)/('Eigen informatie GS &amp; warmtenet'!$B$11+'Eigen informatie GS &amp; warmtenet'!$B$12))),0,('Eigen informatie GS &amp; warmtenet'!B19)*(('Eigen informatie GS &amp; warmtenet'!$B$11)/('Eigen informatie GS &amp; warmtenet'!$B$11+'Eigen informatie GS &amp; warmtenet'!$B$12)))</f>
        <v>0</v>
      </c>
      <c r="H19" s="1030">
        <f>IF(ISERROR(('Eigen informatie GS &amp; warmtenet'!B20)*(('Eigen informatie GS &amp; warmtenet'!$B$11)/('Eigen informatie GS &amp; warmtenet'!$B$11+'Eigen informatie GS &amp; warmtenet'!$B$12))),0,('Eigen informatie GS &amp; warmtenet'!B20)*(('Eigen informatie GS &amp; warmtenet'!$B$11)/('Eigen informatie GS &amp; warmtenet'!$B$11+'Eigen informatie GS &amp; warmtenet'!$B$12)))</f>
        <v>0</v>
      </c>
      <c r="I19" s="1030">
        <f>IF(ISERROR(('Eigen informatie GS &amp; warmtenet'!B21)*(('Eigen informatie GS &amp; warmtenet'!$B$11)/('Eigen informatie GS &amp; warmtenet'!$B$11+'Eigen informatie GS &amp; warmtenet'!$B$12))),0,('Eigen informatie GS &amp; warmtenet'!B21)*(('Eigen informatie GS &amp; warmtenet'!$B$11)/('Eigen informatie GS &amp; warmtenet'!$B$11+'Eigen informatie GS &amp; warmtenet'!$B$12)))</f>
        <v>0</v>
      </c>
      <c r="J19" s="1030">
        <f>IF(ISERROR(('Eigen informatie GS &amp; warmtenet'!B22)*(('Eigen informatie GS &amp; warmtenet'!$B$11)/('Eigen informatie GS &amp; warmtenet'!$B$11+'Eigen informatie GS &amp; warmtenet'!$B$12))),0,('Eigen informatie GS &amp; warmtenet'!B22)*(('Eigen informatie GS &amp; warmtenet'!$B$11)/('Eigen informatie GS &amp; warmtenet'!$B$11+'Eigen informatie GS &amp; warmtenet'!$B$12)))</f>
        <v>0</v>
      </c>
      <c r="K19" s="1030">
        <f>IF(ISERROR(('Eigen informatie GS &amp; warmtenet'!B23)*(('Eigen informatie GS &amp; warmtenet'!$B$11)/('Eigen informatie GS &amp; warmtenet'!$B$11+'Eigen informatie GS &amp; warmtenet'!$B$12))),0,('Eigen informatie GS &amp; warmtenet'!B23)*(('Eigen informatie GS &amp; warmtenet'!$B$11)/('Eigen informatie GS &amp; warmtenet'!$B$11+'Eigen informatie GS &amp; warmtenet'!$B$12)))</f>
        <v>0</v>
      </c>
      <c r="L19" s="1022">
        <f>IF(ISERROR(('Eigen informatie GS &amp; warmtenet'!B24)*(('Eigen informatie GS &amp; warmtenet'!$B$11)/('Eigen informatie GS &amp; warmtenet'!$B$11+'Eigen informatie GS &amp; warmtenet'!$B$12))),0,('Eigen informatie GS &amp; warmtenet'!B24)*(('Eigen informatie GS &amp; warmtenet'!$B$11)/('Eigen informatie GS &amp; warmtenet'!$B$11+'Eigen informatie GS &amp; warmtenet'!$B$12)))</f>
        <v>0</v>
      </c>
      <c r="M19" s="1022"/>
      <c r="N19" s="1031"/>
      <c r="O19" s="573">
        <f>C19*$C$22+E19*$E$22+H19*$H$22+I19*$I$22+J19*$J$22+D19*$D$22+F19*$F$22+G19*$G$22+K19*$K$22+L19*$L$22</f>
        <v>0</v>
      </c>
      <c r="P19" s="1288"/>
      <c r="Q19" s="1289"/>
      <c r="R19" s="986"/>
      <c r="S19" s="1274"/>
      <c r="T19" s="1274"/>
    </row>
    <row r="20" spans="1:26" s="534" customFormat="1" ht="16.5" thickTop="1" thickBot="1">
      <c r="A20" s="556" t="s">
        <v>115</v>
      </c>
      <c r="B20" s="557">
        <f>SUM(B17:B19)</f>
        <v>0</v>
      </c>
      <c r="C20" s="557">
        <f>SUM(C17:C19)</f>
        <v>0</v>
      </c>
      <c r="D20" s="557">
        <f t="shared" ref="D20:L20" si="1">SUM(D17:D19)</f>
        <v>0</v>
      </c>
      <c r="E20" s="557">
        <f t="shared" si="1"/>
        <v>0</v>
      </c>
      <c r="F20" s="557">
        <f t="shared" si="1"/>
        <v>0</v>
      </c>
      <c r="G20" s="557">
        <f t="shared" si="1"/>
        <v>0</v>
      </c>
      <c r="H20" s="557">
        <f t="shared" si="1"/>
        <v>0</v>
      </c>
      <c r="I20" s="557">
        <f t="shared" si="1"/>
        <v>0</v>
      </c>
      <c r="J20" s="557">
        <f t="shared" si="1"/>
        <v>0</v>
      </c>
      <c r="K20" s="557">
        <f t="shared" si="1"/>
        <v>0</v>
      </c>
      <c r="L20" s="557">
        <f t="shared" si="1"/>
        <v>0</v>
      </c>
      <c r="M20" s="557"/>
      <c r="N20" s="557"/>
      <c r="O20" s="576">
        <f>SUM(O17:O19)</f>
        <v>0</v>
      </c>
      <c r="P20" s="1282"/>
      <c r="Q20" s="1283"/>
      <c r="R20" s="986"/>
      <c r="S20" s="1284"/>
      <c r="T20" s="1284"/>
    </row>
    <row r="21" spans="1:26" s="534" customFormat="1" ht="15.75" thickTop="1">
      <c r="A21" s="985"/>
      <c r="B21" s="986"/>
      <c r="C21" s="986"/>
      <c r="D21" s="986"/>
      <c r="E21" s="986"/>
      <c r="F21" s="986"/>
      <c r="G21" s="986"/>
      <c r="H21" s="986"/>
      <c r="I21" s="986"/>
      <c r="J21" s="986"/>
      <c r="K21" s="986"/>
      <c r="L21" s="986"/>
      <c r="M21" s="986"/>
      <c r="N21" s="986"/>
      <c r="O21" s="986"/>
      <c r="P21" s="984"/>
      <c r="Q21" s="984"/>
      <c r="R21" s="986"/>
      <c r="S21" s="984"/>
      <c r="T21" s="984"/>
    </row>
    <row r="22" spans="1:26" s="563" customFormat="1">
      <c r="A22" s="1026" t="s">
        <v>289</v>
      </c>
      <c r="B22" s="1027"/>
      <c r="C22" s="1027">
        <f>EF_CO2_aardgas</f>
        <v>0.20200000000000001</v>
      </c>
      <c r="D22" s="1027">
        <f>EF_VLgas_CO2</f>
        <v>0.22700000000000001</v>
      </c>
      <c r="E22" s="1027">
        <f>EF_stookolie_CO2</f>
        <v>0.26700000000000002</v>
      </c>
      <c r="F22" s="1027">
        <f>EF_bruinkool_CO2</f>
        <v>0.35099999999999998</v>
      </c>
      <c r="G22" s="1027">
        <f>EF_steenkool_CO2</f>
        <v>0.35399999999999998</v>
      </c>
      <c r="H22" s="1027">
        <f>'EF brandstof'!M4</f>
        <v>0.33</v>
      </c>
      <c r="I22" s="1027">
        <f>'EF brandstof'!J4</f>
        <v>0</v>
      </c>
      <c r="J22" s="1027">
        <f>'EF brandstof'!L4</f>
        <v>0</v>
      </c>
      <c r="K22" s="1027">
        <f>'EF brandstof'!L4</f>
        <v>0</v>
      </c>
      <c r="L22" s="1027"/>
      <c r="M22" s="1027"/>
      <c r="N22" s="1027"/>
      <c r="O22" s="564"/>
      <c r="P22" s="564"/>
      <c r="Q22" s="564"/>
      <c r="R22" s="564"/>
      <c r="S22" s="534"/>
    </row>
    <row r="23" spans="1:26" s="563" customFormat="1">
      <c r="A23" s="565"/>
      <c r="B23" s="564"/>
      <c r="C23" s="564"/>
      <c r="D23" s="564"/>
      <c r="E23" s="564"/>
      <c r="F23" s="564"/>
      <c r="G23" s="564"/>
      <c r="H23" s="564"/>
      <c r="I23" s="564"/>
      <c r="J23" s="564"/>
      <c r="K23" s="564"/>
      <c r="L23" s="564"/>
      <c r="M23" s="564"/>
      <c r="N23" s="564"/>
      <c r="O23" s="564"/>
      <c r="P23" s="564"/>
      <c r="Q23" s="564"/>
      <c r="R23" s="564"/>
      <c r="S23" s="534"/>
    </row>
    <row r="24" spans="1:26" s="563" customFormat="1">
      <c r="A24" s="565"/>
      <c r="B24" s="564"/>
      <c r="C24" s="564"/>
      <c r="D24" s="577"/>
      <c r="E24" s="577"/>
      <c r="F24" s="577"/>
      <c r="G24" s="564"/>
      <c r="H24" s="564"/>
      <c r="I24" s="564"/>
      <c r="J24" s="564"/>
      <c r="K24" s="564"/>
      <c r="L24" s="564"/>
      <c r="M24" s="564"/>
      <c r="N24" s="564"/>
      <c r="O24" s="564"/>
      <c r="P24" s="564"/>
      <c r="Q24" s="564"/>
      <c r="R24" s="564"/>
    </row>
    <row r="25" spans="1:26" s="563" customFormat="1">
      <c r="A25" s="565"/>
      <c r="B25" s="564"/>
      <c r="C25" s="564"/>
      <c r="D25" s="577"/>
      <c r="E25" s="577"/>
      <c r="F25" s="577"/>
      <c r="G25" s="564"/>
      <c r="H25" s="564"/>
      <c r="I25" s="564"/>
      <c r="J25" s="564"/>
      <c r="K25" s="564"/>
      <c r="L25" s="564"/>
      <c r="M25" s="564"/>
      <c r="N25" s="564"/>
      <c r="O25" s="564"/>
      <c r="P25" s="564"/>
      <c r="Q25" s="564"/>
      <c r="R25" s="564"/>
    </row>
    <row r="26" spans="1:26" s="534" customFormat="1" ht="15.75" thickBot="1">
      <c r="B26" s="577"/>
      <c r="C26" s="577"/>
      <c r="D26" s="577"/>
      <c r="E26" s="577"/>
      <c r="F26" s="577"/>
      <c r="G26" s="577"/>
      <c r="H26" s="577"/>
      <c r="I26" s="577"/>
      <c r="J26" s="577"/>
      <c r="K26" s="577"/>
      <c r="L26" s="577"/>
      <c r="M26" s="577"/>
      <c r="N26" s="577"/>
      <c r="O26" s="577"/>
      <c r="P26" s="577"/>
      <c r="Q26" s="578"/>
      <c r="R26" s="578"/>
    </row>
    <row r="27" spans="1:26" s="534" customFormat="1" ht="45">
      <c r="A27" s="579" t="s">
        <v>278</v>
      </c>
      <c r="B27" s="624" t="s">
        <v>89</v>
      </c>
      <c r="C27" s="624" t="s">
        <v>90</v>
      </c>
      <c r="D27" s="624" t="s">
        <v>91</v>
      </c>
      <c r="E27" s="624" t="s">
        <v>92</v>
      </c>
      <c r="F27" s="624" t="s">
        <v>93</v>
      </c>
      <c r="G27" s="624" t="s">
        <v>94</v>
      </c>
      <c r="H27" s="624" t="s">
        <v>95</v>
      </c>
      <c r="I27" s="624" t="s">
        <v>96</v>
      </c>
      <c r="J27" s="624" t="s">
        <v>97</v>
      </c>
      <c r="K27" s="624" t="s">
        <v>98</v>
      </c>
      <c r="L27" s="624" t="s">
        <v>99</v>
      </c>
      <c r="M27" s="625" t="s">
        <v>297</v>
      </c>
      <c r="N27" s="625" t="s">
        <v>100</v>
      </c>
      <c r="O27" s="625" t="s">
        <v>101</v>
      </c>
      <c r="P27" s="625" t="s">
        <v>543</v>
      </c>
      <c r="Q27" s="625" t="s">
        <v>102</v>
      </c>
      <c r="R27" s="625" t="s">
        <v>103</v>
      </c>
      <c r="S27" s="625" t="s">
        <v>104</v>
      </c>
      <c r="T27" s="625" t="s">
        <v>105</v>
      </c>
      <c r="U27" s="625" t="s">
        <v>106</v>
      </c>
      <c r="V27" s="625" t="s">
        <v>107</v>
      </c>
      <c r="W27" s="624" t="s">
        <v>108</v>
      </c>
      <c r="X27" s="624" t="s">
        <v>298</v>
      </c>
      <c r="Y27" s="624" t="s">
        <v>109</v>
      </c>
      <c r="Z27" s="626" t="s">
        <v>299</v>
      </c>
    </row>
    <row r="28" spans="1:26" s="581" customFormat="1" ht="12.75">
      <c r="A28" s="580"/>
      <c r="B28" s="771"/>
      <c r="C28" s="771"/>
      <c r="D28" s="628"/>
      <c r="E28" s="627"/>
      <c r="F28" s="627"/>
      <c r="G28" s="627"/>
      <c r="H28" s="627"/>
      <c r="I28" s="627"/>
      <c r="J28" s="770"/>
      <c r="K28" s="770"/>
      <c r="L28" s="627"/>
      <c r="M28" s="627"/>
      <c r="N28" s="627"/>
      <c r="O28" s="627"/>
      <c r="P28" s="627"/>
      <c r="Q28" s="627"/>
      <c r="R28" s="627"/>
      <c r="S28" s="627"/>
      <c r="T28" s="627"/>
      <c r="U28" s="627"/>
      <c r="V28" s="627"/>
      <c r="W28" s="627"/>
      <c r="X28" s="627"/>
      <c r="Y28" s="627"/>
      <c r="Z28" s="629"/>
    </row>
    <row r="29" spans="1:26" s="565" customFormat="1">
      <c r="A29" s="583" t="s">
        <v>279</v>
      </c>
      <c r="B29" s="584"/>
      <c r="C29" s="584"/>
      <c r="D29" s="584"/>
      <c r="E29" s="584"/>
      <c r="F29" s="584"/>
      <c r="G29" s="584"/>
      <c r="H29" s="584"/>
      <c r="I29" s="584"/>
      <c r="J29" s="584"/>
      <c r="K29" s="584"/>
      <c r="L29" s="585"/>
      <c r="M29" s="585">
        <f>SUM(M28:M28)</f>
        <v>0</v>
      </c>
      <c r="N29" s="585">
        <f>SUM(N28:N28)</f>
        <v>0</v>
      </c>
      <c r="O29" s="585">
        <f>SUM(O28:O28)</f>
        <v>0</v>
      </c>
      <c r="P29" s="585">
        <f>SUM(P28:P28)</f>
        <v>0</v>
      </c>
      <c r="Q29" s="585">
        <f>SUM(Q28:Q28)</f>
        <v>0</v>
      </c>
      <c r="R29" s="585">
        <f>SUM(R28:R28)</f>
        <v>0</v>
      </c>
      <c r="S29" s="585">
        <f>SUM(S28:S28)</f>
        <v>0</v>
      </c>
      <c r="T29" s="585">
        <f>SUM(T28:T28)</f>
        <v>0</v>
      </c>
      <c r="U29" s="585">
        <f>SUM(U28:U28)</f>
        <v>0</v>
      </c>
      <c r="V29" s="585">
        <f>SUM(V28:V28)</f>
        <v>0</v>
      </c>
      <c r="W29" s="585">
        <f>SUM(W28:W28)</f>
        <v>0</v>
      </c>
      <c r="X29" s="586"/>
      <c r="Y29" s="586"/>
      <c r="Z29" s="587"/>
    </row>
    <row r="30" spans="1:26" s="565" customFormat="1">
      <c r="A30" s="583" t="s">
        <v>286</v>
      </c>
      <c r="B30" s="584"/>
      <c r="C30" s="584"/>
      <c r="D30" s="584"/>
      <c r="E30" s="584"/>
      <c r="F30" s="584"/>
      <c r="G30" s="584"/>
      <c r="H30" s="584"/>
      <c r="I30" s="584"/>
      <c r="J30" s="584"/>
      <c r="K30" s="584"/>
      <c r="L30" s="585"/>
      <c r="M30" s="585">
        <f>SUMIF($Z$28:$Z$28,"industrie",M28:M28)</f>
        <v>0</v>
      </c>
      <c r="N30" s="585">
        <f>SUMIF($Z$28:$Z$28,"industrie",N28:N28)</f>
        <v>0</v>
      </c>
      <c r="O30" s="585">
        <f>SUMIF($Z$28:$Z$28,"industrie",O28:O28)</f>
        <v>0</v>
      </c>
      <c r="P30" s="585">
        <f>SUMIF($Z$28:$Z$28,"industrie",P28:P28)</f>
        <v>0</v>
      </c>
      <c r="Q30" s="585">
        <f>SUMIF($Z$28:$Z$28,"industrie",Q28:Q28)</f>
        <v>0</v>
      </c>
      <c r="R30" s="585">
        <f>SUMIF($Z$28:$Z$28,"industrie",R28:R28)</f>
        <v>0</v>
      </c>
      <c r="S30" s="585">
        <f>SUMIF($Z$28:$Z$28,"industrie",S28:S28)</f>
        <v>0</v>
      </c>
      <c r="T30" s="585">
        <f>SUMIF($Z$28:$Z$28,"industrie",T28:T28)</f>
        <v>0</v>
      </c>
      <c r="U30" s="585">
        <f>SUMIF($Z$28:$Z$28,"industrie",U28:U28)</f>
        <v>0</v>
      </c>
      <c r="V30" s="585">
        <f>SUMIF($Z$28:$Z$28,"industrie",V28:V28)</f>
        <v>0</v>
      </c>
      <c r="W30" s="585">
        <f>SUMIF($Z$28:$Z$28,"industrie",W28:W28)</f>
        <v>0</v>
      </c>
      <c r="X30" s="586"/>
      <c r="Y30" s="586"/>
      <c r="Z30" s="587"/>
    </row>
    <row r="31" spans="1:26" s="565" customFormat="1">
      <c r="A31" s="583" t="s">
        <v>287</v>
      </c>
      <c r="B31" s="584"/>
      <c r="C31" s="584"/>
      <c r="D31" s="584"/>
      <c r="E31" s="584"/>
      <c r="F31" s="584"/>
      <c r="G31" s="584"/>
      <c r="H31" s="584"/>
      <c r="I31" s="584"/>
      <c r="J31" s="584"/>
      <c r="K31" s="584"/>
      <c r="L31" s="585"/>
      <c r="M31" s="585">
        <f ca="1">SUMIF($Z$28:AC28,"tertiair",M28:M28)</f>
        <v>0</v>
      </c>
      <c r="N31" s="585">
        <f ca="1">SUMIF($Z$28:AD28,"tertiair",N28:N28)</f>
        <v>0</v>
      </c>
      <c r="O31" s="585">
        <f ca="1">SUMIF($Z$28:AE28,"tertiair",O28:O28)</f>
        <v>0</v>
      </c>
      <c r="P31" s="585">
        <f ca="1">SUMIF($Z$28:AF28,"tertiair",P28:P28)</f>
        <v>0</v>
      </c>
      <c r="Q31" s="585">
        <f ca="1">SUMIF($Z$28:AG28,"tertiair",Q28:Q28)</f>
        <v>0</v>
      </c>
      <c r="R31" s="585">
        <f ca="1">SUMIF($Z$28:AH28,"tertiair",R28:R28)</f>
        <v>0</v>
      </c>
      <c r="S31" s="585">
        <f ca="1">SUMIF($Z$28:AI28,"tertiair",S28:S28)</f>
        <v>0</v>
      </c>
      <c r="T31" s="585">
        <f ca="1">SUMIF($Z$28:AJ28,"tertiair",T28:T28)</f>
        <v>0</v>
      </c>
      <c r="U31" s="585">
        <f ca="1">SUMIF($Z$28:AK28,"tertiair",U28:U28)</f>
        <v>0</v>
      </c>
      <c r="V31" s="585">
        <f ca="1">SUMIF($Z$28:AL28,"tertiair",V28:V28)</f>
        <v>0</v>
      </c>
      <c r="W31" s="585">
        <f ca="1">SUMIF($Z$28:AM28,"tertiair",W28:W28)</f>
        <v>0</v>
      </c>
      <c r="X31" s="586"/>
      <c r="Y31" s="586"/>
      <c r="Z31" s="587"/>
    </row>
    <row r="32" spans="1:26" s="565" customFormat="1" ht="15.75" thickBot="1">
      <c r="A32" s="588" t="s">
        <v>288</v>
      </c>
      <c r="B32" s="589"/>
      <c r="C32" s="589"/>
      <c r="D32" s="589"/>
      <c r="E32" s="589"/>
      <c r="F32" s="589"/>
      <c r="G32" s="589"/>
      <c r="H32" s="589"/>
      <c r="I32" s="589"/>
      <c r="J32" s="589"/>
      <c r="K32" s="589"/>
      <c r="L32" s="590"/>
      <c r="M32" s="590">
        <f>SUMIF($Z$28:$Z$28,"landbouw",M28:M28)</f>
        <v>0</v>
      </c>
      <c r="N32" s="590">
        <f>SUMIF($Z$28:$Z$28,"landbouw",N28:N28)</f>
        <v>0</v>
      </c>
      <c r="O32" s="590">
        <f>SUMIF($Z$28:$Z$28,"landbouw",O28:O28)</f>
        <v>0</v>
      </c>
      <c r="P32" s="590">
        <f>SUMIF($Z$28:$Z$28,"landbouw",P28:P28)</f>
        <v>0</v>
      </c>
      <c r="Q32" s="590">
        <f>SUMIF($Z$28:$Z$28,"landbouw",Q28:Q28)</f>
        <v>0</v>
      </c>
      <c r="R32" s="590">
        <f>SUMIF($Z$28:$Z$28,"landbouw",R28:R28)</f>
        <v>0</v>
      </c>
      <c r="S32" s="590">
        <f>SUMIF($Z$28:$Z$28,"landbouw",S28:S28)</f>
        <v>0</v>
      </c>
      <c r="T32" s="590">
        <f>SUMIF($Z$28:$Z$28,"landbouw",T28:T28)</f>
        <v>0</v>
      </c>
      <c r="U32" s="590">
        <f>SUMIF($Z$28:$Z$28,"landbouw",U28:U28)</f>
        <v>0</v>
      </c>
      <c r="V32" s="590">
        <f>SUMIF($Z$28:$Z$28,"landbouw",V28:V28)</f>
        <v>0</v>
      </c>
      <c r="W32" s="590">
        <f>SUMIF($Z$28:$Z$28,"landbouw",W28:W28)</f>
        <v>0</v>
      </c>
      <c r="X32" s="591"/>
      <c r="Y32" s="591"/>
      <c r="Z32" s="592"/>
    </row>
    <row r="33" spans="1:27" s="534" customFormat="1" ht="15.75" thickBot="1">
      <c r="A33" s="593"/>
      <c r="B33" s="594"/>
      <c r="C33" s="594"/>
      <c r="D33" s="594"/>
      <c r="E33" s="594"/>
      <c r="F33" s="594"/>
      <c r="G33" s="594"/>
      <c r="H33" s="594"/>
      <c r="I33" s="594"/>
      <c r="J33" s="594"/>
      <c r="K33" s="594"/>
      <c r="L33" s="577"/>
      <c r="M33" s="577"/>
      <c r="N33" s="577"/>
      <c r="O33" s="578"/>
      <c r="P33" s="578"/>
    </row>
    <row r="34" spans="1:27" s="534" customFormat="1" ht="45">
      <c r="A34" s="595" t="s">
        <v>280</v>
      </c>
      <c r="B34" s="624" t="s">
        <v>89</v>
      </c>
      <c r="C34" s="624" t="s">
        <v>90</v>
      </c>
      <c r="D34" s="624" t="s">
        <v>91</v>
      </c>
      <c r="E34" s="624" t="s">
        <v>92</v>
      </c>
      <c r="F34" s="624" t="s">
        <v>93</v>
      </c>
      <c r="G34" s="624" t="s">
        <v>94</v>
      </c>
      <c r="H34" s="624" t="s">
        <v>95</v>
      </c>
      <c r="I34" s="624" t="s">
        <v>96</v>
      </c>
      <c r="J34" s="624" t="s">
        <v>97</v>
      </c>
      <c r="K34" s="624" t="s">
        <v>98</v>
      </c>
      <c r="L34" s="624" t="s">
        <v>99</v>
      </c>
      <c r="M34" s="625" t="s">
        <v>297</v>
      </c>
      <c r="N34" s="625" t="s">
        <v>100</v>
      </c>
      <c r="O34" s="625" t="s">
        <v>101</v>
      </c>
      <c r="P34" s="625" t="s">
        <v>543</v>
      </c>
      <c r="Q34" s="625" t="s">
        <v>102</v>
      </c>
      <c r="R34" s="625" t="s">
        <v>103</v>
      </c>
      <c r="S34" s="625" t="s">
        <v>104</v>
      </c>
      <c r="T34" s="625" t="s">
        <v>105</v>
      </c>
      <c r="U34" s="625" t="s">
        <v>106</v>
      </c>
      <c r="V34" s="625" t="s">
        <v>107</v>
      </c>
      <c r="W34" s="624" t="s">
        <v>108</v>
      </c>
      <c r="X34" s="624" t="s">
        <v>298</v>
      </c>
      <c r="Y34" s="624" t="s">
        <v>109</v>
      </c>
      <c r="Z34" s="626" t="s">
        <v>299</v>
      </c>
    </row>
    <row r="35" spans="1:27" s="596" customFormat="1" ht="12.75">
      <c r="A35" s="582"/>
      <c r="B35" s="771"/>
      <c r="C35" s="771"/>
      <c r="D35" s="630"/>
      <c r="E35" s="630"/>
      <c r="F35" s="630"/>
      <c r="G35" s="630"/>
      <c r="H35" s="630"/>
      <c r="I35" s="630"/>
      <c r="J35" s="770"/>
      <c r="K35" s="770"/>
      <c r="L35" s="630"/>
      <c r="M35" s="630"/>
      <c r="N35" s="630"/>
      <c r="O35" s="630"/>
      <c r="P35" s="630"/>
      <c r="Q35" s="630"/>
      <c r="R35" s="630"/>
      <c r="S35" s="630"/>
      <c r="T35" s="630"/>
      <c r="U35" s="630"/>
      <c r="V35" s="630"/>
      <c r="W35" s="630"/>
      <c r="X35" s="630"/>
      <c r="Y35" s="630"/>
      <c r="Z35" s="631"/>
    </row>
    <row r="36" spans="1:27" s="565" customFormat="1">
      <c r="A36" s="583" t="s">
        <v>279</v>
      </c>
      <c r="B36" s="584"/>
      <c r="C36" s="584"/>
      <c r="D36" s="584"/>
      <c r="E36" s="584"/>
      <c r="F36" s="584"/>
      <c r="G36" s="584"/>
      <c r="H36" s="584"/>
      <c r="I36" s="584"/>
      <c r="J36" s="584"/>
      <c r="K36" s="584"/>
      <c r="L36" s="585"/>
      <c r="M36" s="585">
        <f>SUM(M35:M35)</f>
        <v>0</v>
      </c>
      <c r="N36" s="585">
        <f>SUM(N35:N35)</f>
        <v>0</v>
      </c>
      <c r="O36" s="585">
        <f>SUM(O35:O35)</f>
        <v>0</v>
      </c>
      <c r="P36" s="585">
        <f>SUM(P35:P35)</f>
        <v>0</v>
      </c>
      <c r="Q36" s="585">
        <f>SUM(Q35:Q35)</f>
        <v>0</v>
      </c>
      <c r="R36" s="585">
        <f>SUM(R35:R35)</f>
        <v>0</v>
      </c>
      <c r="S36" s="585">
        <f>SUM(S35:S35)</f>
        <v>0</v>
      </c>
      <c r="T36" s="585">
        <f>SUM(T35:T35)</f>
        <v>0</v>
      </c>
      <c r="U36" s="585">
        <f>SUM(U35:U35)</f>
        <v>0</v>
      </c>
      <c r="V36" s="585">
        <f>SUM(V35:V35)</f>
        <v>0</v>
      </c>
      <c r="W36" s="585">
        <f>SUM(W35:W35)</f>
        <v>0</v>
      </c>
      <c r="X36" s="586"/>
      <c r="Y36" s="586"/>
      <c r="Z36" s="587"/>
    </row>
    <row r="37" spans="1:27" s="565" customFormat="1">
      <c r="A37" s="583" t="s">
        <v>286</v>
      </c>
      <c r="B37" s="584"/>
      <c r="C37" s="584"/>
      <c r="D37" s="584"/>
      <c r="E37" s="584"/>
      <c r="F37" s="584"/>
      <c r="G37" s="584"/>
      <c r="H37" s="584"/>
      <c r="I37" s="584"/>
      <c r="J37" s="584"/>
      <c r="K37" s="584"/>
      <c r="L37" s="585"/>
      <c r="M37" s="585">
        <f>SUMIF($Z$35:$Z$35,"industrie",M35:M35)</f>
        <v>0</v>
      </c>
      <c r="N37" s="585">
        <f>SUMIF($Z$35:$Z$35,"industrie",N35:N35)</f>
        <v>0</v>
      </c>
      <c r="O37" s="585">
        <f>SUMIF($Z$35:$Z$35,"industrie",O35:O35)</f>
        <v>0</v>
      </c>
      <c r="P37" s="585">
        <f>SUMIF($Z$35:$Z$35,"industrie",P35:P35)</f>
        <v>0</v>
      </c>
      <c r="Q37" s="585">
        <f>SUMIF($Z$35:$Z$35,"industrie",Q35:Q35)</f>
        <v>0</v>
      </c>
      <c r="R37" s="585">
        <f>SUMIF($Z$35:$Z$35,"industrie",R35:R35)</f>
        <v>0</v>
      </c>
      <c r="S37" s="585">
        <f>SUMIF($Z$35:$Z$35,"industrie",S35:S35)</f>
        <v>0</v>
      </c>
      <c r="T37" s="585">
        <f>SUMIF($Z$35:$Z$35,"industrie",T35:T35)</f>
        <v>0</v>
      </c>
      <c r="U37" s="585">
        <f>SUMIF($Z$35:$Z$35,"industrie",U35:U35)</f>
        <v>0</v>
      </c>
      <c r="V37" s="585">
        <f>SUMIF($Z$35:$Z$35,"industrie",V35:V35)</f>
        <v>0</v>
      </c>
      <c r="W37" s="585">
        <f>SUMIF($Z$35:$Z$35,"industrie",W35:W35)</f>
        <v>0</v>
      </c>
      <c r="X37" s="586"/>
      <c r="Y37" s="586"/>
      <c r="Z37" s="587"/>
    </row>
    <row r="38" spans="1:27" s="565" customFormat="1">
      <c r="A38" s="583" t="s">
        <v>287</v>
      </c>
      <c r="B38" s="584"/>
      <c r="C38" s="584"/>
      <c r="D38" s="584"/>
      <c r="E38" s="584"/>
      <c r="F38" s="584"/>
      <c r="G38" s="584"/>
      <c r="H38" s="584"/>
      <c r="I38" s="584"/>
      <c r="J38" s="584"/>
      <c r="K38" s="584"/>
      <c r="L38" s="585"/>
      <c r="M38" s="585">
        <f>SUMIF($Z$35:$Z$36,"tertiair",M35:M36)</f>
        <v>0</v>
      </c>
      <c r="N38" s="585">
        <f>SUMIF($Z$35:$Z$36,"tertiair",N35:N36)</f>
        <v>0</v>
      </c>
      <c r="O38" s="585">
        <f>SUMIF($Z$35:$Z$36,"tertiair",O35:O36)</f>
        <v>0</v>
      </c>
      <c r="P38" s="585">
        <f>SUMIF($Z$35:$Z$36,"tertiair",P35:P36)</f>
        <v>0</v>
      </c>
      <c r="Q38" s="585">
        <f>SUMIF($Z$35:$Z$36,"tertiair",Q35:Q36)</f>
        <v>0</v>
      </c>
      <c r="R38" s="585">
        <f>SUMIF($Z$35:$Z$36,"tertiair",R35:R36)</f>
        <v>0</v>
      </c>
      <c r="S38" s="585">
        <f>SUMIF($Z$35:$Z$36,"tertiair",S35:S36)</f>
        <v>0</v>
      </c>
      <c r="T38" s="585">
        <f>SUMIF($Z$35:$Z$36,"tertiair",T35:T36)</f>
        <v>0</v>
      </c>
      <c r="U38" s="585">
        <f>SUMIF($Z$35:$Z$36,"tertiair",U35:U36)</f>
        <v>0</v>
      </c>
      <c r="V38" s="585">
        <f>SUMIF($Z$35:$Z$36,"tertiair",V35:V36)</f>
        <v>0</v>
      </c>
      <c r="W38" s="585">
        <f>SUMIF($Z$35:$Z$36,"tertiair",W35:W36)</f>
        <v>0</v>
      </c>
      <c r="X38" s="586"/>
      <c r="Y38" s="586"/>
      <c r="Z38" s="587"/>
    </row>
    <row r="39" spans="1:27" s="565" customFormat="1" ht="15.75" thickBot="1">
      <c r="A39" s="588" t="s">
        <v>288</v>
      </c>
      <c r="B39" s="589"/>
      <c r="C39" s="589"/>
      <c r="D39" s="589"/>
      <c r="E39" s="589"/>
      <c r="F39" s="589"/>
      <c r="G39" s="589"/>
      <c r="H39" s="589"/>
      <c r="I39" s="589"/>
      <c r="J39" s="589"/>
      <c r="K39" s="589"/>
      <c r="L39" s="590"/>
      <c r="M39" s="590">
        <f>SUMIF($Z$35:$Z$37,"landbouw",M35:M37)</f>
        <v>0</v>
      </c>
      <c r="N39" s="590">
        <f>SUMIF($Z$35:$Z$37,"landbouw",N35:N37)</f>
        <v>0</v>
      </c>
      <c r="O39" s="590">
        <f>SUMIF($Z$35:$Z$37,"landbouw",O35:O37)</f>
        <v>0</v>
      </c>
      <c r="P39" s="590">
        <f>SUMIF($Z$35:$Z$37,"landbouw",P35:P37)</f>
        <v>0</v>
      </c>
      <c r="Q39" s="590">
        <f>SUMIF($Z$35:$Z$37,"landbouw",Q35:Q37)</f>
        <v>0</v>
      </c>
      <c r="R39" s="590">
        <f>SUMIF($Z$35:$Z$37,"landbouw",R35:R37)</f>
        <v>0</v>
      </c>
      <c r="S39" s="590">
        <f>SUMIF($Z$35:$Z$37,"landbouw",S35:S37)</f>
        <v>0</v>
      </c>
      <c r="T39" s="590">
        <f>SUMIF($Z$35:$Z$37,"landbouw",T35:T37)</f>
        <v>0</v>
      </c>
      <c r="U39" s="590">
        <f>SUMIF($Z$35:$Z$37,"landbouw",U35:U37)</f>
        <v>0</v>
      </c>
      <c r="V39" s="590">
        <f>SUMIF($Z$35:$Z$37,"landbouw",V35:V37)</f>
        <v>0</v>
      </c>
      <c r="W39" s="590">
        <f>SUMIF($Z$35:$Z$37,"landbouw",W35:W37)</f>
        <v>0</v>
      </c>
      <c r="X39" s="591"/>
      <c r="Y39" s="591"/>
      <c r="Z39" s="592"/>
    </row>
    <row r="40" spans="1:27" s="597" customFormat="1">
      <c r="A40" s="593"/>
      <c r="B40" s="577"/>
      <c r="C40" s="577"/>
      <c r="D40" s="577"/>
      <c r="E40" s="577"/>
      <c r="F40" s="577"/>
      <c r="G40" s="577"/>
      <c r="H40" s="577"/>
      <c r="I40" s="577"/>
      <c r="J40" s="577"/>
      <c r="K40" s="577"/>
      <c r="L40" s="577"/>
      <c r="M40" s="577"/>
      <c r="N40" s="577"/>
      <c r="O40" s="577"/>
      <c r="P40" s="577"/>
      <c r="Q40" s="577"/>
      <c r="R40" s="577"/>
      <c r="S40" s="577"/>
      <c r="T40" s="577"/>
      <c r="U40" s="577"/>
      <c r="V40" s="577"/>
      <c r="W40" s="577"/>
      <c r="X40" s="577"/>
      <c r="Y40" s="577"/>
    </row>
    <row r="41" spans="1:27" s="597" customFormat="1" ht="15.75" thickBot="1">
      <c r="A41" s="593"/>
      <c r="B41" s="577"/>
      <c r="C41" s="577"/>
      <c r="D41" s="577"/>
      <c r="E41" s="577"/>
      <c r="F41" s="577"/>
      <c r="G41" s="577"/>
      <c r="H41" s="577"/>
      <c r="I41" s="577"/>
      <c r="J41" s="577"/>
      <c r="K41" s="577"/>
      <c r="L41" s="577"/>
      <c r="M41" s="577"/>
      <c r="N41" s="577"/>
      <c r="O41" s="577"/>
      <c r="P41" s="577"/>
      <c r="Q41" s="577"/>
      <c r="R41" s="577"/>
      <c r="S41" s="577"/>
      <c r="T41" s="577"/>
      <c r="U41" s="577"/>
      <c r="V41" s="577"/>
      <c r="W41" s="577"/>
      <c r="X41" s="577"/>
      <c r="Y41" s="577"/>
      <c r="Z41" s="577"/>
      <c r="AA41" s="577"/>
    </row>
    <row r="42" spans="1:27">
      <c r="A42" s="598" t="s">
        <v>281</v>
      </c>
      <c r="B42" s="599"/>
      <c r="C42" s="599"/>
      <c r="D42" s="599"/>
      <c r="E42" s="599"/>
      <c r="F42" s="599"/>
      <c r="G42" s="599"/>
      <c r="H42" s="599"/>
      <c r="I42" s="600"/>
      <c r="J42" s="601"/>
      <c r="K42" s="601"/>
      <c r="L42" s="602"/>
      <c r="M42" s="602"/>
      <c r="N42" s="602"/>
      <c r="O42" s="602"/>
      <c r="P42" s="602"/>
    </row>
    <row r="43" spans="1:27">
      <c r="A43" s="604"/>
      <c r="B43" s="594"/>
      <c r="C43" s="594"/>
      <c r="D43" s="594"/>
      <c r="E43" s="594"/>
      <c r="F43" s="594"/>
      <c r="G43" s="594"/>
      <c r="H43" s="594"/>
      <c r="I43" s="605"/>
      <c r="J43" s="594"/>
      <c r="K43" s="594"/>
      <c r="L43" s="602"/>
      <c r="M43" s="602"/>
      <c r="N43" s="602"/>
      <c r="O43" s="602"/>
      <c r="P43" s="602"/>
    </row>
    <row r="44" spans="1:27">
      <c r="A44" s="606"/>
      <c r="B44" s="607" t="s">
        <v>282</v>
      </c>
      <c r="C44" s="607" t="s">
        <v>283</v>
      </c>
      <c r="D44" s="607"/>
      <c r="E44" s="607"/>
      <c r="F44" s="607"/>
      <c r="G44" s="607"/>
      <c r="H44" s="607"/>
      <c r="I44" s="608"/>
      <c r="J44" s="607"/>
      <c r="K44" s="607"/>
      <c r="L44" s="607"/>
      <c r="M44" s="607"/>
      <c r="N44" s="607"/>
      <c r="O44" s="607"/>
      <c r="P44" s="602"/>
    </row>
    <row r="45" spans="1:27">
      <c r="A45" s="604" t="s">
        <v>279</v>
      </c>
      <c r="B45" s="609">
        <f>IF(ISERROR(O29/(O29+N29)),0,O29/(O29+N29))</f>
        <v>0</v>
      </c>
      <c r="C45" s="610">
        <f>IF(ISERROR(N29/(O29+N29)),0,N29/(N29+O29))</f>
        <v>0</v>
      </c>
      <c r="D45" s="577"/>
      <c r="E45" s="577"/>
      <c r="F45" s="577"/>
      <c r="G45" s="577"/>
      <c r="H45" s="577"/>
      <c r="I45" s="611"/>
      <c r="J45" s="577"/>
      <c r="K45" s="577"/>
      <c r="L45" s="612"/>
      <c r="M45" s="612"/>
      <c r="N45" s="612"/>
      <c r="O45" s="612"/>
      <c r="P45" s="602"/>
    </row>
    <row r="46" spans="1:27">
      <c r="A46" s="604"/>
      <c r="B46" s="613"/>
      <c r="C46" s="613"/>
      <c r="D46" s="613"/>
      <c r="E46" s="613"/>
      <c r="F46" s="613"/>
      <c r="G46" s="613"/>
      <c r="H46" s="613"/>
      <c r="I46" s="614"/>
      <c r="J46" s="613"/>
      <c r="K46" s="613"/>
      <c r="L46" s="615"/>
      <c r="M46" s="615"/>
      <c r="N46" s="615"/>
      <c r="O46" s="615"/>
      <c r="P46" s="602"/>
    </row>
    <row r="47" spans="1:27" ht="30">
      <c r="A47" s="616"/>
      <c r="B47" s="617" t="s">
        <v>543</v>
      </c>
      <c r="C47" s="617" t="s">
        <v>102</v>
      </c>
      <c r="D47" s="617" t="s">
        <v>103</v>
      </c>
      <c r="E47" s="617" t="s">
        <v>104</v>
      </c>
      <c r="F47" s="617" t="s">
        <v>105</v>
      </c>
      <c r="G47" s="617" t="s">
        <v>106</v>
      </c>
      <c r="H47" s="617" t="s">
        <v>107</v>
      </c>
      <c r="I47" s="618" t="s">
        <v>108</v>
      </c>
      <c r="J47" s="607"/>
      <c r="K47" s="607"/>
      <c r="L47" s="615"/>
      <c r="M47" s="615"/>
      <c r="N47" s="615"/>
      <c r="O47" s="602"/>
      <c r="P47" s="602"/>
    </row>
    <row r="48" spans="1:27">
      <c r="A48" s="606" t="s">
        <v>284</v>
      </c>
      <c r="B48" s="619">
        <f t="shared" ref="B48:I48" si="2">$C$45*P29</f>
        <v>0</v>
      </c>
      <c r="C48" s="619">
        <f t="shared" si="2"/>
        <v>0</v>
      </c>
      <c r="D48" s="619">
        <f t="shared" si="2"/>
        <v>0</v>
      </c>
      <c r="E48" s="619">
        <f t="shared" si="2"/>
        <v>0</v>
      </c>
      <c r="F48" s="619">
        <f t="shared" si="2"/>
        <v>0</v>
      </c>
      <c r="G48" s="619">
        <f t="shared" si="2"/>
        <v>0</v>
      </c>
      <c r="H48" s="619">
        <f t="shared" si="2"/>
        <v>0</v>
      </c>
      <c r="I48" s="620">
        <f t="shared" si="2"/>
        <v>0</v>
      </c>
      <c r="J48" s="577"/>
      <c r="K48" s="577"/>
      <c r="L48" s="615"/>
      <c r="M48" s="615"/>
      <c r="N48" s="615"/>
      <c r="O48" s="602"/>
      <c r="P48" s="602"/>
    </row>
    <row r="49" spans="1:16" ht="15.75" thickBot="1">
      <c r="A49" s="621" t="s">
        <v>285</v>
      </c>
      <c r="B49" s="622">
        <f t="shared" ref="B49:I49" si="3">$B$45*P29</f>
        <v>0</v>
      </c>
      <c r="C49" s="622">
        <f t="shared" si="3"/>
        <v>0</v>
      </c>
      <c r="D49" s="622">
        <f t="shared" si="3"/>
        <v>0</v>
      </c>
      <c r="E49" s="622">
        <f t="shared" si="3"/>
        <v>0</v>
      </c>
      <c r="F49" s="622">
        <f t="shared" si="3"/>
        <v>0</v>
      </c>
      <c r="G49" s="622">
        <f t="shared" si="3"/>
        <v>0</v>
      </c>
      <c r="H49" s="622">
        <f t="shared" si="3"/>
        <v>0</v>
      </c>
      <c r="I49" s="623">
        <f t="shared" si="3"/>
        <v>0</v>
      </c>
      <c r="J49" s="577"/>
      <c r="K49" s="577"/>
      <c r="L49" s="615"/>
      <c r="M49" s="615"/>
      <c r="N49" s="615"/>
      <c r="O49" s="602"/>
      <c r="P49" s="602"/>
    </row>
    <row r="50" spans="1:16">
      <c r="J50" s="563"/>
      <c r="K50" s="563"/>
      <c r="L50" s="563"/>
      <c r="M50" s="563"/>
      <c r="N50" s="563"/>
    </row>
    <row r="51" spans="1:16">
      <c r="J51" s="563"/>
      <c r="K51" s="563"/>
      <c r="L51" s="563"/>
      <c r="M51" s="563"/>
      <c r="N51" s="563"/>
    </row>
  </sheetData>
  <mergeCells count="59">
    <mergeCell ref="P20:Q20"/>
    <mergeCell ref="S20:T20"/>
    <mergeCell ref="S17:T17"/>
    <mergeCell ref="P18:Q18"/>
    <mergeCell ref="S18:T18"/>
    <mergeCell ref="P19:Q19"/>
    <mergeCell ref="S19:T19"/>
    <mergeCell ref="P17:Q17"/>
    <mergeCell ref="T9:U9"/>
    <mergeCell ref="A14:A16"/>
    <mergeCell ref="B14:B16"/>
    <mergeCell ref="C14:N14"/>
    <mergeCell ref="O14:O16"/>
    <mergeCell ref="P14:Q16"/>
    <mergeCell ref="R14:R16"/>
    <mergeCell ref="S14:T16"/>
    <mergeCell ref="C15:G15"/>
    <mergeCell ref="H15:H16"/>
    <mergeCell ref="I15:I16"/>
    <mergeCell ref="J15:J16"/>
    <mergeCell ref="K15:K16"/>
    <mergeCell ref="L15:L16"/>
    <mergeCell ref="M15:M16"/>
    <mergeCell ref="N15:N16"/>
    <mergeCell ref="T5:U5"/>
    <mergeCell ref="P6:Q6"/>
    <mergeCell ref="T6:U6"/>
    <mergeCell ref="P8:Q8"/>
    <mergeCell ref="T8:U8"/>
    <mergeCell ref="T1:U3"/>
    <mergeCell ref="M2:M3"/>
    <mergeCell ref="N2:N3"/>
    <mergeCell ref="C4:C7"/>
    <mergeCell ref="D4:D7"/>
    <mergeCell ref="E4:E7"/>
    <mergeCell ref="F4:F7"/>
    <mergeCell ref="G4:G7"/>
    <mergeCell ref="H4:H7"/>
    <mergeCell ref="I4:I7"/>
    <mergeCell ref="J4:J7"/>
    <mergeCell ref="K4:K7"/>
    <mergeCell ref="L4:L7"/>
    <mergeCell ref="M4:M7"/>
    <mergeCell ref="P4:Q4"/>
    <mergeCell ref="T4:U4"/>
    <mergeCell ref="O1:O3"/>
    <mergeCell ref="P1:Q3"/>
    <mergeCell ref="P9:Q9"/>
    <mergeCell ref="S1:S3"/>
    <mergeCell ref="P5:Q5"/>
    <mergeCell ref="A1:A3"/>
    <mergeCell ref="B1:B3"/>
    <mergeCell ref="C2:G2"/>
    <mergeCell ref="H2:H3"/>
    <mergeCell ref="I2:I3"/>
    <mergeCell ref="C1:N1"/>
    <mergeCell ref="L2:L3"/>
    <mergeCell ref="J2:J3"/>
    <mergeCell ref="K2:K3"/>
  </mergeCells>
  <dataValidations disablePrompts="1" count="1">
    <dataValidation type="list" allowBlank="1" showInputMessage="1" showErrorMessage="1" sqref="C26">
      <formula1>#REF!</formula1>
    </dataValidation>
  </dataValidations>
  <pageMargins left="0.7" right="0.7" top="0.75" bottom="0.75" header="0.3" footer="0.3"/>
  <pageSetup paperSize="9" orientation="portrait"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theme="9"/>
  </sheetPr>
  <dimension ref="A1:J25"/>
  <sheetViews>
    <sheetView showGridLines="0" workbookViewId="0">
      <selection activeCell="A21" sqref="A21:XFD21"/>
    </sheetView>
  </sheetViews>
  <sheetFormatPr defaultRowHeight="15"/>
  <cols>
    <col min="1" max="1" width="42.85546875" bestFit="1" customWidth="1"/>
    <col min="2" max="2" width="32.7109375" bestFit="1" customWidth="1"/>
    <col min="3" max="3" width="42.85546875" bestFit="1" customWidth="1"/>
    <col min="4" max="4" width="149.85546875" bestFit="1" customWidth="1"/>
    <col min="5" max="5" width="123.28515625" bestFit="1" customWidth="1"/>
    <col min="6" max="6" width="57.7109375" bestFit="1" customWidth="1"/>
    <col min="7" max="7" width="12.5703125" bestFit="1" customWidth="1"/>
    <col min="8" max="8" width="36" bestFit="1" customWidth="1"/>
  </cols>
  <sheetData>
    <row r="1" spans="1:9" s="8" customFormat="1">
      <c r="A1" s="354" t="s">
        <v>416</v>
      </c>
      <c r="B1" s="354" t="s">
        <v>423</v>
      </c>
      <c r="C1" s="354" t="s">
        <v>422</v>
      </c>
      <c r="D1" s="354" t="s">
        <v>421</v>
      </c>
      <c r="E1" s="355" t="s">
        <v>417</v>
      </c>
      <c r="F1" s="356" t="s">
        <v>418</v>
      </c>
      <c r="G1" s="356" t="s">
        <v>419</v>
      </c>
      <c r="H1" s="356" t="s">
        <v>420</v>
      </c>
    </row>
    <row r="2" spans="1:9" s="11" customFormat="1">
      <c r="A2" s="1059" t="s">
        <v>890</v>
      </c>
      <c r="B2" s="1060" t="s">
        <v>891</v>
      </c>
      <c r="C2" s="1059" t="s">
        <v>666</v>
      </c>
      <c r="D2" s="1059" t="s">
        <v>758</v>
      </c>
      <c r="E2" s="912"/>
      <c r="F2" s="913" t="s">
        <v>753</v>
      </c>
      <c r="G2" s="914" t="s">
        <v>754</v>
      </c>
      <c r="H2" s="348" t="s">
        <v>755</v>
      </c>
    </row>
    <row r="3" spans="1:9" s="11" customFormat="1">
      <c r="A3" s="1056" t="s">
        <v>888</v>
      </c>
      <c r="B3" s="1057" t="s">
        <v>887</v>
      </c>
      <c r="C3" s="1056" t="s">
        <v>192</v>
      </c>
      <c r="D3" s="1058" t="s">
        <v>889</v>
      </c>
      <c r="E3" s="912"/>
      <c r="F3" s="872" t="s">
        <v>747</v>
      </c>
      <c r="G3" s="872" t="s">
        <v>748</v>
      </c>
      <c r="H3" s="872" t="s">
        <v>749</v>
      </c>
    </row>
    <row r="4" spans="1:9" s="11" customFormat="1">
      <c r="A4" s="349" t="s">
        <v>409</v>
      </c>
      <c r="B4" s="775">
        <v>2015</v>
      </c>
      <c r="C4" s="349" t="s">
        <v>409</v>
      </c>
      <c r="D4" s="349" t="s">
        <v>756</v>
      </c>
      <c r="E4" s="350"/>
      <c r="F4" s="872" t="s">
        <v>750</v>
      </c>
      <c r="G4" s="872" t="s">
        <v>751</v>
      </c>
      <c r="H4" s="872" t="s">
        <v>752</v>
      </c>
    </row>
    <row r="5" spans="1:9">
      <c r="A5" s="344" t="s">
        <v>399</v>
      </c>
      <c r="B5" s="869" t="s">
        <v>702</v>
      </c>
      <c r="C5" s="344" t="s">
        <v>399</v>
      </c>
      <c r="D5" s="344" t="s">
        <v>701</v>
      </c>
      <c r="E5" s="346"/>
      <c r="F5" s="347" t="s">
        <v>400</v>
      </c>
      <c r="G5" s="347" t="s">
        <v>401</v>
      </c>
      <c r="H5" s="348" t="s">
        <v>402</v>
      </c>
    </row>
    <row r="6" spans="1:9">
      <c r="A6" s="344" t="s">
        <v>403</v>
      </c>
      <c r="B6" s="345" t="s">
        <v>702</v>
      </c>
      <c r="C6" s="344" t="s">
        <v>403</v>
      </c>
      <c r="D6" s="344" t="s">
        <v>703</v>
      </c>
      <c r="E6" s="346"/>
      <c r="F6" s="347" t="s">
        <v>405</v>
      </c>
      <c r="G6" s="347" t="s">
        <v>406</v>
      </c>
      <c r="H6" s="348" t="s">
        <v>404</v>
      </c>
    </row>
    <row r="7" spans="1:9">
      <c r="A7" s="349" t="s">
        <v>434</v>
      </c>
      <c r="B7" s="352" t="s">
        <v>435</v>
      </c>
      <c r="C7" s="349" t="s">
        <v>437</v>
      </c>
      <c r="D7" s="349" t="s">
        <v>433</v>
      </c>
      <c r="E7" s="346" t="s">
        <v>436</v>
      </c>
      <c r="F7" s="347"/>
      <c r="G7" s="347"/>
      <c r="H7" s="348"/>
    </row>
    <row r="8" spans="1:9" s="863" customFormat="1">
      <c r="A8" s="911" t="s">
        <v>759</v>
      </c>
      <c r="B8" s="915">
        <v>2014</v>
      </c>
      <c r="C8" s="911" t="s">
        <v>409</v>
      </c>
      <c r="D8" s="911" t="s">
        <v>760</v>
      </c>
      <c r="E8" s="916" t="s">
        <v>761</v>
      </c>
      <c r="F8" s="914"/>
      <c r="G8" s="914"/>
      <c r="H8" s="348"/>
    </row>
    <row r="9" spans="1:9" s="863" customFormat="1">
      <c r="A9" s="911" t="s">
        <v>785</v>
      </c>
      <c r="B9" s="915">
        <v>2017</v>
      </c>
      <c r="C9" s="911" t="s">
        <v>787</v>
      </c>
      <c r="D9" s="911" t="s">
        <v>786</v>
      </c>
      <c r="E9" s="351" t="s">
        <v>784</v>
      </c>
      <c r="F9" s="914"/>
      <c r="G9" s="914"/>
      <c r="H9" s="348"/>
    </row>
    <row r="10" spans="1:9" s="11" customFormat="1">
      <c r="A10" s="349" t="s">
        <v>636</v>
      </c>
      <c r="B10" s="907" t="str">
        <f>"juni 2016"</f>
        <v>juni 2016</v>
      </c>
      <c r="C10" s="349" t="s">
        <v>640</v>
      </c>
      <c r="D10" s="349" t="s">
        <v>641</v>
      </c>
      <c r="E10" s="350"/>
      <c r="F10" s="872" t="s">
        <v>637</v>
      </c>
      <c r="G10" s="872" t="s">
        <v>638</v>
      </c>
      <c r="H10" s="873" t="s">
        <v>639</v>
      </c>
    </row>
    <row r="11" spans="1:9" s="863" customFormat="1">
      <c r="A11" s="917" t="s">
        <v>764</v>
      </c>
      <c r="B11" s="918" t="s">
        <v>757</v>
      </c>
      <c r="C11" s="917" t="s">
        <v>765</v>
      </c>
      <c r="D11" s="917" t="s">
        <v>766</v>
      </c>
      <c r="E11" s="673"/>
      <c r="F11" s="914" t="s">
        <v>767</v>
      </c>
      <c r="G11" s="914" t="s">
        <v>768</v>
      </c>
      <c r="H11" s="348" t="s">
        <v>769</v>
      </c>
    </row>
    <row r="12" spans="1:9" s="863" customFormat="1">
      <c r="A12" s="911" t="s">
        <v>762</v>
      </c>
      <c r="B12" s="915">
        <v>2017</v>
      </c>
      <c r="C12" s="911" t="s">
        <v>428</v>
      </c>
      <c r="D12" s="911" t="s">
        <v>763</v>
      </c>
      <c r="E12" s="916"/>
      <c r="F12" s="914" t="s">
        <v>753</v>
      </c>
      <c r="G12" s="914" t="s">
        <v>754</v>
      </c>
      <c r="H12" s="348" t="s">
        <v>755</v>
      </c>
    </row>
    <row r="13" spans="1:9" s="10" customFormat="1">
      <c r="A13" s="349" t="s">
        <v>411</v>
      </c>
      <c r="B13" s="345" t="s">
        <v>427</v>
      </c>
      <c r="C13" s="344"/>
      <c r="D13" s="353" t="s">
        <v>426</v>
      </c>
      <c r="E13" s="346"/>
      <c r="F13" s="347"/>
      <c r="G13" s="347"/>
      <c r="H13" s="348"/>
    </row>
    <row r="14" spans="1:9">
      <c r="A14" s="344" t="s">
        <v>394</v>
      </c>
      <c r="B14" s="345" t="s">
        <v>702</v>
      </c>
      <c r="C14" s="344"/>
      <c r="D14" s="344" t="s">
        <v>704</v>
      </c>
      <c r="E14" s="351" t="s">
        <v>395</v>
      </c>
      <c r="F14" s="347" t="s">
        <v>396</v>
      </c>
      <c r="G14" s="347" t="s">
        <v>397</v>
      </c>
      <c r="H14" s="347" t="s">
        <v>398</v>
      </c>
    </row>
    <row r="15" spans="1:9">
      <c r="A15" s="344" t="s">
        <v>410</v>
      </c>
      <c r="B15" s="345" t="s">
        <v>705</v>
      </c>
      <c r="C15" s="344" t="s">
        <v>410</v>
      </c>
      <c r="D15" s="344" t="s">
        <v>424</v>
      </c>
      <c r="E15" s="346"/>
      <c r="F15" s="347" t="s">
        <v>797</v>
      </c>
      <c r="G15" s="347" t="s">
        <v>798</v>
      </c>
      <c r="H15" s="347" t="s">
        <v>799</v>
      </c>
    </row>
    <row r="16" spans="1:9" s="870" customFormat="1">
      <c r="A16" s="874" t="s">
        <v>515</v>
      </c>
      <c r="B16" s="875" t="s">
        <v>379</v>
      </c>
      <c r="C16" s="874" t="s">
        <v>377</v>
      </c>
      <c r="D16" s="876" t="s">
        <v>378</v>
      </c>
      <c r="E16" s="877" t="s">
        <v>380</v>
      </c>
      <c r="F16" s="919" t="s">
        <v>771</v>
      </c>
      <c r="G16" s="919" t="s">
        <v>772</v>
      </c>
      <c r="H16" s="348" t="s">
        <v>773</v>
      </c>
      <c r="I16" s="863"/>
    </row>
    <row r="17" spans="1:10" s="870" customFormat="1">
      <c r="A17" s="874" t="s">
        <v>515</v>
      </c>
      <c r="B17" s="875" t="s">
        <v>791</v>
      </c>
      <c r="C17" s="874" t="s">
        <v>793</v>
      </c>
      <c r="D17" s="876" t="s">
        <v>794</v>
      </c>
      <c r="E17" s="877"/>
      <c r="F17" s="913" t="s">
        <v>771</v>
      </c>
      <c r="G17" s="913" t="s">
        <v>772</v>
      </c>
      <c r="H17" s="913" t="s">
        <v>773</v>
      </c>
    </row>
    <row r="18" spans="1:10" s="11" customFormat="1">
      <c r="A18" s="349" t="s">
        <v>514</v>
      </c>
      <c r="B18" s="352" t="s">
        <v>702</v>
      </c>
      <c r="C18" s="349" t="s">
        <v>428</v>
      </c>
      <c r="D18" s="349" t="s">
        <v>706</v>
      </c>
      <c r="E18" s="350"/>
      <c r="F18" s="913" t="s">
        <v>771</v>
      </c>
      <c r="G18" s="913" t="s">
        <v>772</v>
      </c>
      <c r="H18" s="913" t="s">
        <v>773</v>
      </c>
      <c r="I18" s="863"/>
    </row>
    <row r="19" spans="1:10" s="10" customFormat="1">
      <c r="A19" s="349" t="s">
        <v>513</v>
      </c>
      <c r="B19" s="352" t="s">
        <v>512</v>
      </c>
      <c r="C19" s="349" t="s">
        <v>511</v>
      </c>
      <c r="D19" s="349" t="s">
        <v>510</v>
      </c>
      <c r="E19" s="343"/>
      <c r="F19" s="913"/>
      <c r="G19" s="913"/>
      <c r="H19" s="913"/>
    </row>
    <row r="20" spans="1:10">
      <c r="A20" s="349" t="s">
        <v>192</v>
      </c>
      <c r="B20" s="775" t="s">
        <v>702</v>
      </c>
      <c r="C20" s="349" t="s">
        <v>429</v>
      </c>
      <c r="D20" s="349" t="s">
        <v>707</v>
      </c>
      <c r="E20" s="346"/>
      <c r="F20" s="913" t="s">
        <v>430</v>
      </c>
      <c r="G20" s="913" t="s">
        <v>431</v>
      </c>
      <c r="H20" s="913" t="s">
        <v>432</v>
      </c>
    </row>
    <row r="21" spans="1:10" s="11" customFormat="1">
      <c r="A21" s="1062" t="s">
        <v>892</v>
      </c>
      <c r="B21" s="1063" t="s">
        <v>887</v>
      </c>
      <c r="C21" s="1062" t="s">
        <v>192</v>
      </c>
      <c r="D21" s="1062" t="s">
        <v>893</v>
      </c>
      <c r="E21" s="350"/>
      <c r="F21" s="872" t="s">
        <v>747</v>
      </c>
      <c r="G21" s="872" t="s">
        <v>748</v>
      </c>
      <c r="H21" s="872" t="s">
        <v>749</v>
      </c>
    </row>
    <row r="22" spans="1:10" s="863" customFormat="1">
      <c r="A22" s="349" t="s">
        <v>410</v>
      </c>
      <c r="B22" s="775" t="s">
        <v>792</v>
      </c>
      <c r="C22" s="349" t="s">
        <v>410</v>
      </c>
      <c r="D22" s="349" t="s">
        <v>795</v>
      </c>
      <c r="E22" s="346"/>
      <c r="F22" s="913" t="s">
        <v>803</v>
      </c>
      <c r="G22" s="913" t="s">
        <v>804</v>
      </c>
      <c r="H22" s="913" t="s">
        <v>805</v>
      </c>
      <c r="I22"/>
    </row>
    <row r="23" spans="1:10" s="863" customFormat="1">
      <c r="A23" s="349" t="s">
        <v>410</v>
      </c>
      <c r="B23" s="775" t="s">
        <v>791</v>
      </c>
      <c r="C23" s="349" t="s">
        <v>410</v>
      </c>
      <c r="D23" s="349" t="s">
        <v>796</v>
      </c>
      <c r="E23" s="346"/>
      <c r="F23" s="913" t="s">
        <v>800</v>
      </c>
      <c r="G23" s="913" t="s">
        <v>801</v>
      </c>
      <c r="H23" s="913" t="s">
        <v>802</v>
      </c>
    </row>
    <row r="24" spans="1:10" s="11" customFormat="1">
      <c r="A24" s="349" t="s">
        <v>408</v>
      </c>
      <c r="B24" s="907" t="str">
        <f>"maart 2016"</f>
        <v>maart 2016</v>
      </c>
      <c r="C24" s="349" t="s">
        <v>408</v>
      </c>
      <c r="D24" s="349" t="s">
        <v>669</v>
      </c>
      <c r="E24" s="350" t="s">
        <v>670</v>
      </c>
      <c r="F24" s="913" t="s">
        <v>806</v>
      </c>
      <c r="G24" s="913" t="s">
        <v>807</v>
      </c>
      <c r="H24" s="913" t="s">
        <v>808</v>
      </c>
      <c r="I24" s="863"/>
      <c r="J24" s="863"/>
    </row>
    <row r="25" spans="1:10" s="11" customFormat="1">
      <c r="A25" s="349" t="s">
        <v>408</v>
      </c>
      <c r="B25" s="907" t="str">
        <f>"maart 2016"</f>
        <v>maart 2016</v>
      </c>
      <c r="C25" s="349" t="s">
        <v>408</v>
      </c>
      <c r="D25" s="908" t="s">
        <v>646</v>
      </c>
      <c r="E25" s="350" t="s">
        <v>425</v>
      </c>
      <c r="F25" s="913" t="s">
        <v>806</v>
      </c>
      <c r="G25" s="913" t="s">
        <v>807</v>
      </c>
      <c r="H25" s="913" t="s">
        <v>808</v>
      </c>
    </row>
  </sheetData>
  <hyperlinks>
    <hyperlink ref="H5" r:id="rId1"/>
    <hyperlink ref="H6" r:id="rId2" display="mailto:toon.lenaerts@infrax.be"/>
    <hyperlink ref="E14" r:id="rId3"/>
    <hyperlink ref="H2" r:id="rId4"/>
    <hyperlink ref="H12" r:id="rId5"/>
    <hyperlink ref="H16" r:id="rId6"/>
    <hyperlink ref="H18" r:id="rId7"/>
    <hyperlink ref="E9" r:id="rId8"/>
    <hyperlink ref="H15" r:id="rId9" display="tine.tanghe@vea.be"/>
  </hyperlinks>
  <pageMargins left="0.7" right="0.7" top="0.75" bottom="0.75" header="0.3" footer="0.3"/>
  <pageSetup paperSize="9" orientation="portrait" r:id="rId10"/>
  <ignoredErrors>
    <ignoredError sqref="B7 B13"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D34"/>
  <sheetViews>
    <sheetView topLeftCell="A16" workbookViewId="0">
      <selection activeCell="D34" sqref="D34"/>
    </sheetView>
  </sheetViews>
  <sheetFormatPr defaultRowHeight="15"/>
  <cols>
    <col min="2" max="2" width="12" bestFit="1" customWidth="1"/>
    <col min="3" max="3" width="180.140625" customWidth="1"/>
    <col min="4" max="4" width="36.28515625" bestFit="1" customWidth="1"/>
    <col min="6" max="6" width="28.5703125" bestFit="1" customWidth="1"/>
  </cols>
  <sheetData>
    <row r="1" spans="1:4">
      <c r="A1" s="878" t="s">
        <v>626</v>
      </c>
      <c r="B1" s="878" t="s">
        <v>627</v>
      </c>
      <c r="C1" s="878" t="s">
        <v>629</v>
      </c>
      <c r="D1" s="878" t="s">
        <v>628</v>
      </c>
    </row>
    <row r="2" spans="1:4" s="864" customFormat="1">
      <c r="A2" s="864" t="s">
        <v>678</v>
      </c>
      <c r="B2" s="888">
        <v>42433</v>
      </c>
      <c r="C2" s="864" t="s">
        <v>681</v>
      </c>
      <c r="D2" s="889" t="s">
        <v>676</v>
      </c>
    </row>
    <row r="3" spans="1:4" s="864" customFormat="1">
      <c r="A3" s="864" t="s">
        <v>678</v>
      </c>
      <c r="B3" s="888">
        <v>42425</v>
      </c>
      <c r="C3" s="864" t="s">
        <v>677</v>
      </c>
      <c r="D3" s="889" t="s">
        <v>672</v>
      </c>
    </row>
    <row r="4" spans="1:4" s="864" customFormat="1">
      <c r="A4" s="864" t="s">
        <v>678</v>
      </c>
      <c r="B4" s="888">
        <v>42433</v>
      </c>
      <c r="C4" s="864" t="s">
        <v>679</v>
      </c>
      <c r="D4" s="889" t="s">
        <v>673</v>
      </c>
    </row>
    <row r="5" spans="1:4" s="864" customFormat="1">
      <c r="A5" s="864" t="s">
        <v>678</v>
      </c>
      <c r="B5" s="888">
        <v>42433</v>
      </c>
      <c r="C5" s="864" t="s">
        <v>680</v>
      </c>
      <c r="D5" s="889" t="s">
        <v>674</v>
      </c>
    </row>
    <row r="6" spans="1:4" s="864" customFormat="1">
      <c r="A6" s="864" t="s">
        <v>678</v>
      </c>
      <c r="B6" s="888">
        <v>42433</v>
      </c>
      <c r="C6" s="864" t="s">
        <v>682</v>
      </c>
      <c r="D6" s="889" t="s">
        <v>675</v>
      </c>
    </row>
    <row r="7" spans="1:4" s="864" customFormat="1">
      <c r="A7" s="864" t="s">
        <v>678</v>
      </c>
      <c r="B7" s="888">
        <v>42436</v>
      </c>
      <c r="C7" s="864" t="s">
        <v>689</v>
      </c>
      <c r="D7" s="889" t="s">
        <v>644</v>
      </c>
    </row>
    <row r="8" spans="1:4" s="864" customFormat="1">
      <c r="A8" s="864" t="s">
        <v>678</v>
      </c>
      <c r="B8" s="888">
        <v>42436</v>
      </c>
      <c r="C8" s="864" t="s">
        <v>690</v>
      </c>
      <c r="D8" s="889" t="s">
        <v>645</v>
      </c>
    </row>
    <row r="9" spans="1:4" s="7" customFormat="1">
      <c r="A9" s="864" t="s">
        <v>678</v>
      </c>
      <c r="B9" s="888">
        <v>42436</v>
      </c>
      <c r="C9" s="888" t="s">
        <v>708</v>
      </c>
      <c r="D9" s="889" t="s">
        <v>696</v>
      </c>
    </row>
    <row r="10" spans="1:4" s="7" customFormat="1">
      <c r="A10" s="864" t="s">
        <v>678</v>
      </c>
      <c r="B10" s="888">
        <v>42436</v>
      </c>
      <c r="C10" s="888" t="s">
        <v>697</v>
      </c>
      <c r="D10" s="889" t="s">
        <v>659</v>
      </c>
    </row>
    <row r="11" spans="1:4" s="7" customFormat="1">
      <c r="A11" s="864" t="s">
        <v>678</v>
      </c>
      <c r="B11" s="888">
        <v>42538</v>
      </c>
      <c r="C11" s="888" t="s">
        <v>728</v>
      </c>
      <c r="D11" s="888"/>
    </row>
    <row r="12" spans="1:4" s="7" customFormat="1">
      <c r="A12" s="864" t="s">
        <v>678</v>
      </c>
      <c r="B12" s="888">
        <v>42538</v>
      </c>
      <c r="C12" s="888" t="s">
        <v>730</v>
      </c>
      <c r="D12" s="902" t="s">
        <v>732</v>
      </c>
    </row>
    <row r="13" spans="1:4" s="7" customFormat="1">
      <c r="A13" s="864" t="s">
        <v>678</v>
      </c>
      <c r="B13" s="888">
        <v>42538</v>
      </c>
      <c r="C13" s="888" t="s">
        <v>731</v>
      </c>
      <c r="D13" s="903" t="s">
        <v>733</v>
      </c>
    </row>
    <row r="14" spans="1:4" s="7" customFormat="1">
      <c r="A14" s="864" t="s">
        <v>678</v>
      </c>
      <c r="B14" s="888">
        <v>42538</v>
      </c>
      <c r="C14" s="888" t="s">
        <v>729</v>
      </c>
      <c r="D14" s="902" t="s">
        <v>734</v>
      </c>
    </row>
    <row r="15" spans="1:4" s="7" customFormat="1">
      <c r="A15" s="864" t="s">
        <v>739</v>
      </c>
      <c r="B15" s="888">
        <v>42583</v>
      </c>
      <c r="C15" s="888" t="s">
        <v>740</v>
      </c>
      <c r="D15" s="871"/>
    </row>
    <row r="16" spans="1:4" s="7" customFormat="1">
      <c r="A16" s="864" t="s">
        <v>746</v>
      </c>
      <c r="B16" s="909">
        <v>42877</v>
      </c>
      <c r="C16" s="863" t="s">
        <v>788</v>
      </c>
      <c r="D16" s="910" t="s">
        <v>675</v>
      </c>
    </row>
    <row r="17" spans="1:4" s="7" customFormat="1">
      <c r="A17" s="864" t="s">
        <v>746</v>
      </c>
      <c r="B17" s="909">
        <v>42877</v>
      </c>
      <c r="C17" s="863" t="s">
        <v>789</v>
      </c>
      <c r="D17" s="910" t="s">
        <v>744</v>
      </c>
    </row>
    <row r="18" spans="1:4" s="7" customFormat="1">
      <c r="A18" s="864" t="s">
        <v>746</v>
      </c>
      <c r="B18" s="909">
        <v>42877</v>
      </c>
      <c r="C18" s="863" t="s">
        <v>790</v>
      </c>
      <c r="D18" s="910" t="s">
        <v>745</v>
      </c>
    </row>
    <row r="19" spans="1:4" s="7" customFormat="1">
      <c r="A19" s="864" t="s">
        <v>774</v>
      </c>
      <c r="B19" s="888">
        <v>43167</v>
      </c>
      <c r="C19" s="888" t="s">
        <v>775</v>
      </c>
      <c r="D19" s="910" t="s">
        <v>776</v>
      </c>
    </row>
    <row r="20" spans="1:4" s="7" customFormat="1">
      <c r="A20" s="864" t="s">
        <v>774</v>
      </c>
      <c r="B20" s="888">
        <v>43167</v>
      </c>
      <c r="C20" s="888" t="s">
        <v>777</v>
      </c>
      <c r="D20" s="920" t="s">
        <v>778</v>
      </c>
    </row>
    <row r="21" spans="1:4">
      <c r="A21" s="864" t="s">
        <v>774</v>
      </c>
      <c r="B21" s="888">
        <v>43167</v>
      </c>
      <c r="C21" s="888" t="s">
        <v>779</v>
      </c>
      <c r="D21" s="920" t="s">
        <v>780</v>
      </c>
    </row>
    <row r="22" spans="1:4">
      <c r="A22" s="864" t="s">
        <v>774</v>
      </c>
      <c r="B22" s="888">
        <v>43167</v>
      </c>
      <c r="C22" s="888" t="s">
        <v>781</v>
      </c>
      <c r="D22" s="920" t="s">
        <v>782</v>
      </c>
    </row>
    <row r="23" spans="1:4">
      <c r="A23" s="864" t="s">
        <v>774</v>
      </c>
      <c r="B23" s="888">
        <v>43278</v>
      </c>
      <c r="C23" s="888" t="s">
        <v>809</v>
      </c>
      <c r="D23" s="910"/>
    </row>
    <row r="24" spans="1:4">
      <c r="A24" s="864" t="s">
        <v>810</v>
      </c>
      <c r="B24" s="888">
        <v>43425</v>
      </c>
      <c r="C24" s="888" t="s">
        <v>811</v>
      </c>
    </row>
    <row r="25" spans="1:4">
      <c r="A25" s="864" t="s">
        <v>857</v>
      </c>
      <c r="B25" s="888">
        <v>43573</v>
      </c>
      <c r="C25" s="888" t="s">
        <v>858</v>
      </c>
    </row>
    <row r="26" spans="1:4">
      <c r="A26" s="864" t="s">
        <v>880</v>
      </c>
      <c r="B26" s="888">
        <v>43678</v>
      </c>
      <c r="C26" s="888" t="s">
        <v>881</v>
      </c>
      <c r="D26" s="920" t="s">
        <v>882</v>
      </c>
    </row>
    <row r="27" spans="1:4">
      <c r="A27" s="1053" t="s">
        <v>886</v>
      </c>
      <c r="B27" s="1072">
        <v>43930</v>
      </c>
      <c r="C27" s="1068" t="s">
        <v>883</v>
      </c>
      <c r="D27" s="1071" t="s">
        <v>884</v>
      </c>
    </row>
    <row r="28" spans="1:4">
      <c r="A28" s="1053" t="s">
        <v>886</v>
      </c>
      <c r="B28" s="1072">
        <v>43930</v>
      </c>
      <c r="C28" s="1068" t="s">
        <v>885</v>
      </c>
      <c r="D28" s="1071" t="s">
        <v>884</v>
      </c>
    </row>
    <row r="29" spans="1:4">
      <c r="A29" s="1069" t="s">
        <v>886</v>
      </c>
      <c r="B29" s="1072">
        <v>43943</v>
      </c>
      <c r="C29" s="1068" t="s">
        <v>895</v>
      </c>
      <c r="D29" s="1070" t="s">
        <v>675</v>
      </c>
    </row>
    <row r="30" spans="1:4">
      <c r="A30" s="1069" t="s">
        <v>886</v>
      </c>
      <c r="B30" s="1072">
        <v>43943</v>
      </c>
      <c r="C30" s="1068" t="s">
        <v>896</v>
      </c>
      <c r="D30" s="1071" t="s">
        <v>744</v>
      </c>
    </row>
    <row r="31" spans="1:4">
      <c r="A31" s="1069" t="s">
        <v>886</v>
      </c>
      <c r="B31" s="1072">
        <v>43943</v>
      </c>
      <c r="C31" s="1068" t="s">
        <v>897</v>
      </c>
      <c r="D31" s="1071" t="s">
        <v>745</v>
      </c>
    </row>
    <row r="32" spans="1:4">
      <c r="A32" s="1069" t="s">
        <v>886</v>
      </c>
      <c r="B32" s="1072">
        <v>43943</v>
      </c>
      <c r="C32" s="1068" t="s">
        <v>898</v>
      </c>
      <c r="D32" s="1071" t="s">
        <v>899</v>
      </c>
    </row>
    <row r="33" spans="1:4">
      <c r="A33" s="1069" t="s">
        <v>886</v>
      </c>
      <c r="B33" s="1072">
        <v>43951</v>
      </c>
      <c r="C33" t="s">
        <v>902</v>
      </c>
      <c r="D33" s="1071" t="s">
        <v>903</v>
      </c>
    </row>
    <row r="34" spans="1:4">
      <c r="A34" s="1069" t="s">
        <v>886</v>
      </c>
      <c r="B34" s="1072">
        <v>43965</v>
      </c>
      <c r="C34" t="s">
        <v>905</v>
      </c>
      <c r="D34" s="1070" t="s">
        <v>659</v>
      </c>
    </row>
  </sheetData>
  <hyperlinks>
    <hyperlink ref="D7" location="'EF N2O_CH4 landbouw'!A1" display="'EF N2O_CH4 landbouw'!A1"/>
    <hyperlink ref="D8" location="'ha_N2O bodem landbouw'!A1" display="'ha_N2O bodem landbouw'!A1"/>
    <hyperlink ref="D3" location="transport!B69" display="transport!B69"/>
    <hyperlink ref="D4" location="transport!C38" display="transport!C38"/>
    <hyperlink ref="D5" location="transport!B27" display="transport!B27"/>
    <hyperlink ref="D6" location="'ECF transport '!A1" display="'ECF transport '!A1"/>
    <hyperlink ref="D2" location="transport!D27" display="transport!D27"/>
    <hyperlink ref="D9" location="huishoudens!A1" display="huishoudens!A1"/>
    <hyperlink ref="D10" location="'E Balans VL '!A1" display="'E Balans VL '!A1"/>
    <hyperlink ref="D12" location="data!A73" display="data!A73"/>
    <hyperlink ref="D13" location="'ECF transport '!A2" display="'ECF transport '!A2"/>
    <hyperlink ref="D14" location="transport!A1" display="transport!A1"/>
    <hyperlink ref="D16" location="'ECF transport '!A1" display="ECF transport '!A1"/>
    <hyperlink ref="D17" location="transport!A21" display="transport!A21"/>
    <hyperlink ref="D18" location="transport!A28" display="transport!A28"/>
    <hyperlink ref="D19" location="industrie!A1" display="industrie!C35"/>
    <hyperlink ref="D20" location="'SEAP template'!A1" display="'SEAP template'!M33"/>
    <hyperlink ref="D21" location="'openbare verlichting'!A1" display="'openbare verlichting'!B8"/>
    <hyperlink ref="D22" location="'EF ele_warmte'!A1" display="'EF ele_warmte'!A1"/>
    <hyperlink ref="D26" location="'EF ele_warmte'!A1" display="'EF ele_warmte'!A1"/>
    <hyperlink ref="D27" location="data!A1" display="data!A1"/>
    <hyperlink ref="D28" location="data!A1" display="data!A1"/>
    <hyperlink ref="D29" location="'ECF transport '!A1" display="'ECF transport '!A1"/>
    <hyperlink ref="D30" location="transport!A21" display="transport!A21"/>
    <hyperlink ref="D31" location="transport!A28" display="transport!A28"/>
    <hyperlink ref="D32" location="Conversiefactoren!A1" display="Conversiefactoren!A24"/>
    <hyperlink ref="D33" location="huishoudens!A1" display="huishoudens!A1"/>
    <hyperlink ref="D34" location="'E Balans VL '!A1" display="'E Balans VL '!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Q33"/>
  <sheetViews>
    <sheetView workbookViewId="0">
      <selection activeCell="C31" sqref="C31"/>
    </sheetView>
  </sheetViews>
  <sheetFormatPr defaultColWidth="9.140625" defaultRowHeight="15"/>
  <cols>
    <col min="1" max="1" width="35.7109375" style="450" bestFit="1" customWidth="1"/>
    <col min="2" max="2" width="11.28515625" style="450" bestFit="1" customWidth="1"/>
    <col min="3" max="3" width="15.42578125" style="450" bestFit="1" customWidth="1"/>
    <col min="4" max="4" width="9.140625" style="450"/>
    <col min="5" max="5" width="16.28515625" style="450" customWidth="1"/>
    <col min="6" max="8" width="9.140625" style="450"/>
    <col min="9" max="9" width="14.28515625" style="450" customWidth="1"/>
    <col min="10" max="10" width="18.5703125" style="450" customWidth="1"/>
    <col min="11" max="11" width="15.140625" style="450" customWidth="1"/>
    <col min="12" max="12" width="15.42578125" style="450" customWidth="1"/>
    <col min="13" max="13" width="17" style="450" customWidth="1"/>
    <col min="14" max="14" width="16.42578125" style="450" customWidth="1"/>
    <col min="15" max="15" width="13.42578125" style="450" customWidth="1"/>
    <col min="16" max="16" width="18.28515625" style="450" customWidth="1"/>
    <col min="17" max="17" width="10.5703125" style="450" bestFit="1" customWidth="1"/>
    <col min="18" max="18" width="9.5703125" style="450" bestFit="1" customWidth="1"/>
    <col min="19" max="16384" width="9.140625" style="450"/>
  </cols>
  <sheetData>
    <row r="1" spans="1:17" ht="15.75">
      <c r="A1" s="1168" t="s">
        <v>559</v>
      </c>
      <c r="B1" s="1169" t="s">
        <v>555</v>
      </c>
      <c r="C1" s="1169"/>
      <c r="D1" s="1169"/>
      <c r="E1" s="1169"/>
      <c r="F1" s="1169"/>
      <c r="G1" s="1169"/>
      <c r="H1" s="1169"/>
      <c r="I1" s="1169"/>
      <c r="J1" s="1169"/>
      <c r="K1" s="1169"/>
      <c r="L1" s="1169"/>
      <c r="M1" s="1169"/>
      <c r="N1" s="1169"/>
      <c r="O1" s="1169"/>
      <c r="P1" s="1170"/>
      <c r="Q1" s="1016"/>
    </row>
    <row r="2" spans="1:17">
      <c r="A2" s="1168"/>
      <c r="B2" s="1171" t="s">
        <v>20</v>
      </c>
      <c r="C2" s="1173" t="s">
        <v>195</v>
      </c>
      <c r="D2" s="1175" t="s">
        <v>196</v>
      </c>
      <c r="E2" s="1176"/>
      <c r="F2" s="1176"/>
      <c r="G2" s="1176"/>
      <c r="H2" s="1176"/>
      <c r="I2" s="1176"/>
      <c r="J2" s="1176"/>
      <c r="K2" s="1172"/>
      <c r="L2" s="1175" t="s">
        <v>197</v>
      </c>
      <c r="M2" s="1176"/>
      <c r="N2" s="1176"/>
      <c r="O2" s="1176"/>
      <c r="P2" s="1172"/>
      <c r="Q2" s="1016"/>
    </row>
    <row r="3" spans="1:17" ht="45">
      <c r="A3" s="1168"/>
      <c r="B3" s="1172"/>
      <c r="C3" s="1174"/>
      <c r="D3" s="1016" t="s">
        <v>198</v>
      </c>
      <c r="E3" s="1016" t="s">
        <v>199</v>
      </c>
      <c r="F3" s="1016" t="s">
        <v>200</v>
      </c>
      <c r="G3" s="1016" t="s">
        <v>201</v>
      </c>
      <c r="H3" s="1016" t="s">
        <v>119</v>
      </c>
      <c r="I3" s="1016" t="s">
        <v>202</v>
      </c>
      <c r="J3" s="1016" t="s">
        <v>203</v>
      </c>
      <c r="K3" s="1016" t="s">
        <v>204</v>
      </c>
      <c r="L3" s="1016" t="s">
        <v>205</v>
      </c>
      <c r="M3" s="1016" t="s">
        <v>206</v>
      </c>
      <c r="N3" s="1016" t="s">
        <v>207</v>
      </c>
      <c r="O3" s="1016" t="s">
        <v>208</v>
      </c>
      <c r="P3" s="1016" t="s">
        <v>209</v>
      </c>
      <c r="Q3" s="1016" t="s">
        <v>115</v>
      </c>
    </row>
    <row r="4" spans="1:17">
      <c r="A4" s="451" t="s">
        <v>154</v>
      </c>
      <c r="B4" s="452">
        <f>huishoudens!B8</f>
        <v>15252.911779262307</v>
      </c>
      <c r="C4" s="452">
        <f>huishoudens!C8</f>
        <v>0</v>
      </c>
      <c r="D4" s="452">
        <f>huishoudens!D8</f>
        <v>46519.686664000001</v>
      </c>
      <c r="E4" s="452">
        <f>huishoudens!E8</f>
        <v>782.34839752268454</v>
      </c>
      <c r="F4" s="452">
        <f>huishoudens!F8</f>
        <v>0</v>
      </c>
      <c r="G4" s="452">
        <f>huishoudens!G8</f>
        <v>0</v>
      </c>
      <c r="H4" s="452">
        <f>huishoudens!H8</f>
        <v>0</v>
      </c>
      <c r="I4" s="452">
        <f>huishoudens!I8</f>
        <v>0</v>
      </c>
      <c r="J4" s="452">
        <f>huishoudens!J8</f>
        <v>0</v>
      </c>
      <c r="K4" s="452">
        <f>huishoudens!K8</f>
        <v>0</v>
      </c>
      <c r="L4" s="452">
        <f>huishoudens!L8</f>
        <v>0</v>
      </c>
      <c r="M4" s="452">
        <f>huishoudens!M8</f>
        <v>0</v>
      </c>
      <c r="N4" s="452">
        <f>huishoudens!N8</f>
        <v>902.6713237118081</v>
      </c>
      <c r="O4" s="452">
        <f>huishoudens!O8</f>
        <v>34.393333333333338</v>
      </c>
      <c r="P4" s="453">
        <f>huishoudens!P8</f>
        <v>247.86666666666667</v>
      </c>
      <c r="Q4" s="454">
        <f>SUM(B4:P4)</f>
        <v>63739.878164496804</v>
      </c>
    </row>
    <row r="5" spans="1:17">
      <c r="A5" s="451" t="s">
        <v>155</v>
      </c>
      <c r="B5" s="452">
        <f ca="1">tertiair!B16</f>
        <v>10910.422999999999</v>
      </c>
      <c r="C5" s="452">
        <f ca="1">tertiair!C16</f>
        <v>0</v>
      </c>
      <c r="D5" s="452">
        <f ca="1">tertiair!D16</f>
        <v>10217.986790000003</v>
      </c>
      <c r="E5" s="452">
        <f>tertiair!E16</f>
        <v>103.82127233222759</v>
      </c>
      <c r="F5" s="452">
        <f ca="1">tertiair!F16</f>
        <v>1580.4443862317219</v>
      </c>
      <c r="G5" s="452">
        <f>tertiair!G16</f>
        <v>0</v>
      </c>
      <c r="H5" s="452">
        <f>tertiair!H16</f>
        <v>0</v>
      </c>
      <c r="I5" s="452">
        <f>tertiair!I16</f>
        <v>0</v>
      </c>
      <c r="J5" s="452">
        <f>tertiair!J16</f>
        <v>0</v>
      </c>
      <c r="K5" s="452">
        <f>tertiair!K16</f>
        <v>0</v>
      </c>
      <c r="L5" s="452">
        <f ca="1">tertiair!L16</f>
        <v>0</v>
      </c>
      <c r="M5" s="452">
        <f>tertiair!M16</f>
        <v>0</v>
      </c>
      <c r="N5" s="452">
        <f ca="1">tertiair!N16</f>
        <v>1204.6010970649336</v>
      </c>
      <c r="O5" s="452">
        <f>tertiair!O16</f>
        <v>0</v>
      </c>
      <c r="P5" s="453">
        <f>tertiair!P16</f>
        <v>0</v>
      </c>
      <c r="Q5" s="451">
        <f t="shared" ref="Q5:Q14" ca="1" si="0">SUM(B5:P5)</f>
        <v>24017.276545628883</v>
      </c>
    </row>
    <row r="6" spans="1:17">
      <c r="A6" s="451" t="s">
        <v>193</v>
      </c>
      <c r="B6" s="452">
        <f>'openbare verlichting'!B8</f>
        <v>576.33900000000006</v>
      </c>
      <c r="C6" s="452"/>
      <c r="D6" s="452"/>
      <c r="E6" s="452"/>
      <c r="F6" s="452"/>
      <c r="G6" s="452"/>
      <c r="H6" s="452"/>
      <c r="I6" s="452"/>
      <c r="J6" s="452"/>
      <c r="K6" s="452"/>
      <c r="L6" s="452"/>
      <c r="M6" s="452"/>
      <c r="N6" s="452"/>
      <c r="O6" s="452"/>
      <c r="P6" s="453"/>
      <c r="Q6" s="451">
        <f t="shared" si="0"/>
        <v>576.33900000000006</v>
      </c>
    </row>
    <row r="7" spans="1:17">
      <c r="A7" s="451" t="s">
        <v>111</v>
      </c>
      <c r="B7" s="452">
        <f>landbouw!B8</f>
        <v>14.333</v>
      </c>
      <c r="C7" s="452">
        <f>landbouw!C8</f>
        <v>0</v>
      </c>
      <c r="D7" s="452">
        <f>landbouw!D8</f>
        <v>17.753163999999998</v>
      </c>
      <c r="E7" s="452">
        <f>landbouw!E8</f>
        <v>0.13275824921222681</v>
      </c>
      <c r="F7" s="452">
        <f>landbouw!F8</f>
        <v>36.365551433697973</v>
      </c>
      <c r="G7" s="452">
        <f>landbouw!G8</f>
        <v>0</v>
      </c>
      <c r="H7" s="452">
        <f>landbouw!H8</f>
        <v>0</v>
      </c>
      <c r="I7" s="452">
        <f>landbouw!I8</f>
        <v>0</v>
      </c>
      <c r="J7" s="452">
        <f>landbouw!J8</f>
        <v>2.1974088567468488</v>
      </c>
      <c r="K7" s="452">
        <f>landbouw!K8</f>
        <v>0</v>
      </c>
      <c r="L7" s="452">
        <f>landbouw!L8</f>
        <v>0</v>
      </c>
      <c r="M7" s="452">
        <f>landbouw!M8</f>
        <v>0</v>
      </c>
      <c r="N7" s="452">
        <f>landbouw!N8</f>
        <v>0</v>
      </c>
      <c r="O7" s="452">
        <f>landbouw!O8</f>
        <v>0</v>
      </c>
      <c r="P7" s="453">
        <f>landbouw!P8</f>
        <v>0</v>
      </c>
      <c r="Q7" s="451">
        <f t="shared" si="0"/>
        <v>70.781882539657047</v>
      </c>
    </row>
    <row r="8" spans="1:17">
      <c r="A8" s="451" t="s">
        <v>649</v>
      </c>
      <c r="B8" s="452">
        <f>industrie!B18</f>
        <v>3322.3989999999994</v>
      </c>
      <c r="C8" s="452">
        <f>industrie!C18</f>
        <v>0</v>
      </c>
      <c r="D8" s="452">
        <f>industrie!D18</f>
        <v>2706.069454</v>
      </c>
      <c r="E8" s="452">
        <f>industrie!E18</f>
        <v>387.26042165593111</v>
      </c>
      <c r="F8" s="452">
        <f>industrie!F18</f>
        <v>1721.0632215857036</v>
      </c>
      <c r="G8" s="452">
        <f>industrie!G18</f>
        <v>0</v>
      </c>
      <c r="H8" s="452">
        <f>industrie!H18</f>
        <v>0</v>
      </c>
      <c r="I8" s="452">
        <f>industrie!I18</f>
        <v>0</v>
      </c>
      <c r="J8" s="452">
        <f>industrie!J18</f>
        <v>13.081603741315117</v>
      </c>
      <c r="K8" s="452">
        <f>industrie!K18</f>
        <v>0</v>
      </c>
      <c r="L8" s="452">
        <f>industrie!L18</f>
        <v>0</v>
      </c>
      <c r="M8" s="452">
        <f>industrie!M18</f>
        <v>0</v>
      </c>
      <c r="N8" s="452">
        <f>industrie!N18</f>
        <v>307.01331334656288</v>
      </c>
      <c r="O8" s="452">
        <f>industrie!O18</f>
        <v>0</v>
      </c>
      <c r="P8" s="453">
        <f>industrie!P18</f>
        <v>0</v>
      </c>
      <c r="Q8" s="451">
        <f t="shared" si="0"/>
        <v>8456.8870143295117</v>
      </c>
    </row>
    <row r="9" spans="1:17" s="457" customFormat="1">
      <c r="A9" s="455" t="s">
        <v>570</v>
      </c>
      <c r="B9" s="456">
        <f>transport!B14</f>
        <v>3.5747683688102909</v>
      </c>
      <c r="C9" s="456">
        <f>transport!C14</f>
        <v>0</v>
      </c>
      <c r="D9" s="456">
        <f>transport!D14</f>
        <v>6.6231779024519835</v>
      </c>
      <c r="E9" s="456">
        <f>transport!E14</f>
        <v>63.667553961624527</v>
      </c>
      <c r="F9" s="456">
        <f>transport!F14</f>
        <v>0</v>
      </c>
      <c r="G9" s="456">
        <f>transport!G14</f>
        <v>17934.412049643059</v>
      </c>
      <c r="H9" s="456">
        <f>transport!H14</f>
        <v>4036.5178519500059</v>
      </c>
      <c r="I9" s="456">
        <f>transport!I14</f>
        <v>0</v>
      </c>
      <c r="J9" s="456">
        <f>transport!J14</f>
        <v>0</v>
      </c>
      <c r="K9" s="456">
        <f>transport!K14</f>
        <v>0</v>
      </c>
      <c r="L9" s="456">
        <f>transport!L14</f>
        <v>0</v>
      </c>
      <c r="M9" s="456">
        <f>transport!M14</f>
        <v>1162.911497685908</v>
      </c>
      <c r="N9" s="456">
        <f>transport!N14</f>
        <v>0</v>
      </c>
      <c r="O9" s="456">
        <f>transport!O14</f>
        <v>0</v>
      </c>
      <c r="P9" s="456">
        <f>transport!P14</f>
        <v>0</v>
      </c>
      <c r="Q9" s="455">
        <f>SUM(B9:P9)</f>
        <v>23207.706899511857</v>
      </c>
    </row>
    <row r="10" spans="1:17">
      <c r="A10" s="451" t="s">
        <v>560</v>
      </c>
      <c r="B10" s="452">
        <f>transport!B54</f>
        <v>0</v>
      </c>
      <c r="C10" s="452">
        <f>transport!C54</f>
        <v>0</v>
      </c>
      <c r="D10" s="452">
        <f>transport!D54</f>
        <v>0</v>
      </c>
      <c r="E10" s="452">
        <f>transport!E54</f>
        <v>0</v>
      </c>
      <c r="F10" s="452">
        <f>transport!F54</f>
        <v>0</v>
      </c>
      <c r="G10" s="452">
        <f>transport!G54</f>
        <v>653.63331278753196</v>
      </c>
      <c r="H10" s="452">
        <f>transport!H54</f>
        <v>0</v>
      </c>
      <c r="I10" s="452">
        <f>transport!I54</f>
        <v>0</v>
      </c>
      <c r="J10" s="452">
        <f>transport!J54</f>
        <v>0</v>
      </c>
      <c r="K10" s="452">
        <f>transport!K54</f>
        <v>0</v>
      </c>
      <c r="L10" s="452">
        <f>transport!L54</f>
        <v>0</v>
      </c>
      <c r="M10" s="452">
        <f>transport!M54</f>
        <v>37.359690690064461</v>
      </c>
      <c r="N10" s="452">
        <f>transport!N54</f>
        <v>0</v>
      </c>
      <c r="O10" s="452">
        <f>transport!O54</f>
        <v>0</v>
      </c>
      <c r="P10" s="453">
        <f>transport!P54</f>
        <v>0</v>
      </c>
      <c r="Q10" s="451">
        <f t="shared" si="0"/>
        <v>690.9930034775964</v>
      </c>
    </row>
    <row r="11" spans="1:17">
      <c r="A11" s="451" t="s">
        <v>561</v>
      </c>
      <c r="B11" s="452">
        <f>'Eigen gebouwen'!B15</f>
        <v>0</v>
      </c>
      <c r="C11" s="452">
        <f>'Eigen gebouwen'!C15</f>
        <v>0</v>
      </c>
      <c r="D11" s="452">
        <f>'Eigen gebouwen'!D15</f>
        <v>0</v>
      </c>
      <c r="E11" s="452">
        <f>'Eigen gebouwen'!E15</f>
        <v>0</v>
      </c>
      <c r="F11" s="452">
        <f>'Eigen gebouwen'!F15</f>
        <v>0</v>
      </c>
      <c r="G11" s="452">
        <f>'Eigen gebouwen'!G15</f>
        <v>0</v>
      </c>
      <c r="H11" s="452">
        <f>'Eigen gebouwen'!H15</f>
        <v>0</v>
      </c>
      <c r="I11" s="452">
        <f>'Eigen gebouwen'!I15</f>
        <v>0</v>
      </c>
      <c r="J11" s="452">
        <f>'Eigen gebouwen'!J15</f>
        <v>0</v>
      </c>
      <c r="K11" s="452">
        <f>'Eigen gebouwen'!K15</f>
        <v>0</v>
      </c>
      <c r="L11" s="452">
        <f>'Eigen gebouwen'!L15</f>
        <v>0</v>
      </c>
      <c r="M11" s="452">
        <f>'Eigen gebouwen'!M15</f>
        <v>0</v>
      </c>
      <c r="N11" s="452">
        <f>'Eigen gebouwen'!N15</f>
        <v>0</v>
      </c>
      <c r="O11" s="452">
        <f>'Eigen gebouwen'!O15</f>
        <v>0</v>
      </c>
      <c r="P11" s="453">
        <f>'Eigen gebouwen'!P15</f>
        <v>0</v>
      </c>
      <c r="Q11" s="451">
        <f t="shared" si="0"/>
        <v>0</v>
      </c>
    </row>
    <row r="12" spans="1:17">
      <c r="A12" s="451" t="s">
        <v>562</v>
      </c>
      <c r="B12" s="452">
        <f>'Eigen openbare verlichting'!B15</f>
        <v>0</v>
      </c>
      <c r="C12" s="452"/>
      <c r="D12" s="452"/>
      <c r="E12" s="452"/>
      <c r="F12" s="452"/>
      <c r="G12" s="452"/>
      <c r="H12" s="452"/>
      <c r="I12" s="452"/>
      <c r="J12" s="452"/>
      <c r="K12" s="452"/>
      <c r="L12" s="452"/>
      <c r="M12" s="452"/>
      <c r="N12" s="452"/>
      <c r="O12" s="452"/>
      <c r="P12" s="453"/>
      <c r="Q12" s="451">
        <f t="shared" si="0"/>
        <v>0</v>
      </c>
    </row>
    <row r="13" spans="1:17">
      <c r="A13" s="451" t="s">
        <v>563</v>
      </c>
      <c r="B13" s="452">
        <f>'Eigen vloot'!B27</f>
        <v>0</v>
      </c>
      <c r="C13" s="452">
        <f>'Eigen vloot'!C27</f>
        <v>0</v>
      </c>
      <c r="D13" s="452">
        <f>'Eigen vloot'!D27</f>
        <v>0</v>
      </c>
      <c r="E13" s="452">
        <f>'Eigen vloot'!E27</f>
        <v>0</v>
      </c>
      <c r="F13" s="452">
        <f>'Eigen vloot'!F27</f>
        <v>0</v>
      </c>
      <c r="G13" s="452">
        <f>'Eigen vloot'!G27</f>
        <v>0</v>
      </c>
      <c r="H13" s="452">
        <f>'Eigen vloot'!H27</f>
        <v>0</v>
      </c>
      <c r="I13" s="452">
        <f>'Eigen vloot'!I27</f>
        <v>0</v>
      </c>
      <c r="J13" s="452">
        <f>'Eigen vloot'!J27</f>
        <v>0</v>
      </c>
      <c r="K13" s="452">
        <f>'Eigen vloot'!K27</f>
        <v>0</v>
      </c>
      <c r="L13" s="452">
        <f>'Eigen vloot'!L27</f>
        <v>0</v>
      </c>
      <c r="M13" s="452">
        <f>'Eigen vloot'!M27</f>
        <v>0</v>
      </c>
      <c r="N13" s="452">
        <f>'Eigen vloot'!N27</f>
        <v>0</v>
      </c>
      <c r="O13" s="452">
        <f>'Eigen vloot'!O27</f>
        <v>0</v>
      </c>
      <c r="P13" s="453">
        <f>'Eigen vloot'!P27</f>
        <v>0</v>
      </c>
      <c r="Q13" s="451">
        <f t="shared" si="0"/>
        <v>0</v>
      </c>
    </row>
    <row r="14" spans="1:17">
      <c r="A14" s="458" t="s">
        <v>853</v>
      </c>
      <c r="B14" s="459">
        <f>'SEAP template'!C25</f>
        <v>550.22</v>
      </c>
      <c r="C14" s="459"/>
      <c r="D14" s="459">
        <f>'SEAP template'!E25</f>
        <v>1378.82</v>
      </c>
      <c r="E14" s="459"/>
      <c r="F14" s="459"/>
      <c r="G14" s="459"/>
      <c r="H14" s="459"/>
      <c r="I14" s="459"/>
      <c r="J14" s="459"/>
      <c r="K14" s="459"/>
      <c r="L14" s="459"/>
      <c r="M14" s="459"/>
      <c r="N14" s="459"/>
      <c r="O14" s="459"/>
      <c r="P14" s="460"/>
      <c r="Q14" s="451">
        <f t="shared" si="0"/>
        <v>1929.04</v>
      </c>
    </row>
    <row r="15" spans="1:17" s="461" customFormat="1">
      <c r="A15" s="1017" t="s">
        <v>564</v>
      </c>
      <c r="B15" s="957">
        <f ca="1">SUM(B4:B14)</f>
        <v>30630.200547631117</v>
      </c>
      <c r="C15" s="957">
        <f t="shared" ref="C15:Q15" ca="1" si="1">SUM(C4:C14)</f>
        <v>0</v>
      </c>
      <c r="D15" s="957">
        <f t="shared" ca="1" si="1"/>
        <v>60846.939249902454</v>
      </c>
      <c r="E15" s="957">
        <f t="shared" si="1"/>
        <v>1337.23040372168</v>
      </c>
      <c r="F15" s="957">
        <f t="shared" ca="1" si="1"/>
        <v>3337.8731592511231</v>
      </c>
      <c r="G15" s="957">
        <f t="shared" si="1"/>
        <v>18588.045362430592</v>
      </c>
      <c r="H15" s="957">
        <f t="shared" si="1"/>
        <v>4036.5178519500059</v>
      </c>
      <c r="I15" s="957">
        <f t="shared" si="1"/>
        <v>0</v>
      </c>
      <c r="J15" s="957">
        <f t="shared" si="1"/>
        <v>15.279012598061966</v>
      </c>
      <c r="K15" s="957">
        <f t="shared" si="1"/>
        <v>0</v>
      </c>
      <c r="L15" s="957">
        <f t="shared" ca="1" si="1"/>
        <v>0</v>
      </c>
      <c r="M15" s="957">
        <f t="shared" si="1"/>
        <v>1200.2711883759725</v>
      </c>
      <c r="N15" s="957">
        <f t="shared" ca="1" si="1"/>
        <v>2414.2857341233043</v>
      </c>
      <c r="O15" s="957">
        <f t="shared" si="1"/>
        <v>34.393333333333338</v>
      </c>
      <c r="P15" s="957">
        <f t="shared" si="1"/>
        <v>247.86666666666667</v>
      </c>
      <c r="Q15" s="957">
        <f t="shared" ca="1" si="1"/>
        <v>122688.9025099843</v>
      </c>
    </row>
    <row r="17" spans="1:17">
      <c r="A17" s="462" t="s">
        <v>565</v>
      </c>
      <c r="B17" s="761">
        <f ca="1">huishoudens!B10</f>
        <v>0.19834478833015273</v>
      </c>
      <c r="C17" s="761">
        <f ca="1">huishoudens!C10</f>
        <v>0</v>
      </c>
      <c r="D17" s="761">
        <f>huishoudens!D10</f>
        <v>0.20200000000000001</v>
      </c>
      <c r="E17" s="761">
        <f>huishoudens!E10</f>
        <v>0.22700000000000001</v>
      </c>
      <c r="F17" s="761">
        <f>huishoudens!F10</f>
        <v>0.26700000000000002</v>
      </c>
      <c r="G17" s="761">
        <f>huishoudens!G10</f>
        <v>0.26700000000000002</v>
      </c>
      <c r="H17" s="761">
        <f>huishoudens!H10</f>
        <v>0.249</v>
      </c>
      <c r="I17" s="761">
        <f>huishoudens!I10</f>
        <v>0.35099999999999998</v>
      </c>
      <c r="J17" s="761">
        <f>huishoudens!J10</f>
        <v>0.35399999999999998</v>
      </c>
      <c r="K17" s="761">
        <f>huishoudens!K10</f>
        <v>0.26400000000000001</v>
      </c>
      <c r="L17" s="761">
        <f>huishoudens!L10</f>
        <v>0</v>
      </c>
      <c r="M17" s="761">
        <f>huishoudens!M10</f>
        <v>0</v>
      </c>
      <c r="N17" s="761">
        <f>huishoudens!N10</f>
        <v>0</v>
      </c>
      <c r="O17" s="761">
        <f>huishoudens!O10</f>
        <v>0</v>
      </c>
      <c r="P17" s="761">
        <f>huishoudens!P10</f>
        <v>0</v>
      </c>
    </row>
    <row r="18" spans="1:17" ht="15.75" customHeight="1"/>
    <row r="19" spans="1:17" ht="15" customHeight="1">
      <c r="A19" s="1168" t="s">
        <v>567</v>
      </c>
      <c r="B19" s="1169" t="s">
        <v>566</v>
      </c>
      <c r="C19" s="1169"/>
      <c r="D19" s="1169"/>
      <c r="E19" s="1169"/>
      <c r="F19" s="1169"/>
      <c r="G19" s="1169"/>
      <c r="H19" s="1169"/>
      <c r="I19" s="1169"/>
      <c r="J19" s="1169"/>
      <c r="K19" s="1169"/>
      <c r="L19" s="1169"/>
      <c r="M19" s="1169"/>
      <c r="N19" s="1169"/>
      <c r="O19" s="1169"/>
      <c r="P19" s="1170"/>
      <c r="Q19" s="1016"/>
    </row>
    <row r="20" spans="1:17" ht="15" customHeight="1">
      <c r="A20" s="1168"/>
      <c r="B20" s="1171" t="s">
        <v>20</v>
      </c>
      <c r="C20" s="1173" t="s">
        <v>195</v>
      </c>
      <c r="D20" s="1175" t="s">
        <v>196</v>
      </c>
      <c r="E20" s="1176"/>
      <c r="F20" s="1176"/>
      <c r="G20" s="1176"/>
      <c r="H20" s="1176"/>
      <c r="I20" s="1176"/>
      <c r="J20" s="1176"/>
      <c r="K20" s="1172"/>
      <c r="L20" s="1175" t="s">
        <v>197</v>
      </c>
      <c r="M20" s="1176"/>
      <c r="N20" s="1176"/>
      <c r="O20" s="1176"/>
      <c r="P20" s="1172"/>
      <c r="Q20" s="1016"/>
    </row>
    <row r="21" spans="1:17" ht="45">
      <c r="A21" s="1168"/>
      <c r="B21" s="1172"/>
      <c r="C21" s="1174"/>
      <c r="D21" s="1016" t="s">
        <v>198</v>
      </c>
      <c r="E21" s="1016" t="s">
        <v>199</v>
      </c>
      <c r="F21" s="1016" t="s">
        <v>200</v>
      </c>
      <c r="G21" s="1016" t="s">
        <v>201</v>
      </c>
      <c r="H21" s="1016" t="s">
        <v>119</v>
      </c>
      <c r="I21" s="1016" t="s">
        <v>202</v>
      </c>
      <c r="J21" s="1016" t="s">
        <v>203</v>
      </c>
      <c r="K21" s="1016" t="s">
        <v>204</v>
      </c>
      <c r="L21" s="1016" t="s">
        <v>205</v>
      </c>
      <c r="M21" s="1016" t="s">
        <v>206</v>
      </c>
      <c r="N21" s="1016" t="s">
        <v>207</v>
      </c>
      <c r="O21" s="1016" t="s">
        <v>208</v>
      </c>
      <c r="P21" s="1016" t="s">
        <v>209</v>
      </c>
      <c r="Q21" s="1016" t="s">
        <v>115</v>
      </c>
    </row>
    <row r="22" spans="1:17">
      <c r="A22" s="451" t="s">
        <v>154</v>
      </c>
      <c r="B22" s="452">
        <f t="shared" ref="B22:B32" ca="1" si="2">B4*$B$17</f>
        <v>3025.3355582762756</v>
      </c>
      <c r="C22" s="452">
        <f t="shared" ref="C22:C32" ca="1" si="3">C4*$C$17</f>
        <v>0</v>
      </c>
      <c r="D22" s="452">
        <f t="shared" ref="D22:D32" si="4">D4*$D$17</f>
        <v>9396.9767061279999</v>
      </c>
      <c r="E22" s="452">
        <f t="shared" ref="E22:E32" si="5">E4*$E$17</f>
        <v>177.5930862376494</v>
      </c>
      <c r="F22" s="452">
        <f t="shared" ref="F22:F32" si="6">F4*$F$17</f>
        <v>0</v>
      </c>
      <c r="G22" s="452">
        <f t="shared" ref="G22:G32" si="7">G4*$G$17</f>
        <v>0</v>
      </c>
      <c r="H22" s="452">
        <f t="shared" ref="H22:H32" si="8">H4*$H$17</f>
        <v>0</v>
      </c>
      <c r="I22" s="452">
        <f t="shared" ref="I22:I32" si="9">I4*$I$17</f>
        <v>0</v>
      </c>
      <c r="J22" s="452">
        <f t="shared" ref="J22:J32" si="10">J4*$J$17</f>
        <v>0</v>
      </c>
      <c r="K22" s="452">
        <f t="shared" ref="K22:K32" si="11">K4*$K$17</f>
        <v>0</v>
      </c>
      <c r="L22" s="452">
        <f t="shared" ref="L22:L32" si="12">L4*$L$17</f>
        <v>0</v>
      </c>
      <c r="M22" s="452">
        <f t="shared" ref="M22:M32" si="13">M4*$M$17</f>
        <v>0</v>
      </c>
      <c r="N22" s="452">
        <f t="shared" ref="N22:N32" si="14">N4*$N$17</f>
        <v>0</v>
      </c>
      <c r="O22" s="452">
        <f t="shared" ref="O22:O32" si="15">O4*$O$17</f>
        <v>0</v>
      </c>
      <c r="P22" s="463">
        <f t="shared" ref="P22:P32" si="16">P4*$P$17</f>
        <v>0</v>
      </c>
      <c r="Q22" s="454">
        <f ca="1">SUM(B22:P22)</f>
        <v>12599.905350641926</v>
      </c>
    </row>
    <row r="23" spans="1:17">
      <c r="A23" s="451" t="s">
        <v>155</v>
      </c>
      <c r="B23" s="452">
        <f t="shared" ca="1" si="2"/>
        <v>2164.0255405274297</v>
      </c>
      <c r="C23" s="452">
        <f t="shared" ca="1" si="3"/>
        <v>0</v>
      </c>
      <c r="D23" s="452">
        <f t="shared" ca="1" si="4"/>
        <v>2064.0333315800008</v>
      </c>
      <c r="E23" s="452">
        <f t="shared" si="5"/>
        <v>23.567428819415664</v>
      </c>
      <c r="F23" s="452">
        <f t="shared" ca="1" si="6"/>
        <v>421.97865112386978</v>
      </c>
      <c r="G23" s="452">
        <f t="shared" si="7"/>
        <v>0</v>
      </c>
      <c r="H23" s="452">
        <f t="shared" si="8"/>
        <v>0</v>
      </c>
      <c r="I23" s="452">
        <f t="shared" si="9"/>
        <v>0</v>
      </c>
      <c r="J23" s="452">
        <f t="shared" si="10"/>
        <v>0</v>
      </c>
      <c r="K23" s="452">
        <f t="shared" si="11"/>
        <v>0</v>
      </c>
      <c r="L23" s="452">
        <f t="shared" ca="1" si="12"/>
        <v>0</v>
      </c>
      <c r="M23" s="452">
        <f t="shared" si="13"/>
        <v>0</v>
      </c>
      <c r="N23" s="452">
        <f t="shared" ca="1" si="14"/>
        <v>0</v>
      </c>
      <c r="O23" s="452">
        <f t="shared" si="15"/>
        <v>0</v>
      </c>
      <c r="P23" s="453">
        <f t="shared" si="16"/>
        <v>0</v>
      </c>
      <c r="Q23" s="451">
        <f t="shared" ref="Q23:Q32" ca="1" si="17">SUM(B23:P23)</f>
        <v>4673.6049520507167</v>
      </c>
    </row>
    <row r="24" spans="1:17">
      <c r="A24" s="451" t="s">
        <v>193</v>
      </c>
      <c r="B24" s="452">
        <f t="shared" ca="1" si="2"/>
        <v>114.31383696141191</v>
      </c>
      <c r="C24" s="452">
        <f t="shared" ca="1" si="3"/>
        <v>0</v>
      </c>
      <c r="D24" s="452">
        <f t="shared" si="4"/>
        <v>0</v>
      </c>
      <c r="E24" s="452">
        <f t="shared" si="5"/>
        <v>0</v>
      </c>
      <c r="F24" s="452">
        <f t="shared" si="6"/>
        <v>0</v>
      </c>
      <c r="G24" s="452">
        <f t="shared" si="7"/>
        <v>0</v>
      </c>
      <c r="H24" s="452">
        <f t="shared" si="8"/>
        <v>0</v>
      </c>
      <c r="I24" s="452">
        <f t="shared" si="9"/>
        <v>0</v>
      </c>
      <c r="J24" s="452">
        <f t="shared" si="10"/>
        <v>0</v>
      </c>
      <c r="K24" s="452">
        <f t="shared" si="11"/>
        <v>0</v>
      </c>
      <c r="L24" s="452">
        <f t="shared" si="12"/>
        <v>0</v>
      </c>
      <c r="M24" s="452">
        <f t="shared" si="13"/>
        <v>0</v>
      </c>
      <c r="N24" s="452">
        <f t="shared" si="14"/>
        <v>0</v>
      </c>
      <c r="O24" s="452">
        <f t="shared" si="15"/>
        <v>0</v>
      </c>
      <c r="P24" s="453">
        <f t="shared" si="16"/>
        <v>0</v>
      </c>
      <c r="Q24" s="451">
        <f t="shared" ca="1" si="17"/>
        <v>114.31383696141191</v>
      </c>
    </row>
    <row r="25" spans="1:17">
      <c r="A25" s="451" t="s">
        <v>111</v>
      </c>
      <c r="B25" s="452">
        <f t="shared" ca="1" si="2"/>
        <v>2.8428758511360792</v>
      </c>
      <c r="C25" s="452">
        <f t="shared" ca="1" si="3"/>
        <v>0</v>
      </c>
      <c r="D25" s="452">
        <f t="shared" si="4"/>
        <v>3.5861391279999997</v>
      </c>
      <c r="E25" s="452">
        <f t="shared" si="5"/>
        <v>3.0136122571175487E-2</v>
      </c>
      <c r="F25" s="452">
        <f t="shared" si="6"/>
        <v>9.7096022327973603</v>
      </c>
      <c r="G25" s="452">
        <f t="shared" si="7"/>
        <v>0</v>
      </c>
      <c r="H25" s="452">
        <f t="shared" si="8"/>
        <v>0</v>
      </c>
      <c r="I25" s="452">
        <f t="shared" si="9"/>
        <v>0</v>
      </c>
      <c r="J25" s="452">
        <f t="shared" si="10"/>
        <v>0.77788273528838447</v>
      </c>
      <c r="K25" s="452">
        <f t="shared" si="11"/>
        <v>0</v>
      </c>
      <c r="L25" s="452">
        <f t="shared" si="12"/>
        <v>0</v>
      </c>
      <c r="M25" s="452">
        <f t="shared" si="13"/>
        <v>0</v>
      </c>
      <c r="N25" s="452">
        <f t="shared" si="14"/>
        <v>0</v>
      </c>
      <c r="O25" s="452">
        <f t="shared" si="15"/>
        <v>0</v>
      </c>
      <c r="P25" s="453">
        <f t="shared" si="16"/>
        <v>0</v>
      </c>
      <c r="Q25" s="451">
        <f t="shared" ca="1" si="17"/>
        <v>16.946636069792998</v>
      </c>
    </row>
    <row r="26" spans="1:17">
      <c r="A26" s="451" t="s">
        <v>649</v>
      </c>
      <c r="B26" s="452">
        <f t="shared" ca="1" si="2"/>
        <v>658.98052640331105</v>
      </c>
      <c r="C26" s="452">
        <f t="shared" ca="1" si="3"/>
        <v>0</v>
      </c>
      <c r="D26" s="452">
        <f t="shared" si="4"/>
        <v>546.62602970800003</v>
      </c>
      <c r="E26" s="452">
        <f t="shared" si="5"/>
        <v>87.908115715896372</v>
      </c>
      <c r="F26" s="452">
        <f t="shared" si="6"/>
        <v>459.5238801633829</v>
      </c>
      <c r="G26" s="452">
        <f t="shared" si="7"/>
        <v>0</v>
      </c>
      <c r="H26" s="452">
        <f t="shared" si="8"/>
        <v>0</v>
      </c>
      <c r="I26" s="452">
        <f t="shared" si="9"/>
        <v>0</v>
      </c>
      <c r="J26" s="452">
        <f t="shared" si="10"/>
        <v>4.6308877244255511</v>
      </c>
      <c r="K26" s="452">
        <f t="shared" si="11"/>
        <v>0</v>
      </c>
      <c r="L26" s="452">
        <f t="shared" si="12"/>
        <v>0</v>
      </c>
      <c r="M26" s="452">
        <f t="shared" si="13"/>
        <v>0</v>
      </c>
      <c r="N26" s="452">
        <f t="shared" si="14"/>
        <v>0</v>
      </c>
      <c r="O26" s="452">
        <f t="shared" si="15"/>
        <v>0</v>
      </c>
      <c r="P26" s="453">
        <f t="shared" si="16"/>
        <v>0</v>
      </c>
      <c r="Q26" s="451">
        <f t="shared" ca="1" si="17"/>
        <v>1757.6694397150159</v>
      </c>
    </row>
    <row r="27" spans="1:17" s="457" customFormat="1">
      <c r="A27" s="455" t="s">
        <v>570</v>
      </c>
      <c r="B27" s="755">
        <f t="shared" ca="1" si="2"/>
        <v>0.70903667544100246</v>
      </c>
      <c r="C27" s="456">
        <f t="shared" ca="1" si="3"/>
        <v>0</v>
      </c>
      <c r="D27" s="456">
        <f t="shared" si="4"/>
        <v>1.3378819362953007</v>
      </c>
      <c r="E27" s="456">
        <f t="shared" si="5"/>
        <v>14.452534749288768</v>
      </c>
      <c r="F27" s="456">
        <f t="shared" si="6"/>
        <v>0</v>
      </c>
      <c r="G27" s="456">
        <f t="shared" si="7"/>
        <v>4788.4880172546973</v>
      </c>
      <c r="H27" s="456">
        <f t="shared" si="8"/>
        <v>1005.0929451355514</v>
      </c>
      <c r="I27" s="456">
        <f t="shared" si="9"/>
        <v>0</v>
      </c>
      <c r="J27" s="456">
        <f t="shared" si="10"/>
        <v>0</v>
      </c>
      <c r="K27" s="456">
        <f t="shared" si="11"/>
        <v>0</v>
      </c>
      <c r="L27" s="456">
        <f t="shared" si="12"/>
        <v>0</v>
      </c>
      <c r="M27" s="456">
        <f t="shared" si="13"/>
        <v>0</v>
      </c>
      <c r="N27" s="456">
        <f t="shared" si="14"/>
        <v>0</v>
      </c>
      <c r="O27" s="456">
        <f t="shared" si="15"/>
        <v>0</v>
      </c>
      <c r="P27" s="464">
        <f t="shared" si="16"/>
        <v>0</v>
      </c>
      <c r="Q27" s="455">
        <f t="shared" ca="1" si="17"/>
        <v>5810.0804157512739</v>
      </c>
    </row>
    <row r="28" spans="1:17">
      <c r="A28" s="451" t="s">
        <v>560</v>
      </c>
      <c r="B28" s="452">
        <f t="shared" ca="1" si="2"/>
        <v>0</v>
      </c>
      <c r="C28" s="452">
        <f t="shared" ca="1" si="3"/>
        <v>0</v>
      </c>
      <c r="D28" s="452">
        <f t="shared" si="4"/>
        <v>0</v>
      </c>
      <c r="E28" s="452">
        <f t="shared" si="5"/>
        <v>0</v>
      </c>
      <c r="F28" s="452">
        <f t="shared" si="6"/>
        <v>0</v>
      </c>
      <c r="G28" s="452">
        <f t="shared" si="7"/>
        <v>174.52009451427105</v>
      </c>
      <c r="H28" s="452">
        <f t="shared" si="8"/>
        <v>0</v>
      </c>
      <c r="I28" s="452">
        <f t="shared" si="9"/>
        <v>0</v>
      </c>
      <c r="J28" s="452">
        <f t="shared" si="10"/>
        <v>0</v>
      </c>
      <c r="K28" s="452">
        <f t="shared" si="11"/>
        <v>0</v>
      </c>
      <c r="L28" s="452">
        <f t="shared" si="12"/>
        <v>0</v>
      </c>
      <c r="M28" s="452">
        <f t="shared" si="13"/>
        <v>0</v>
      </c>
      <c r="N28" s="452">
        <f t="shared" si="14"/>
        <v>0</v>
      </c>
      <c r="O28" s="452">
        <f t="shared" si="15"/>
        <v>0</v>
      </c>
      <c r="P28" s="453">
        <f t="shared" si="16"/>
        <v>0</v>
      </c>
      <c r="Q28" s="451">
        <f t="shared" ca="1" si="17"/>
        <v>174.52009451427105</v>
      </c>
    </row>
    <row r="29" spans="1:17">
      <c r="A29" s="451" t="s">
        <v>561</v>
      </c>
      <c r="B29" s="452">
        <f t="shared" ca="1" si="2"/>
        <v>0</v>
      </c>
      <c r="C29" s="452">
        <f t="shared" ca="1" si="3"/>
        <v>0</v>
      </c>
      <c r="D29" s="452">
        <f t="shared" si="4"/>
        <v>0</v>
      </c>
      <c r="E29" s="452">
        <f t="shared" si="5"/>
        <v>0</v>
      </c>
      <c r="F29" s="452">
        <f t="shared" si="6"/>
        <v>0</v>
      </c>
      <c r="G29" s="452">
        <f t="shared" si="7"/>
        <v>0</v>
      </c>
      <c r="H29" s="452">
        <f t="shared" si="8"/>
        <v>0</v>
      </c>
      <c r="I29" s="452">
        <f t="shared" si="9"/>
        <v>0</v>
      </c>
      <c r="J29" s="452">
        <f t="shared" si="10"/>
        <v>0</v>
      </c>
      <c r="K29" s="452">
        <f t="shared" si="11"/>
        <v>0</v>
      </c>
      <c r="L29" s="452">
        <f t="shared" si="12"/>
        <v>0</v>
      </c>
      <c r="M29" s="452">
        <f t="shared" si="13"/>
        <v>0</v>
      </c>
      <c r="N29" s="452">
        <f t="shared" si="14"/>
        <v>0</v>
      </c>
      <c r="O29" s="452">
        <f t="shared" si="15"/>
        <v>0</v>
      </c>
      <c r="P29" s="453">
        <f t="shared" si="16"/>
        <v>0</v>
      </c>
      <c r="Q29" s="451">
        <f t="shared" ca="1" si="17"/>
        <v>0</v>
      </c>
    </row>
    <row r="30" spans="1:17">
      <c r="A30" s="451" t="s">
        <v>562</v>
      </c>
      <c r="B30" s="452">
        <f t="shared" ca="1" si="2"/>
        <v>0</v>
      </c>
      <c r="C30" s="452">
        <f t="shared" ca="1" si="3"/>
        <v>0</v>
      </c>
      <c r="D30" s="452">
        <f t="shared" si="4"/>
        <v>0</v>
      </c>
      <c r="E30" s="452">
        <f t="shared" si="5"/>
        <v>0</v>
      </c>
      <c r="F30" s="452">
        <f t="shared" si="6"/>
        <v>0</v>
      </c>
      <c r="G30" s="452">
        <f t="shared" si="7"/>
        <v>0</v>
      </c>
      <c r="H30" s="452">
        <f t="shared" si="8"/>
        <v>0</v>
      </c>
      <c r="I30" s="452">
        <f t="shared" si="9"/>
        <v>0</v>
      </c>
      <c r="J30" s="452">
        <f t="shared" si="10"/>
        <v>0</v>
      </c>
      <c r="K30" s="452">
        <f t="shared" si="11"/>
        <v>0</v>
      </c>
      <c r="L30" s="452">
        <f t="shared" si="12"/>
        <v>0</v>
      </c>
      <c r="M30" s="452">
        <f t="shared" si="13"/>
        <v>0</v>
      </c>
      <c r="N30" s="452">
        <f t="shared" si="14"/>
        <v>0</v>
      </c>
      <c r="O30" s="452">
        <f t="shared" si="15"/>
        <v>0</v>
      </c>
      <c r="P30" s="453">
        <f t="shared" si="16"/>
        <v>0</v>
      </c>
      <c r="Q30" s="451">
        <f t="shared" ca="1" si="17"/>
        <v>0</v>
      </c>
    </row>
    <row r="31" spans="1:17">
      <c r="A31" s="451" t="s">
        <v>563</v>
      </c>
      <c r="B31" s="452">
        <f t="shared" ca="1" si="2"/>
        <v>0</v>
      </c>
      <c r="C31" s="452">
        <f t="shared" ca="1" si="3"/>
        <v>0</v>
      </c>
      <c r="D31" s="452">
        <f t="shared" si="4"/>
        <v>0</v>
      </c>
      <c r="E31" s="452">
        <f t="shared" si="5"/>
        <v>0</v>
      </c>
      <c r="F31" s="452">
        <f t="shared" si="6"/>
        <v>0</v>
      </c>
      <c r="G31" s="452">
        <f t="shared" si="7"/>
        <v>0</v>
      </c>
      <c r="H31" s="452">
        <f t="shared" si="8"/>
        <v>0</v>
      </c>
      <c r="I31" s="452">
        <f t="shared" si="9"/>
        <v>0</v>
      </c>
      <c r="J31" s="452">
        <f t="shared" si="10"/>
        <v>0</v>
      </c>
      <c r="K31" s="452">
        <f t="shared" si="11"/>
        <v>0</v>
      </c>
      <c r="L31" s="452">
        <f t="shared" si="12"/>
        <v>0</v>
      </c>
      <c r="M31" s="452">
        <f t="shared" si="13"/>
        <v>0</v>
      </c>
      <c r="N31" s="452">
        <f t="shared" si="14"/>
        <v>0</v>
      </c>
      <c r="O31" s="452">
        <f t="shared" si="15"/>
        <v>0</v>
      </c>
      <c r="P31" s="453">
        <f t="shared" si="16"/>
        <v>0</v>
      </c>
      <c r="Q31" s="451">
        <f t="shared" ca="1" si="17"/>
        <v>0</v>
      </c>
    </row>
    <row r="32" spans="1:17">
      <c r="A32" s="451" t="s">
        <v>853</v>
      </c>
      <c r="B32" s="452">
        <f t="shared" ca="1" si="2"/>
        <v>109.13326943501664</v>
      </c>
      <c r="C32" s="452">
        <f t="shared" ca="1" si="3"/>
        <v>0</v>
      </c>
      <c r="D32" s="452">
        <f t="shared" si="4"/>
        <v>278.52163999999999</v>
      </c>
      <c r="E32" s="452">
        <f t="shared" si="5"/>
        <v>0</v>
      </c>
      <c r="F32" s="452">
        <f t="shared" si="6"/>
        <v>0</v>
      </c>
      <c r="G32" s="452">
        <f t="shared" si="7"/>
        <v>0</v>
      </c>
      <c r="H32" s="452">
        <f t="shared" si="8"/>
        <v>0</v>
      </c>
      <c r="I32" s="452">
        <f t="shared" si="9"/>
        <v>0</v>
      </c>
      <c r="J32" s="452">
        <f t="shared" si="10"/>
        <v>0</v>
      </c>
      <c r="K32" s="452">
        <f t="shared" si="11"/>
        <v>0</v>
      </c>
      <c r="L32" s="452">
        <f t="shared" si="12"/>
        <v>0</v>
      </c>
      <c r="M32" s="452">
        <f t="shared" si="13"/>
        <v>0</v>
      </c>
      <c r="N32" s="452">
        <f t="shared" si="14"/>
        <v>0</v>
      </c>
      <c r="O32" s="452">
        <f t="shared" si="15"/>
        <v>0</v>
      </c>
      <c r="P32" s="453">
        <f t="shared" si="16"/>
        <v>0</v>
      </c>
      <c r="Q32" s="451">
        <f t="shared" ca="1" si="17"/>
        <v>387.65490943501663</v>
      </c>
    </row>
    <row r="33" spans="1:17" s="461" customFormat="1">
      <c r="A33" s="1017" t="s">
        <v>564</v>
      </c>
      <c r="B33" s="957">
        <f ca="1">SUM(B22:B32)</f>
        <v>6075.3406441300222</v>
      </c>
      <c r="C33" s="957">
        <f t="shared" ref="C33:Q33" ca="1" si="18">SUM(C22:C32)</f>
        <v>0</v>
      </c>
      <c r="D33" s="957">
        <f t="shared" ca="1" si="18"/>
        <v>12291.081728480298</v>
      </c>
      <c r="E33" s="957">
        <f t="shared" si="18"/>
        <v>303.55130164482136</v>
      </c>
      <c r="F33" s="957">
        <f t="shared" ca="1" si="18"/>
        <v>891.21213352004997</v>
      </c>
      <c r="G33" s="957">
        <f t="shared" si="18"/>
        <v>4963.0081117689688</v>
      </c>
      <c r="H33" s="957">
        <f t="shared" si="18"/>
        <v>1005.0929451355514</v>
      </c>
      <c r="I33" s="957">
        <f t="shared" si="18"/>
        <v>0</v>
      </c>
      <c r="J33" s="957">
        <f t="shared" si="18"/>
        <v>5.4087704597139359</v>
      </c>
      <c r="K33" s="957">
        <f t="shared" si="18"/>
        <v>0</v>
      </c>
      <c r="L33" s="957">
        <f t="shared" ca="1" si="18"/>
        <v>0</v>
      </c>
      <c r="M33" s="957">
        <f t="shared" si="18"/>
        <v>0</v>
      </c>
      <c r="N33" s="957">
        <f t="shared" ca="1" si="18"/>
        <v>0</v>
      </c>
      <c r="O33" s="957">
        <f t="shared" si="18"/>
        <v>0</v>
      </c>
      <c r="P33" s="957">
        <f t="shared" si="18"/>
        <v>0</v>
      </c>
      <c r="Q33" s="957">
        <f t="shared" ca="1" si="18"/>
        <v>25534.695635139429</v>
      </c>
    </row>
  </sheetData>
  <mergeCells count="12">
    <mergeCell ref="A1:A3"/>
    <mergeCell ref="B1:P1"/>
    <mergeCell ref="B2:B3"/>
    <mergeCell ref="C2:C3"/>
    <mergeCell ref="D2:K2"/>
    <mergeCell ref="L2:P2"/>
    <mergeCell ref="A19:A21"/>
    <mergeCell ref="B19:P19"/>
    <mergeCell ref="B20:B21"/>
    <mergeCell ref="C20:C21"/>
    <mergeCell ref="D20:K20"/>
    <mergeCell ref="L20:P20"/>
  </mergeCells>
  <dataValidations count="1">
    <dataValidation type="list" allowBlank="1" showInputMessage="1" showErrorMessage="1" sqref="B2:D3 B20:D21">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Q20"/>
  <sheetViews>
    <sheetView zoomScale="40" zoomScaleNormal="40" workbookViewId="0">
      <selection activeCell="P18" sqref="P18"/>
    </sheetView>
  </sheetViews>
  <sheetFormatPr defaultColWidth="9.140625" defaultRowHeight="15"/>
  <cols>
    <col min="1" max="1" width="51.42578125" style="450" customWidth="1"/>
    <col min="2" max="8" width="26.28515625" style="450" customWidth="1"/>
    <col min="9" max="9" width="32" style="450" customWidth="1"/>
    <col min="10" max="11" width="26.28515625" style="450" customWidth="1"/>
    <col min="12" max="12" width="23.7109375" style="450" customWidth="1"/>
    <col min="13" max="15" width="26.28515625" style="450" customWidth="1"/>
    <col min="16" max="16" width="42" style="450" customWidth="1"/>
    <col min="17" max="17" width="26.28515625" style="450" customWidth="1"/>
    <col min="18" max="18" width="9.5703125" style="450" bestFit="1" customWidth="1"/>
    <col min="19" max="16384" width="9.140625" style="450"/>
  </cols>
  <sheetData>
    <row r="1" spans="1:17" s="924" customFormat="1" ht="21">
      <c r="A1" s="1177" t="s">
        <v>559</v>
      </c>
      <c r="B1" s="1178" t="s">
        <v>812</v>
      </c>
      <c r="C1" s="1178"/>
      <c r="D1" s="1178"/>
      <c r="E1" s="1178"/>
      <c r="F1" s="1178"/>
      <c r="G1" s="1178"/>
      <c r="H1" s="1178"/>
      <c r="I1" s="1178"/>
      <c r="J1" s="1178"/>
      <c r="K1" s="1178"/>
      <c r="L1" s="1178"/>
      <c r="M1" s="1178"/>
      <c r="N1" s="1178"/>
      <c r="O1" s="1178"/>
      <c r="P1" s="1179"/>
      <c r="Q1" s="923"/>
    </row>
    <row r="2" spans="1:17" s="924" customFormat="1" ht="21">
      <c r="A2" s="1177"/>
      <c r="B2" s="1180" t="s">
        <v>20</v>
      </c>
      <c r="C2" s="1182" t="s">
        <v>195</v>
      </c>
      <c r="D2" s="1184" t="s">
        <v>196</v>
      </c>
      <c r="E2" s="1185"/>
      <c r="F2" s="1185"/>
      <c r="G2" s="1185"/>
      <c r="H2" s="1185"/>
      <c r="I2" s="1185"/>
      <c r="J2" s="1185"/>
      <c r="K2" s="1181"/>
      <c r="L2" s="1184" t="s">
        <v>197</v>
      </c>
      <c r="M2" s="1185"/>
      <c r="N2" s="1185"/>
      <c r="O2" s="1185"/>
      <c r="P2" s="1181"/>
      <c r="Q2" s="923"/>
    </row>
    <row r="3" spans="1:17" s="924" customFormat="1" ht="42">
      <c r="A3" s="1177"/>
      <c r="B3" s="1181"/>
      <c r="C3" s="1183"/>
      <c r="D3" s="925" t="s">
        <v>198</v>
      </c>
      <c r="E3" s="925" t="s">
        <v>199</v>
      </c>
      <c r="F3" s="925" t="s">
        <v>200</v>
      </c>
      <c r="G3" s="925" t="s">
        <v>201</v>
      </c>
      <c r="H3" s="925" t="s">
        <v>119</v>
      </c>
      <c r="I3" s="925" t="s">
        <v>202</v>
      </c>
      <c r="J3" s="925" t="s">
        <v>203</v>
      </c>
      <c r="K3" s="925" t="s">
        <v>204</v>
      </c>
      <c r="L3" s="925" t="s">
        <v>205</v>
      </c>
      <c r="M3" s="925" t="s">
        <v>206</v>
      </c>
      <c r="N3" s="925" t="s">
        <v>207</v>
      </c>
      <c r="O3" s="925" t="s">
        <v>208</v>
      </c>
      <c r="P3" s="925" t="s">
        <v>209</v>
      </c>
      <c r="Q3" s="923" t="s">
        <v>115</v>
      </c>
    </row>
    <row r="4" spans="1:17" ht="124.35" customHeight="1">
      <c r="A4" s="926" t="s">
        <v>154</v>
      </c>
      <c r="B4" s="927" t="s">
        <v>813</v>
      </c>
      <c r="C4" s="928" t="s">
        <v>814</v>
      </c>
      <c r="D4" s="929" t="s">
        <v>815</v>
      </c>
      <c r="E4" s="930" t="s">
        <v>816</v>
      </c>
      <c r="F4" s="930" t="s">
        <v>817</v>
      </c>
      <c r="G4" s="931" t="s">
        <v>820</v>
      </c>
      <c r="H4" s="931" t="s">
        <v>820</v>
      </c>
      <c r="I4" s="931" t="s">
        <v>820</v>
      </c>
      <c r="J4" s="930" t="s">
        <v>819</v>
      </c>
      <c r="K4" s="931" t="s">
        <v>820</v>
      </c>
      <c r="L4" s="931" t="s">
        <v>820</v>
      </c>
      <c r="M4" s="931" t="s">
        <v>820</v>
      </c>
      <c r="N4" s="930" t="s">
        <v>821</v>
      </c>
      <c r="O4" s="932" t="s">
        <v>822</v>
      </c>
      <c r="P4" s="933" t="s">
        <v>823</v>
      </c>
      <c r="Q4" s="934"/>
    </row>
    <row r="5" spans="1:17" ht="124.35" customHeight="1">
      <c r="A5" s="935" t="s">
        <v>155</v>
      </c>
      <c r="B5" s="936" t="s">
        <v>824</v>
      </c>
      <c r="C5" s="937" t="s">
        <v>825</v>
      </c>
      <c r="D5" s="937" t="s">
        <v>826</v>
      </c>
      <c r="E5" s="938" t="s">
        <v>827</v>
      </c>
      <c r="F5" s="938" t="s">
        <v>828</v>
      </c>
      <c r="G5" s="939" t="s">
        <v>820</v>
      </c>
      <c r="H5" s="939" t="s">
        <v>820</v>
      </c>
      <c r="I5" s="939" t="s">
        <v>820</v>
      </c>
      <c r="J5" s="938" t="s">
        <v>829</v>
      </c>
      <c r="K5" s="936" t="s">
        <v>830</v>
      </c>
      <c r="L5" s="939" t="s">
        <v>820</v>
      </c>
      <c r="M5" s="939" t="s">
        <v>820</v>
      </c>
      <c r="N5" s="938" t="s">
        <v>831</v>
      </c>
      <c r="O5" s="940" t="s">
        <v>822</v>
      </c>
      <c r="P5" s="941" t="s">
        <v>823</v>
      </c>
      <c r="Q5" s="942"/>
    </row>
    <row r="6" spans="1:17" ht="124.35" customHeight="1">
      <c r="A6" s="935" t="s">
        <v>193</v>
      </c>
      <c r="B6" s="943" t="s">
        <v>832</v>
      </c>
      <c r="C6" s="944" t="s">
        <v>818</v>
      </c>
      <c r="D6" s="939" t="s">
        <v>818</v>
      </c>
      <c r="E6" s="939" t="s">
        <v>818</v>
      </c>
      <c r="F6" s="939" t="s">
        <v>818</v>
      </c>
      <c r="G6" s="939" t="s">
        <v>818</v>
      </c>
      <c r="H6" s="939" t="s">
        <v>818</v>
      </c>
      <c r="I6" s="939" t="s">
        <v>818</v>
      </c>
      <c r="J6" s="939" t="s">
        <v>818</v>
      </c>
      <c r="K6" s="939" t="s">
        <v>818</v>
      </c>
      <c r="L6" s="939" t="s">
        <v>818</v>
      </c>
      <c r="M6" s="939" t="s">
        <v>818</v>
      </c>
      <c r="N6" s="939" t="s">
        <v>818</v>
      </c>
      <c r="O6" s="945" t="s">
        <v>818</v>
      </c>
      <c r="P6" s="946" t="s">
        <v>818</v>
      </c>
      <c r="Q6" s="947"/>
    </row>
    <row r="7" spans="1:17" ht="124.35" customHeight="1">
      <c r="A7" s="935" t="s">
        <v>111</v>
      </c>
      <c r="B7" s="943" t="s">
        <v>832</v>
      </c>
      <c r="C7" s="937" t="s">
        <v>825</v>
      </c>
      <c r="D7" s="937" t="s">
        <v>826</v>
      </c>
      <c r="E7" s="938" t="s">
        <v>827</v>
      </c>
      <c r="F7" s="938" t="s">
        <v>828</v>
      </c>
      <c r="G7" s="939" t="s">
        <v>820</v>
      </c>
      <c r="H7" s="939" t="s">
        <v>820</v>
      </c>
      <c r="I7" s="939" t="s">
        <v>820</v>
      </c>
      <c r="J7" s="938" t="s">
        <v>829</v>
      </c>
      <c r="K7" s="939" t="s">
        <v>820</v>
      </c>
      <c r="L7" s="939" t="s">
        <v>820</v>
      </c>
      <c r="M7" s="939" t="s">
        <v>820</v>
      </c>
      <c r="N7" s="948" t="s">
        <v>820</v>
      </c>
      <c r="O7" s="944" t="s">
        <v>820</v>
      </c>
      <c r="P7" s="949" t="s">
        <v>820</v>
      </c>
      <c r="Q7" s="942"/>
    </row>
    <row r="8" spans="1:17" ht="124.35" customHeight="1">
      <c r="A8" s="935" t="s">
        <v>649</v>
      </c>
      <c r="B8" s="936" t="s">
        <v>833</v>
      </c>
      <c r="C8" s="937" t="s">
        <v>825</v>
      </c>
      <c r="D8" s="937" t="s">
        <v>826</v>
      </c>
      <c r="E8" s="938" t="s">
        <v>827</v>
      </c>
      <c r="F8" s="938" t="s">
        <v>828</v>
      </c>
      <c r="G8" s="939" t="s">
        <v>820</v>
      </c>
      <c r="H8" s="939" t="s">
        <v>820</v>
      </c>
      <c r="I8" s="939" t="s">
        <v>820</v>
      </c>
      <c r="J8" s="938" t="s">
        <v>829</v>
      </c>
      <c r="K8" s="936" t="s">
        <v>830</v>
      </c>
      <c r="L8" s="939" t="s">
        <v>820</v>
      </c>
      <c r="M8" s="939" t="s">
        <v>820</v>
      </c>
      <c r="N8" s="938" t="s">
        <v>831</v>
      </c>
      <c r="O8" s="940" t="s">
        <v>822</v>
      </c>
      <c r="P8" s="941" t="s">
        <v>823</v>
      </c>
      <c r="Q8" s="942"/>
    </row>
    <row r="9" spans="1:17" s="457" customFormat="1" ht="124.35" customHeight="1">
      <c r="A9" s="950" t="s">
        <v>570</v>
      </c>
      <c r="B9" s="938" t="s">
        <v>834</v>
      </c>
      <c r="C9" s="945" t="s">
        <v>818</v>
      </c>
      <c r="D9" s="938" t="s">
        <v>835</v>
      </c>
      <c r="E9" s="938" t="s">
        <v>836</v>
      </c>
      <c r="F9" s="939" t="s">
        <v>818</v>
      </c>
      <c r="G9" s="938" t="s">
        <v>837</v>
      </c>
      <c r="H9" s="938" t="s">
        <v>838</v>
      </c>
      <c r="I9" s="939" t="s">
        <v>818</v>
      </c>
      <c r="J9" s="939" t="s">
        <v>818</v>
      </c>
      <c r="K9" s="939" t="s">
        <v>818</v>
      </c>
      <c r="L9" s="939" t="s">
        <v>818</v>
      </c>
      <c r="M9" s="938" t="s">
        <v>834</v>
      </c>
      <c r="N9" s="939" t="s">
        <v>818</v>
      </c>
      <c r="O9" s="939" t="s">
        <v>818</v>
      </c>
      <c r="P9" s="951" t="s">
        <v>818</v>
      </c>
      <c r="Q9" s="952"/>
    </row>
    <row r="10" spans="1:17" ht="124.35" customHeight="1">
      <c r="A10" s="935" t="s">
        <v>560</v>
      </c>
      <c r="B10" s="936" t="s">
        <v>846</v>
      </c>
      <c r="C10" s="945" t="s">
        <v>818</v>
      </c>
      <c r="D10" s="945" t="s">
        <v>818</v>
      </c>
      <c r="E10" s="945" t="s">
        <v>818</v>
      </c>
      <c r="F10" s="939" t="s">
        <v>818</v>
      </c>
      <c r="G10" s="936" t="s">
        <v>839</v>
      </c>
      <c r="H10" s="939" t="s">
        <v>818</v>
      </c>
      <c r="I10" s="939" t="s">
        <v>818</v>
      </c>
      <c r="J10" s="939" t="s">
        <v>818</v>
      </c>
      <c r="K10" s="939" t="s">
        <v>818</v>
      </c>
      <c r="L10" s="939" t="s">
        <v>818</v>
      </c>
      <c r="M10" s="936" t="s">
        <v>840</v>
      </c>
      <c r="N10" s="939" t="s">
        <v>818</v>
      </c>
      <c r="O10" s="939" t="s">
        <v>818</v>
      </c>
      <c r="P10" s="951" t="s">
        <v>818</v>
      </c>
      <c r="Q10" s="942"/>
    </row>
    <row r="11" spans="1:17" ht="21">
      <c r="A11" s="935" t="s">
        <v>561</v>
      </c>
      <c r="B11" s="953" t="s">
        <v>841</v>
      </c>
      <c r="C11" s="953" t="s">
        <v>841</v>
      </c>
      <c r="D11" s="953" t="s">
        <v>841</v>
      </c>
      <c r="E11" s="953" t="s">
        <v>841</v>
      </c>
      <c r="F11" s="953" t="s">
        <v>841</v>
      </c>
      <c r="G11" s="953" t="s">
        <v>841</v>
      </c>
      <c r="H11" s="953" t="s">
        <v>841</v>
      </c>
      <c r="I11" s="953" t="s">
        <v>841</v>
      </c>
      <c r="J11" s="953" t="s">
        <v>841</v>
      </c>
      <c r="K11" s="953" t="s">
        <v>841</v>
      </c>
      <c r="L11" s="953" t="s">
        <v>841</v>
      </c>
      <c r="M11" s="953" t="s">
        <v>841</v>
      </c>
      <c r="N11" s="953" t="s">
        <v>841</v>
      </c>
      <c r="O11" s="953" t="s">
        <v>841</v>
      </c>
      <c r="P11" s="969" t="s">
        <v>841</v>
      </c>
      <c r="Q11" s="970"/>
    </row>
    <row r="12" spans="1:17" ht="21">
      <c r="A12" s="935" t="s">
        <v>562</v>
      </c>
      <c r="B12" s="953" t="s">
        <v>841</v>
      </c>
      <c r="C12" s="953" t="s">
        <v>818</v>
      </c>
      <c r="D12" s="953" t="s">
        <v>818</v>
      </c>
      <c r="E12" s="953" t="s">
        <v>818</v>
      </c>
      <c r="F12" s="953" t="s">
        <v>818</v>
      </c>
      <c r="G12" s="953" t="s">
        <v>818</v>
      </c>
      <c r="H12" s="953" t="s">
        <v>818</v>
      </c>
      <c r="I12" s="953" t="s">
        <v>818</v>
      </c>
      <c r="J12" s="953" t="s">
        <v>818</v>
      </c>
      <c r="K12" s="953" t="s">
        <v>818</v>
      </c>
      <c r="L12" s="953" t="s">
        <v>818</v>
      </c>
      <c r="M12" s="953" t="s">
        <v>818</v>
      </c>
      <c r="N12" s="953" t="s">
        <v>818</v>
      </c>
      <c r="O12" s="953" t="s">
        <v>818</v>
      </c>
      <c r="P12" s="954" t="s">
        <v>818</v>
      </c>
      <c r="Q12" s="453"/>
    </row>
    <row r="13" spans="1:17" ht="21">
      <c r="A13" s="935" t="s">
        <v>563</v>
      </c>
      <c r="B13" s="953" t="s">
        <v>841</v>
      </c>
      <c r="C13" s="953" t="s">
        <v>818</v>
      </c>
      <c r="D13" s="953" t="s">
        <v>841</v>
      </c>
      <c r="E13" s="953" t="s">
        <v>841</v>
      </c>
      <c r="F13" s="953" t="s">
        <v>818</v>
      </c>
      <c r="G13" s="953" t="s">
        <v>841</v>
      </c>
      <c r="H13" s="953" t="s">
        <v>841</v>
      </c>
      <c r="I13" s="953" t="s">
        <v>818</v>
      </c>
      <c r="J13" s="953" t="s">
        <v>818</v>
      </c>
      <c r="K13" s="953" t="s">
        <v>818</v>
      </c>
      <c r="L13" s="953" t="s">
        <v>818</v>
      </c>
      <c r="M13" s="953" t="s">
        <v>841</v>
      </c>
      <c r="N13" s="953" t="s">
        <v>818</v>
      </c>
      <c r="O13" s="953" t="s">
        <v>818</v>
      </c>
      <c r="P13" s="954" t="s">
        <v>818</v>
      </c>
      <c r="Q13" s="453"/>
    </row>
    <row r="14" spans="1:17" ht="30">
      <c r="A14" s="955" t="s">
        <v>853</v>
      </c>
      <c r="B14" s="943" t="s">
        <v>832</v>
      </c>
      <c r="C14" s="953" t="s">
        <v>818</v>
      </c>
      <c r="D14" s="943" t="s">
        <v>832</v>
      </c>
      <c r="E14" s="953" t="s">
        <v>818</v>
      </c>
      <c r="F14" s="953" t="s">
        <v>818</v>
      </c>
      <c r="G14" s="953" t="s">
        <v>818</v>
      </c>
      <c r="H14" s="953" t="s">
        <v>818</v>
      </c>
      <c r="I14" s="953" t="s">
        <v>818</v>
      </c>
      <c r="J14" s="953" t="s">
        <v>818</v>
      </c>
      <c r="K14" s="953" t="s">
        <v>818</v>
      </c>
      <c r="L14" s="953" t="s">
        <v>818</v>
      </c>
      <c r="M14" s="953" t="s">
        <v>818</v>
      </c>
      <c r="N14" s="953" t="s">
        <v>818</v>
      </c>
      <c r="O14" s="953" t="s">
        <v>818</v>
      </c>
      <c r="P14" s="969" t="s">
        <v>818</v>
      </c>
      <c r="Q14" s="1018"/>
    </row>
    <row r="15" spans="1:17" s="461" customFormat="1" ht="21">
      <c r="A15" s="956" t="s">
        <v>564</v>
      </c>
      <c r="B15" s="957"/>
      <c r="C15" s="957"/>
      <c r="D15" s="957"/>
      <c r="E15" s="957"/>
      <c r="F15" s="957"/>
      <c r="G15" s="957"/>
      <c r="H15" s="957"/>
      <c r="I15" s="957"/>
      <c r="J15" s="957"/>
      <c r="K15" s="957"/>
      <c r="L15" s="957"/>
      <c r="M15" s="958"/>
      <c r="N15" s="957"/>
      <c r="O15" s="957"/>
      <c r="P15" s="959"/>
      <c r="Q15" s="960"/>
    </row>
    <row r="16" spans="1:17">
      <c r="M16" s="961"/>
    </row>
    <row r="17" spans="1:4">
      <c r="B17" s="962">
        <v>1</v>
      </c>
      <c r="C17" s="963">
        <v>2</v>
      </c>
      <c r="D17" s="964">
        <v>3</v>
      </c>
    </row>
    <row r="18" spans="1:4" ht="252">
      <c r="A18" s="965" t="s">
        <v>842</v>
      </c>
      <c r="B18" s="966" t="s">
        <v>843</v>
      </c>
      <c r="C18" s="967" t="s">
        <v>844</v>
      </c>
      <c r="D18" s="968" t="s">
        <v>845</v>
      </c>
    </row>
    <row r="19" spans="1:4" ht="243" customHeight="1"/>
    <row r="20" spans="1:4" ht="313.5" customHeight="1"/>
  </sheetData>
  <mergeCells count="6">
    <mergeCell ref="A1:A3"/>
    <mergeCell ref="B1:P1"/>
    <mergeCell ref="B2:B3"/>
    <mergeCell ref="C2:C3"/>
    <mergeCell ref="D2:K2"/>
    <mergeCell ref="L2:P2"/>
  </mergeCells>
  <dataValidations count="1">
    <dataValidation type="list" allowBlank="1" showInputMessage="1" showErrorMessage="1" sqref="B2:D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sqref="A1:XFD1048576"/>
    </sheetView>
  </sheetViews>
  <sheetFormatPr defaultColWidth="9.140625" defaultRowHeight="15"/>
  <cols>
    <col min="1" max="1" width="51" style="863" bestFit="1" customWidth="1"/>
    <col min="2" max="2" width="27" style="863" customWidth="1"/>
    <col min="3" max="3" width="30.42578125" style="863" customWidth="1"/>
    <col min="4" max="4" width="9.140625" style="863"/>
    <col min="5" max="5" width="15" style="863" customWidth="1"/>
    <col min="6" max="6" width="17" style="863" customWidth="1"/>
    <col min="7" max="7" width="18.140625" style="863" customWidth="1"/>
    <col min="8" max="8" width="16.140625" style="863" customWidth="1"/>
    <col min="9" max="15" width="9.140625" style="863"/>
    <col min="16" max="16" width="26.4257812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60">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c r="A4" s="1033" t="s">
        <v>248</v>
      </c>
      <c r="B4" s="1034">
        <f>'SEAP template'!B72</f>
        <v>0</v>
      </c>
      <c r="C4" s="1034"/>
      <c r="D4" s="1034"/>
      <c r="E4" s="1034"/>
      <c r="F4" s="1034"/>
      <c r="G4" s="1034"/>
      <c r="H4" s="1034"/>
      <c r="I4" s="1034"/>
      <c r="J4" s="1034"/>
      <c r="K4" s="1034"/>
      <c r="L4" s="1034"/>
      <c r="M4" s="1034"/>
      <c r="N4" s="1034"/>
      <c r="O4" s="1034"/>
      <c r="P4" s="1035">
        <f>'SEAP template'!Q72</f>
        <v>0</v>
      </c>
    </row>
    <row r="5" spans="1:16">
      <c r="A5" s="1036" t="s">
        <v>249</v>
      </c>
      <c r="B5" s="1034">
        <f>'SEAP template'!B73</f>
        <v>0</v>
      </c>
      <c r="C5" s="1034"/>
      <c r="D5" s="1034"/>
      <c r="E5" s="1034"/>
      <c r="F5" s="1034"/>
      <c r="G5" s="1034"/>
      <c r="H5" s="1034"/>
      <c r="I5" s="1034"/>
      <c r="J5" s="1034"/>
      <c r="K5" s="1034"/>
      <c r="L5" s="1034"/>
      <c r="M5" s="1034"/>
      <c r="N5" s="1034"/>
      <c r="O5" s="1034"/>
      <c r="P5" s="1035">
        <f>'SEAP template'!Q73</f>
        <v>0</v>
      </c>
    </row>
    <row r="6" spans="1:16">
      <c r="A6" s="1036" t="s">
        <v>250</v>
      </c>
      <c r="B6" s="1034">
        <f>'SEAP template'!B74</f>
        <v>3139.9713886717409</v>
      </c>
      <c r="C6" s="1034"/>
      <c r="D6" s="1034"/>
      <c r="E6" s="1034"/>
      <c r="F6" s="1034"/>
      <c r="G6" s="1034"/>
      <c r="H6" s="1034"/>
      <c r="I6" s="1034"/>
      <c r="J6" s="1034"/>
      <c r="K6" s="1034"/>
      <c r="L6" s="1034"/>
      <c r="M6" s="1034"/>
      <c r="N6" s="1034"/>
      <c r="O6" s="1034"/>
      <c r="P6" s="1035">
        <f>'SEAP template'!Q74</f>
        <v>0</v>
      </c>
    </row>
    <row r="7" spans="1:16">
      <c r="A7" s="1036" t="s">
        <v>852</v>
      </c>
      <c r="B7" s="1034">
        <f>'SEAP template'!B75</f>
        <v>0</v>
      </c>
      <c r="C7" s="1034"/>
      <c r="D7" s="1034"/>
      <c r="E7" s="1034"/>
      <c r="F7" s="1034"/>
      <c r="G7" s="1034"/>
      <c r="H7" s="1034"/>
      <c r="I7" s="1034"/>
      <c r="J7" s="1034"/>
      <c r="K7" s="1034"/>
      <c r="L7" s="1034"/>
      <c r="M7" s="1034"/>
      <c r="N7" s="1034"/>
      <c r="O7" s="1034"/>
      <c r="P7" s="1035">
        <f>'SEAP template'!Q75</f>
        <v>0</v>
      </c>
    </row>
    <row r="8" spans="1:16">
      <c r="A8" s="1033" t="s">
        <v>251</v>
      </c>
      <c r="B8" s="1034">
        <f>'SEAP template'!B76</f>
        <v>0</v>
      </c>
      <c r="C8" s="1034">
        <f>'SEAP template'!C76</f>
        <v>0</v>
      </c>
      <c r="D8" s="1034">
        <f>'SEAP template'!D76</f>
        <v>0</v>
      </c>
      <c r="E8" s="1034">
        <f>'SEAP template'!E76</f>
        <v>0</v>
      </c>
      <c r="F8" s="1034">
        <f>'SEAP template'!F76</f>
        <v>0</v>
      </c>
      <c r="G8" s="1034">
        <f>'SEAP template'!G76</f>
        <v>0</v>
      </c>
      <c r="H8" s="1034">
        <f>'SEAP template'!H76</f>
        <v>0</v>
      </c>
      <c r="I8" s="1034">
        <f>'SEAP template'!I76</f>
        <v>0</v>
      </c>
      <c r="J8" s="1034">
        <f>'SEAP template'!J76</f>
        <v>0</v>
      </c>
      <c r="K8" s="1034">
        <f>'SEAP template'!K76</f>
        <v>0</v>
      </c>
      <c r="L8" s="1034">
        <f>'SEAP template'!L76</f>
        <v>0</v>
      </c>
      <c r="M8" s="1034">
        <f>'SEAP template'!M76</f>
        <v>0</v>
      </c>
      <c r="N8" s="1034">
        <f>'SEAP template'!N76</f>
        <v>0</v>
      </c>
      <c r="O8" s="1034">
        <f>'SEAP template'!O76</f>
        <v>0</v>
      </c>
      <c r="P8" s="1035">
        <f>'SEAP template'!Q76</f>
        <v>0</v>
      </c>
    </row>
    <row r="9" spans="1:16">
      <c r="A9" s="1037" t="s">
        <v>865</v>
      </c>
      <c r="B9" s="1034">
        <f>'SEAP template'!B77</f>
        <v>0</v>
      </c>
      <c r="C9" s="1034">
        <f>'SEAP template'!C77</f>
        <v>0</v>
      </c>
      <c r="D9" s="1034">
        <f>'SEAP template'!D77</f>
        <v>0</v>
      </c>
      <c r="E9" s="1034">
        <f>'SEAP template'!E77</f>
        <v>0</v>
      </c>
      <c r="F9" s="1034">
        <f>'SEAP template'!F77</f>
        <v>0</v>
      </c>
      <c r="G9" s="1034">
        <f>'SEAP template'!G77</f>
        <v>0</v>
      </c>
      <c r="H9" s="1034">
        <f>'SEAP template'!H77</f>
        <v>0</v>
      </c>
      <c r="I9" s="1034">
        <f>'SEAP template'!I77</f>
        <v>0</v>
      </c>
      <c r="J9" s="1034">
        <f>'SEAP template'!J77</f>
        <v>0</v>
      </c>
      <c r="K9" s="1034">
        <f>'SEAP template'!K77</f>
        <v>0</v>
      </c>
      <c r="L9" s="1034">
        <f>'SEAP template'!L77</f>
        <v>0</v>
      </c>
      <c r="M9" s="1034">
        <f>'SEAP template'!M77</f>
        <v>0</v>
      </c>
      <c r="N9" s="1034">
        <f>'SEAP template'!N77</f>
        <v>0</v>
      </c>
      <c r="O9" s="1034">
        <f>'SEAP template'!O77</f>
        <v>0</v>
      </c>
      <c r="P9" s="1035">
        <f>'SEAP template'!Q77</f>
        <v>0</v>
      </c>
    </row>
    <row r="10" spans="1:16">
      <c r="A10" s="1036" t="s">
        <v>115</v>
      </c>
      <c r="B10" s="1038">
        <f>SUM(B4:B9)</f>
        <v>3139.9713886717409</v>
      </c>
      <c r="C10" s="1038">
        <f>SUM(C4:C9)</f>
        <v>0</v>
      </c>
      <c r="D10" s="1038">
        <f t="shared" ref="D10:H10" si="0">SUM(D8:D9)</f>
        <v>0</v>
      </c>
      <c r="E10" s="1038">
        <f t="shared" si="0"/>
        <v>0</v>
      </c>
      <c r="F10" s="1038">
        <f t="shared" si="0"/>
        <v>0</v>
      </c>
      <c r="G10" s="1038">
        <f t="shared" si="0"/>
        <v>0</v>
      </c>
      <c r="H10" s="1038">
        <f t="shared" si="0"/>
        <v>0</v>
      </c>
      <c r="I10" s="1038">
        <f>SUM(I8:I9)</f>
        <v>0</v>
      </c>
      <c r="J10" s="1038">
        <f>SUM(J8:J9)</f>
        <v>0</v>
      </c>
      <c r="K10" s="1038">
        <f t="shared" ref="K10:L10" si="1">SUM(K8:K9)</f>
        <v>0</v>
      </c>
      <c r="L10" s="1038">
        <f t="shared" si="1"/>
        <v>0</v>
      </c>
      <c r="M10" s="1038">
        <f>SUM(M8:M9)</f>
        <v>0</v>
      </c>
      <c r="N10" s="1038">
        <f>SUM(N8:N9)</f>
        <v>0</v>
      </c>
      <c r="O10" s="1038">
        <f>SUM(O8:O9)</f>
        <v>0</v>
      </c>
      <c r="P10" s="1038">
        <f>SUM(P8:P9)</f>
        <v>0</v>
      </c>
    </row>
    <row r="11" spans="1:16">
      <c r="A11" s="870"/>
      <c r="B11" s="870"/>
      <c r="C11" s="870"/>
      <c r="D11" s="870"/>
      <c r="E11" s="870"/>
      <c r="F11" s="870"/>
      <c r="G11" s="870"/>
      <c r="H11" s="870"/>
      <c r="I11" s="870"/>
      <c r="J11" s="870"/>
      <c r="K11" s="870"/>
      <c r="L11" s="870"/>
      <c r="M11" s="870"/>
      <c r="N11" s="870"/>
      <c r="O11" s="870"/>
      <c r="P11" s="870"/>
    </row>
    <row r="12" spans="1:16">
      <c r="A12" s="462" t="s">
        <v>866</v>
      </c>
      <c r="B12" s="761" t="s">
        <v>867</v>
      </c>
      <c r="C12" s="761">
        <f ca="1">'EF ele_warmte'!B12</f>
        <v>0.19834478833015273</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c r="A17" s="1039" t="s">
        <v>251</v>
      </c>
      <c r="B17" s="1040">
        <f>'SEAP template'!B87</f>
        <v>0</v>
      </c>
      <c r="C17" s="1040">
        <f>'SEAP template'!C87</f>
        <v>0</v>
      </c>
      <c r="D17" s="1035">
        <f>'SEAP template'!D87</f>
        <v>0</v>
      </c>
      <c r="E17" s="1035">
        <f>'SEAP template'!E87</f>
        <v>0</v>
      </c>
      <c r="F17" s="1035">
        <f>'SEAP template'!F87</f>
        <v>0</v>
      </c>
      <c r="G17" s="1035">
        <f>'SEAP template'!G87</f>
        <v>0</v>
      </c>
      <c r="H17" s="1035">
        <f>'SEAP template'!H87</f>
        <v>0</v>
      </c>
      <c r="I17" s="1035">
        <f>'SEAP template'!I87</f>
        <v>0</v>
      </c>
      <c r="J17" s="1035">
        <f>'SEAP template'!J87</f>
        <v>0</v>
      </c>
      <c r="K17" s="1035">
        <f>'SEAP template'!K87</f>
        <v>0</v>
      </c>
      <c r="L17" s="1035">
        <f>'SEAP template'!L87</f>
        <v>0</v>
      </c>
      <c r="M17" s="1035">
        <f>'SEAP template'!M87</f>
        <v>0</v>
      </c>
      <c r="N17" s="1035">
        <f>'SEAP template'!N87</f>
        <v>0</v>
      </c>
      <c r="O17" s="1035">
        <f>'SEAP template'!O87</f>
        <v>0</v>
      </c>
      <c r="P17" s="1035">
        <f>'SEAP template'!Q87</f>
        <v>0</v>
      </c>
    </row>
    <row r="18" spans="1:16">
      <c r="A18" s="1041" t="s">
        <v>257</v>
      </c>
      <c r="B18" s="1040">
        <f>'SEAP template'!B88</f>
        <v>0</v>
      </c>
      <c r="C18" s="1040">
        <f>'SEAP template'!C88</f>
        <v>0</v>
      </c>
      <c r="D18" s="1035">
        <f>'SEAP template'!D88</f>
        <v>0</v>
      </c>
      <c r="E18" s="1035">
        <f>'SEAP template'!E88</f>
        <v>0</v>
      </c>
      <c r="F18" s="1035">
        <f>'SEAP template'!F88</f>
        <v>0</v>
      </c>
      <c r="G18" s="1035">
        <f>'SEAP template'!G88</f>
        <v>0</v>
      </c>
      <c r="H18" s="1035">
        <f>'SEAP template'!H88</f>
        <v>0</v>
      </c>
      <c r="I18" s="1035">
        <f>'SEAP template'!I88</f>
        <v>0</v>
      </c>
      <c r="J18" s="1035">
        <f>'SEAP template'!J88</f>
        <v>0</v>
      </c>
      <c r="K18" s="1035">
        <f>'SEAP template'!K88</f>
        <v>0</v>
      </c>
      <c r="L18" s="1035">
        <f>'SEAP template'!L88</f>
        <v>0</v>
      </c>
      <c r="M18" s="1035">
        <f>'SEAP template'!M88</f>
        <v>0</v>
      </c>
      <c r="N18" s="1035">
        <f>'SEAP template'!N88</f>
        <v>0</v>
      </c>
      <c r="O18" s="1035">
        <f>'SEAP template'!O88</f>
        <v>0</v>
      </c>
      <c r="P18" s="1035">
        <f>'SEAP template'!Q88</f>
        <v>0</v>
      </c>
    </row>
    <row r="19" spans="1:16">
      <c r="A19" s="1037" t="s">
        <v>872</v>
      </c>
      <c r="B19" s="1040">
        <f>'SEAP template'!B89</f>
        <v>0</v>
      </c>
      <c r="C19" s="1040">
        <f>'SEAP template'!C89</f>
        <v>0</v>
      </c>
      <c r="D19" s="1035">
        <f>'SEAP template'!D89</f>
        <v>0</v>
      </c>
      <c r="E19" s="1035">
        <f>'SEAP template'!E89</f>
        <v>0</v>
      </c>
      <c r="F19" s="1035">
        <f>'SEAP template'!F89</f>
        <v>0</v>
      </c>
      <c r="G19" s="1035">
        <f>'SEAP template'!G89</f>
        <v>0</v>
      </c>
      <c r="H19" s="1035">
        <f>'SEAP template'!H89</f>
        <v>0</v>
      </c>
      <c r="I19" s="1035">
        <f>'SEAP template'!I89</f>
        <v>0</v>
      </c>
      <c r="J19" s="1035">
        <f>'SEAP template'!J89</f>
        <v>0</v>
      </c>
      <c r="K19" s="1035">
        <f>'SEAP template'!K89</f>
        <v>0</v>
      </c>
      <c r="L19" s="1035">
        <f>'SEAP template'!L89</f>
        <v>0</v>
      </c>
      <c r="M19" s="1035">
        <f>'SEAP template'!M89</f>
        <v>0</v>
      </c>
      <c r="N19" s="1035">
        <f>'SEAP template'!N89</f>
        <v>0</v>
      </c>
      <c r="O19" s="1035">
        <f>'SEAP template'!O89</f>
        <v>0</v>
      </c>
      <c r="P19" s="1035">
        <f>'SEAP template'!Q89</f>
        <v>0</v>
      </c>
    </row>
    <row r="20" spans="1:16">
      <c r="A20" s="1042" t="s">
        <v>115</v>
      </c>
      <c r="B20" s="1038">
        <f>SUM(B17:B19)</f>
        <v>0</v>
      </c>
      <c r="C20" s="1038">
        <f>SUM(C17:C19)</f>
        <v>0</v>
      </c>
      <c r="D20" s="1038">
        <f t="shared" ref="D20:H20" si="2">SUM(D17:D19)</f>
        <v>0</v>
      </c>
      <c r="E20" s="1038">
        <f t="shared" si="2"/>
        <v>0</v>
      </c>
      <c r="F20" s="1038">
        <f t="shared" si="2"/>
        <v>0</v>
      </c>
      <c r="G20" s="1038">
        <f t="shared" si="2"/>
        <v>0</v>
      </c>
      <c r="H20" s="1038">
        <f t="shared" si="2"/>
        <v>0</v>
      </c>
      <c r="I20" s="1038">
        <f>SUM(I17:I19)</f>
        <v>0</v>
      </c>
      <c r="J20" s="1038">
        <f>SUM(J17:J19)</f>
        <v>0</v>
      </c>
      <c r="K20" s="1038">
        <f t="shared" ref="K20:L20" si="3">SUM(K17:K19)</f>
        <v>0</v>
      </c>
      <c r="L20" s="1038">
        <f t="shared" si="3"/>
        <v>0</v>
      </c>
      <c r="M20" s="1038">
        <f>SUM(M17:M19)</f>
        <v>0</v>
      </c>
      <c r="N20" s="1038">
        <f>SUM(N17:N19)</f>
        <v>0</v>
      </c>
      <c r="O20" s="1038">
        <f>SUM(O17:O19)</f>
        <v>0</v>
      </c>
      <c r="P20" s="1038">
        <f>SUM(P17:P19)</f>
        <v>0</v>
      </c>
    </row>
    <row r="22" spans="1:16">
      <c r="A22" s="462" t="s">
        <v>873</v>
      </c>
      <c r="B22" s="761" t="s">
        <v>867</v>
      </c>
      <c r="C22" s="761">
        <f ca="1">'EF ele_warmte'!B22</f>
        <v>0</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2"/>
  <sheetViews>
    <sheetView workbookViewId="0">
      <selection activeCell="A5" sqref="A5"/>
    </sheetView>
  </sheetViews>
  <sheetFormatPr defaultColWidth="9.140625" defaultRowHeight="15"/>
  <cols>
    <col min="1" max="1" width="49.5703125" style="863" customWidth="1"/>
    <col min="2" max="2" width="23.5703125" style="863" customWidth="1"/>
    <col min="3" max="3" width="25.28515625" style="863" customWidth="1"/>
    <col min="4" max="10" width="18.42578125" style="863" bestFit="1" customWidth="1"/>
    <col min="11" max="11" width="24.28515625" style="863" bestFit="1" customWidth="1"/>
    <col min="12" max="12" width="22.42578125" style="863" bestFit="1" customWidth="1"/>
    <col min="13" max="13" width="18.42578125" style="863" bestFit="1" customWidth="1"/>
    <col min="14" max="14" width="28.42578125" style="863" bestFit="1" customWidth="1"/>
    <col min="15" max="15" width="18.42578125" style="863" bestFit="1" customWidth="1"/>
    <col min="16" max="16" width="16.7109375" style="863" customWidth="1"/>
    <col min="17" max="16384" width="9.140625" style="863"/>
  </cols>
  <sheetData>
    <row r="1" spans="1:16" ht="15.75">
      <c r="A1" s="1186" t="s">
        <v>240</v>
      </c>
      <c r="B1" s="1187" t="s">
        <v>350</v>
      </c>
      <c r="C1" s="1187"/>
      <c r="D1" s="1188" t="s">
        <v>351</v>
      </c>
      <c r="E1" s="1188"/>
      <c r="F1" s="1188"/>
      <c r="G1" s="1188"/>
      <c r="H1" s="1188"/>
      <c r="I1" s="1188"/>
      <c r="J1" s="1188"/>
      <c r="K1" s="1188"/>
      <c r="L1" s="1188"/>
      <c r="M1" s="1188"/>
      <c r="N1" s="1188"/>
      <c r="O1" s="1188"/>
      <c r="P1" s="1187" t="s">
        <v>859</v>
      </c>
    </row>
    <row r="2" spans="1:16" ht="15.75">
      <c r="A2" s="1186"/>
      <c r="B2" s="1187"/>
      <c r="C2" s="1187"/>
      <c r="D2" s="1188" t="s">
        <v>196</v>
      </c>
      <c r="E2" s="1188"/>
      <c r="F2" s="1188"/>
      <c r="G2" s="1188"/>
      <c r="H2" s="1188"/>
      <c r="I2" s="1032" t="s">
        <v>860</v>
      </c>
      <c r="J2" s="1032" t="s">
        <v>233</v>
      </c>
      <c r="K2" s="1032" t="s">
        <v>861</v>
      </c>
      <c r="L2" s="1032" t="s">
        <v>852</v>
      </c>
      <c r="M2" s="1032" t="s">
        <v>244</v>
      </c>
      <c r="N2" s="1032" t="s">
        <v>862</v>
      </c>
      <c r="O2" s="1032" t="s">
        <v>126</v>
      </c>
      <c r="P2" s="1187"/>
    </row>
    <row r="3" spans="1:16" ht="30">
      <c r="A3" s="1186"/>
      <c r="B3" s="1032" t="s">
        <v>863</v>
      </c>
      <c r="C3" s="1032" t="s">
        <v>864</v>
      </c>
      <c r="D3" s="1032" t="s">
        <v>198</v>
      </c>
      <c r="E3" s="1032" t="s">
        <v>199</v>
      </c>
      <c r="F3" s="1032" t="s">
        <v>200</v>
      </c>
      <c r="G3" s="1032" t="s">
        <v>202</v>
      </c>
      <c r="H3" s="1032" t="s">
        <v>203</v>
      </c>
      <c r="I3" s="1032"/>
      <c r="J3" s="1032"/>
      <c r="K3" s="1032"/>
      <c r="L3" s="1032"/>
      <c r="M3" s="1032"/>
      <c r="N3" s="1032"/>
      <c r="O3" s="1032"/>
      <c r="P3" s="1187"/>
    </row>
    <row r="4" spans="1:16" ht="135">
      <c r="A4" s="1043" t="s">
        <v>248</v>
      </c>
      <c r="B4" s="1044" t="s">
        <v>874</v>
      </c>
      <c r="C4" s="1045" t="s">
        <v>818</v>
      </c>
      <c r="D4" s="1045" t="s">
        <v>818</v>
      </c>
      <c r="E4" s="1045" t="s">
        <v>818</v>
      </c>
      <c r="F4" s="1045" t="s">
        <v>818</v>
      </c>
      <c r="G4" s="1045" t="s">
        <v>818</v>
      </c>
      <c r="H4" s="1045" t="s">
        <v>818</v>
      </c>
      <c r="I4" s="1045" t="s">
        <v>818</v>
      </c>
      <c r="J4" s="1045" t="s">
        <v>818</v>
      </c>
      <c r="K4" s="1045" t="s">
        <v>818</v>
      </c>
      <c r="L4" s="1045" t="s">
        <v>818</v>
      </c>
      <c r="M4" s="1045" t="s">
        <v>818</v>
      </c>
      <c r="N4" s="1045" t="s">
        <v>818</v>
      </c>
      <c r="O4" s="1045" t="s">
        <v>818</v>
      </c>
      <c r="P4" s="1046" t="s">
        <v>875</v>
      </c>
    </row>
    <row r="5" spans="1:16" ht="135">
      <c r="A5" s="1047" t="s">
        <v>249</v>
      </c>
      <c r="B5" s="1044" t="s">
        <v>874</v>
      </c>
      <c r="C5" s="1045" t="s">
        <v>818</v>
      </c>
      <c r="D5" s="1045" t="s">
        <v>818</v>
      </c>
      <c r="E5" s="1045" t="s">
        <v>818</v>
      </c>
      <c r="F5" s="1045" t="s">
        <v>818</v>
      </c>
      <c r="G5" s="1045" t="s">
        <v>818</v>
      </c>
      <c r="H5" s="1045" t="s">
        <v>818</v>
      </c>
      <c r="I5" s="1045" t="s">
        <v>818</v>
      </c>
      <c r="J5" s="1045" t="s">
        <v>818</v>
      </c>
      <c r="K5" s="1045" t="s">
        <v>818</v>
      </c>
      <c r="L5" s="1045" t="s">
        <v>818</v>
      </c>
      <c r="M5" s="1045" t="s">
        <v>818</v>
      </c>
      <c r="N5" s="1045" t="s">
        <v>818</v>
      </c>
      <c r="O5" s="1045" t="s">
        <v>818</v>
      </c>
      <c r="P5" s="1046" t="s">
        <v>875</v>
      </c>
    </row>
    <row r="6" spans="1:16" ht="135">
      <c r="A6" s="1047" t="s">
        <v>250</v>
      </c>
      <c r="B6" s="1044" t="s">
        <v>874</v>
      </c>
      <c r="C6" s="1045" t="s">
        <v>818</v>
      </c>
      <c r="D6" s="1045" t="s">
        <v>818</v>
      </c>
      <c r="E6" s="1045" t="s">
        <v>818</v>
      </c>
      <c r="F6" s="1045" t="s">
        <v>818</v>
      </c>
      <c r="G6" s="1045" t="s">
        <v>818</v>
      </c>
      <c r="H6" s="1045" t="s">
        <v>818</v>
      </c>
      <c r="I6" s="1045" t="s">
        <v>818</v>
      </c>
      <c r="J6" s="1045" t="s">
        <v>818</v>
      </c>
      <c r="K6" s="1045" t="s">
        <v>818</v>
      </c>
      <c r="L6" s="1045" t="s">
        <v>818</v>
      </c>
      <c r="M6" s="1045" t="s">
        <v>818</v>
      </c>
      <c r="N6" s="1045" t="s">
        <v>818</v>
      </c>
      <c r="O6" s="1045" t="s">
        <v>818</v>
      </c>
      <c r="P6" s="1046" t="s">
        <v>875</v>
      </c>
    </row>
    <row r="7" spans="1:16" ht="135">
      <c r="A7" s="1047" t="s">
        <v>852</v>
      </c>
      <c r="B7" s="1045" t="s">
        <v>818</v>
      </c>
      <c r="C7" s="1045" t="s">
        <v>818</v>
      </c>
      <c r="D7" s="1045" t="s">
        <v>818</v>
      </c>
      <c r="E7" s="1045" t="s">
        <v>818</v>
      </c>
      <c r="F7" s="1045" t="s">
        <v>818</v>
      </c>
      <c r="G7" s="1045" t="s">
        <v>818</v>
      </c>
      <c r="H7" s="1045" t="s">
        <v>818</v>
      </c>
      <c r="I7" s="1045" t="s">
        <v>818</v>
      </c>
      <c r="J7" s="1045" t="s">
        <v>818</v>
      </c>
      <c r="K7" s="1045" t="s">
        <v>818</v>
      </c>
      <c r="L7" s="1045" t="s">
        <v>818</v>
      </c>
      <c r="M7" s="1045" t="s">
        <v>818</v>
      </c>
      <c r="N7" s="1045" t="s">
        <v>818</v>
      </c>
      <c r="O7" s="1045" t="s">
        <v>818</v>
      </c>
      <c r="P7" s="1046" t="s">
        <v>875</v>
      </c>
    </row>
    <row r="8" spans="1:16" ht="210">
      <c r="A8" s="1043" t="s">
        <v>251</v>
      </c>
      <c r="B8" s="1044" t="s">
        <v>876</v>
      </c>
      <c r="C8" s="1044" t="s">
        <v>876</v>
      </c>
      <c r="D8" s="1044" t="s">
        <v>876</v>
      </c>
      <c r="E8" s="1044" t="s">
        <v>876</v>
      </c>
      <c r="F8" s="1044" t="s">
        <v>876</v>
      </c>
      <c r="G8" s="1044" t="s">
        <v>876</v>
      </c>
      <c r="H8" s="1044" t="s">
        <v>876</v>
      </c>
      <c r="I8" s="1044" t="s">
        <v>876</v>
      </c>
      <c r="J8" s="1044" t="s">
        <v>876</v>
      </c>
      <c r="K8" s="1045" t="s">
        <v>818</v>
      </c>
      <c r="L8" s="1045" t="s">
        <v>818</v>
      </c>
      <c r="M8" s="1045" t="s">
        <v>818</v>
      </c>
      <c r="N8" s="1044" t="s">
        <v>877</v>
      </c>
      <c r="O8" s="1044" t="s">
        <v>877</v>
      </c>
      <c r="P8" s="1048"/>
    </row>
    <row r="9" spans="1:16" ht="210">
      <c r="A9" s="1049" t="s">
        <v>865</v>
      </c>
      <c r="B9" s="1044" t="s">
        <v>877</v>
      </c>
      <c r="C9" s="1044" t="s">
        <v>877</v>
      </c>
      <c r="D9" s="1044" t="s">
        <v>877</v>
      </c>
      <c r="E9" s="1044" t="s">
        <v>877</v>
      </c>
      <c r="F9" s="1044" t="s">
        <v>877</v>
      </c>
      <c r="G9" s="1044" t="s">
        <v>877</v>
      </c>
      <c r="H9" s="1044" t="s">
        <v>877</v>
      </c>
      <c r="I9" s="1044" t="s">
        <v>877</v>
      </c>
      <c r="J9" s="1044" t="s">
        <v>877</v>
      </c>
      <c r="K9" s="1045" t="s">
        <v>818</v>
      </c>
      <c r="L9" s="1044" t="s">
        <v>877</v>
      </c>
      <c r="M9" s="1044" t="s">
        <v>877</v>
      </c>
      <c r="N9" s="1044" t="s">
        <v>877</v>
      </c>
      <c r="O9" s="1044" t="s">
        <v>877</v>
      </c>
      <c r="P9" s="1048"/>
    </row>
    <row r="10" spans="1:16">
      <c r="A10" s="1047" t="s">
        <v>115</v>
      </c>
      <c r="B10" s="1050"/>
      <c r="C10" s="1050"/>
      <c r="D10" s="1050"/>
      <c r="E10" s="1050"/>
      <c r="F10" s="1050"/>
      <c r="G10" s="1050"/>
      <c r="H10" s="1050"/>
      <c r="I10" s="1050"/>
      <c r="J10" s="1050"/>
      <c r="K10" s="1050"/>
      <c r="L10" s="1050"/>
      <c r="M10" s="1050"/>
      <c r="N10" s="1050"/>
      <c r="O10" s="1050"/>
      <c r="P10" s="1050"/>
    </row>
    <row r="11" spans="1:16">
      <c r="A11" s="870"/>
      <c r="B11" s="870"/>
      <c r="C11" s="870"/>
      <c r="D11" s="870"/>
      <c r="E11" s="870"/>
      <c r="F11" s="870"/>
      <c r="G11" s="870"/>
      <c r="H11" s="870"/>
      <c r="I11" s="870"/>
      <c r="J11" s="870"/>
      <c r="K11" s="870"/>
      <c r="L11" s="870"/>
      <c r="M11" s="870"/>
      <c r="N11" s="870"/>
      <c r="O11" s="870"/>
      <c r="P11" s="870"/>
    </row>
    <row r="12" spans="1:16" ht="150">
      <c r="A12" s="462" t="s">
        <v>866</v>
      </c>
      <c r="B12" s="761" t="s">
        <v>867</v>
      </c>
      <c r="C12" s="1051" t="s">
        <v>878</v>
      </c>
      <c r="D12" s="870"/>
      <c r="E12" s="870"/>
      <c r="F12" s="870"/>
      <c r="G12" s="870"/>
      <c r="H12" s="870"/>
      <c r="I12" s="870"/>
      <c r="J12" s="870"/>
      <c r="K12" s="870"/>
      <c r="L12" s="870"/>
      <c r="M12" s="870"/>
      <c r="N12" s="870"/>
      <c r="O12" s="870"/>
      <c r="P12" s="870"/>
    </row>
    <row r="13" spans="1:16">
      <c r="A13" s="870"/>
      <c r="B13" s="870"/>
      <c r="C13" s="870"/>
      <c r="D13" s="870"/>
      <c r="E13" s="870"/>
      <c r="F13" s="870"/>
      <c r="G13" s="870"/>
      <c r="H13" s="870"/>
      <c r="I13" s="870"/>
      <c r="J13" s="870"/>
      <c r="K13" s="870"/>
      <c r="L13" s="870"/>
      <c r="M13" s="870"/>
      <c r="N13" s="870"/>
      <c r="O13" s="870"/>
      <c r="P13" s="870"/>
    </row>
    <row r="14" spans="1:16" ht="15.75">
      <c r="A14" s="1186" t="s">
        <v>252</v>
      </c>
      <c r="B14" s="1187" t="s">
        <v>354</v>
      </c>
      <c r="C14" s="1187"/>
      <c r="D14" s="1188" t="s">
        <v>355</v>
      </c>
      <c r="E14" s="1188"/>
      <c r="F14" s="1188"/>
      <c r="G14" s="1188"/>
      <c r="H14" s="1188"/>
      <c r="I14" s="1188"/>
      <c r="J14" s="1188"/>
      <c r="K14" s="1188"/>
      <c r="L14" s="1188"/>
      <c r="M14" s="1188"/>
      <c r="N14" s="1188"/>
      <c r="O14" s="1188"/>
      <c r="P14" s="1187" t="s">
        <v>868</v>
      </c>
    </row>
    <row r="15" spans="1:16">
      <c r="A15" s="1186"/>
      <c r="B15" s="1187"/>
      <c r="C15" s="1187"/>
      <c r="D15" s="1189" t="s">
        <v>196</v>
      </c>
      <c r="E15" s="1189"/>
      <c r="F15" s="1189"/>
      <c r="G15" s="1189"/>
      <c r="H15" s="1189"/>
      <c r="I15" s="1187" t="s">
        <v>860</v>
      </c>
      <c r="J15" s="1187" t="s">
        <v>233</v>
      </c>
      <c r="K15" s="1187" t="s">
        <v>861</v>
      </c>
      <c r="L15" s="1187" t="s">
        <v>852</v>
      </c>
      <c r="M15" s="1187" t="s">
        <v>244</v>
      </c>
      <c r="N15" s="1187" t="s">
        <v>869</v>
      </c>
      <c r="O15" s="1187" t="s">
        <v>126</v>
      </c>
      <c r="P15" s="1187"/>
    </row>
    <row r="16" spans="1:16" ht="30">
      <c r="A16" s="1186"/>
      <c r="B16" s="1032" t="s">
        <v>870</v>
      </c>
      <c r="C16" s="1032" t="s">
        <v>871</v>
      </c>
      <c r="D16" s="1032" t="s">
        <v>198</v>
      </c>
      <c r="E16" s="1032" t="s">
        <v>199</v>
      </c>
      <c r="F16" s="1032" t="s">
        <v>200</v>
      </c>
      <c r="G16" s="1032" t="s">
        <v>202</v>
      </c>
      <c r="H16" s="1032" t="s">
        <v>203</v>
      </c>
      <c r="I16" s="1187"/>
      <c r="J16" s="1187"/>
      <c r="K16" s="1187"/>
      <c r="L16" s="1187"/>
      <c r="M16" s="1187"/>
      <c r="N16" s="1187"/>
      <c r="O16" s="1190"/>
      <c r="P16" s="1187"/>
    </row>
    <row r="17" spans="1:16" ht="210">
      <c r="A17" s="1039" t="s">
        <v>251</v>
      </c>
      <c r="B17" s="1044" t="s">
        <v>877</v>
      </c>
      <c r="C17" s="1044" t="s">
        <v>877</v>
      </c>
      <c r="D17" s="1044" t="s">
        <v>877</v>
      </c>
      <c r="E17" s="1044" t="s">
        <v>877</v>
      </c>
      <c r="F17" s="1044" t="s">
        <v>877</v>
      </c>
      <c r="G17" s="1044" t="s">
        <v>877</v>
      </c>
      <c r="H17" s="1044" t="s">
        <v>877</v>
      </c>
      <c r="I17" s="1044" t="s">
        <v>877</v>
      </c>
      <c r="J17" s="1044" t="s">
        <v>877</v>
      </c>
      <c r="K17" s="1045" t="s">
        <v>818</v>
      </c>
      <c r="L17" s="1045" t="s">
        <v>818</v>
      </c>
      <c r="M17" s="1045" t="s">
        <v>818</v>
      </c>
      <c r="N17" s="1044" t="s">
        <v>877</v>
      </c>
      <c r="O17" s="1044" t="s">
        <v>877</v>
      </c>
      <c r="P17" s="1052"/>
    </row>
    <row r="18" spans="1:16" ht="45">
      <c r="A18" s="1041" t="s">
        <v>257</v>
      </c>
      <c r="B18" s="1046" t="s">
        <v>841</v>
      </c>
      <c r="C18" s="1046" t="s">
        <v>841</v>
      </c>
      <c r="D18" s="1046" t="s">
        <v>841</v>
      </c>
      <c r="E18" s="1046" t="s">
        <v>841</v>
      </c>
      <c r="F18" s="1046" t="s">
        <v>841</v>
      </c>
      <c r="G18" s="1046" t="s">
        <v>841</v>
      </c>
      <c r="H18" s="1046" t="s">
        <v>841</v>
      </c>
      <c r="I18" s="1046" t="s">
        <v>841</v>
      </c>
      <c r="J18" s="1046" t="s">
        <v>841</v>
      </c>
      <c r="K18" s="1046" t="s">
        <v>841</v>
      </c>
      <c r="L18" s="1046" t="s">
        <v>841</v>
      </c>
      <c r="M18" s="1046" t="s">
        <v>841</v>
      </c>
      <c r="N18" s="1046" t="s">
        <v>841</v>
      </c>
      <c r="O18" s="1046" t="s">
        <v>841</v>
      </c>
      <c r="P18" s="1046" t="s">
        <v>841</v>
      </c>
    </row>
    <row r="19" spans="1:16" ht="45">
      <c r="A19" s="1037" t="s">
        <v>872</v>
      </c>
      <c r="B19" s="1046" t="s">
        <v>841</v>
      </c>
      <c r="C19" s="1046" t="s">
        <v>841</v>
      </c>
      <c r="D19" s="1046" t="s">
        <v>841</v>
      </c>
      <c r="E19" s="1046" t="s">
        <v>841</v>
      </c>
      <c r="F19" s="1046" t="s">
        <v>841</v>
      </c>
      <c r="G19" s="1046" t="s">
        <v>841</v>
      </c>
      <c r="H19" s="1046" t="s">
        <v>841</v>
      </c>
      <c r="I19" s="1046" t="s">
        <v>841</v>
      </c>
      <c r="J19" s="1046" t="s">
        <v>841</v>
      </c>
      <c r="K19" s="1046" t="s">
        <v>841</v>
      </c>
      <c r="L19" s="1046" t="s">
        <v>841</v>
      </c>
      <c r="M19" s="1046" t="s">
        <v>841</v>
      </c>
      <c r="N19" s="1046" t="s">
        <v>841</v>
      </c>
      <c r="O19" s="1046" t="s">
        <v>841</v>
      </c>
      <c r="P19" s="1046" t="s">
        <v>841</v>
      </c>
    </row>
    <row r="20" spans="1:16">
      <c r="A20" s="1042" t="s">
        <v>115</v>
      </c>
      <c r="B20" s="1038"/>
      <c r="C20" s="1038"/>
      <c r="D20" s="1038"/>
      <c r="E20" s="1038"/>
      <c r="F20" s="1038"/>
      <c r="G20" s="1038"/>
      <c r="H20" s="1038"/>
      <c r="I20" s="1038"/>
      <c r="J20" s="1038"/>
      <c r="K20" s="1038"/>
      <c r="L20" s="1038"/>
      <c r="M20" s="1038"/>
      <c r="N20" s="1038"/>
      <c r="O20" s="1038"/>
      <c r="P20" s="1038"/>
    </row>
    <row r="22" spans="1:16" ht="90">
      <c r="A22" s="462" t="s">
        <v>873</v>
      </c>
      <c r="B22" s="761" t="s">
        <v>867</v>
      </c>
      <c r="C22" s="1051" t="s">
        <v>879</v>
      </c>
    </row>
  </sheetData>
  <mergeCells count="17">
    <mergeCell ref="A14:A16"/>
    <mergeCell ref="B14:C15"/>
    <mergeCell ref="D14:O14"/>
    <mergeCell ref="P14:P16"/>
    <mergeCell ref="D15:H15"/>
    <mergeCell ref="O15:O16"/>
    <mergeCell ref="I15:I16"/>
    <mergeCell ref="J15:J16"/>
    <mergeCell ref="K15:K16"/>
    <mergeCell ref="L15:L16"/>
    <mergeCell ref="M15:M16"/>
    <mergeCell ref="N15:N16"/>
    <mergeCell ref="A1:A3"/>
    <mergeCell ref="B1:C2"/>
    <mergeCell ref="D1:O1"/>
    <mergeCell ref="P1:P3"/>
    <mergeCell ref="D2:H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sheetPr>
  <dimension ref="A1:C16"/>
  <sheetViews>
    <sheetView showGridLines="0" workbookViewId="0">
      <selection activeCell="C14" sqref="C14"/>
    </sheetView>
  </sheetViews>
  <sheetFormatPr defaultRowHeight="15"/>
  <cols>
    <col min="1" max="1" width="39.140625" bestFit="1" customWidth="1"/>
    <col min="2" max="2" width="86.7109375" customWidth="1"/>
    <col min="3" max="3" width="132.85546875" bestFit="1" customWidth="1"/>
  </cols>
  <sheetData>
    <row r="1" spans="1:3" ht="15.75" thickBot="1"/>
    <row r="2" spans="1:3" s="11" customFormat="1" ht="54.75" customHeight="1" thickBot="1">
      <c r="A2" s="135" t="s">
        <v>382</v>
      </c>
      <c r="B2" s="110"/>
      <c r="C2" s="111"/>
    </row>
    <row r="3" spans="1:3" s="15" customFormat="1" ht="15.75">
      <c r="A3" s="98"/>
      <c r="B3" s="70"/>
      <c r="C3" s="99"/>
    </row>
    <row r="4" spans="1:3">
      <c r="A4" s="95" t="s">
        <v>362</v>
      </c>
      <c r="B4" s="69" t="s">
        <v>374</v>
      </c>
      <c r="C4" s="100" t="s">
        <v>373</v>
      </c>
    </row>
    <row r="5" spans="1:3">
      <c r="A5" s="112"/>
      <c r="B5" s="43"/>
      <c r="C5" s="96"/>
    </row>
    <row r="6" spans="1:3" ht="30">
      <c r="A6" s="113" t="s">
        <v>587</v>
      </c>
      <c r="B6" s="75" t="s">
        <v>588</v>
      </c>
      <c r="C6" s="435" t="s">
        <v>571</v>
      </c>
    </row>
    <row r="7" spans="1:3">
      <c r="A7" s="125"/>
      <c r="B7" s="129"/>
      <c r="C7" s="122"/>
    </row>
    <row r="8" spans="1:3">
      <c r="A8" s="113" t="s">
        <v>590</v>
      </c>
      <c r="B8" s="75" t="s">
        <v>589</v>
      </c>
      <c r="C8" s="435" t="s">
        <v>386</v>
      </c>
    </row>
    <row r="9" spans="1:3">
      <c r="A9" s="125"/>
      <c r="B9" s="129"/>
      <c r="C9" s="122"/>
    </row>
    <row r="10" spans="1:3">
      <c r="A10" s="113" t="s">
        <v>327</v>
      </c>
      <c r="B10" s="75" t="s">
        <v>384</v>
      </c>
      <c r="C10" s="114" t="s">
        <v>386</v>
      </c>
    </row>
    <row r="11" spans="1:3">
      <c r="A11" s="125"/>
      <c r="B11" s="129"/>
      <c r="C11" s="122"/>
    </row>
    <row r="12" spans="1:3" ht="30">
      <c r="A12" s="113" t="s">
        <v>412</v>
      </c>
      <c r="B12" s="75" t="s">
        <v>530</v>
      </c>
      <c r="C12" s="312" t="s">
        <v>624</v>
      </c>
    </row>
    <row r="13" spans="1:3">
      <c r="A13" s="140"/>
      <c r="B13" s="124"/>
      <c r="C13" s="300"/>
    </row>
    <row r="14" spans="1:3" s="11" customFormat="1">
      <c r="A14" s="113" t="s">
        <v>607</v>
      </c>
      <c r="B14" s="130" t="s">
        <v>608</v>
      </c>
      <c r="C14" s="131" t="s">
        <v>609</v>
      </c>
    </row>
    <row r="15" spans="1:3" s="11" customFormat="1">
      <c r="A15" s="140"/>
      <c r="B15" s="158"/>
      <c r="C15" s="159"/>
    </row>
    <row r="16" spans="1:3" ht="21">
      <c r="A16" s="126" t="s">
        <v>475</v>
      </c>
      <c r="B16" s="125"/>
      <c r="C16" s="122"/>
    </row>
  </sheetData>
  <hyperlinks>
    <hyperlink ref="A6" location="'Eigen gebouwen'!A1" display="Eigen gebouwen"/>
    <hyperlink ref="A10" location="'Eigen vloot'!A1" display="Eigen vloot"/>
    <hyperlink ref="A8" location="'Eigen openbare verlichting'!A1" display="Eigen openbare verlichting"/>
    <hyperlink ref="A12" location="'Eigen informatie GS &amp; warmtenet'!A1" display="Eigen informatie GS &amp; warmtenet"/>
    <hyperlink ref="A14" location="Conversiefactoren!A1" display="Conversiefactoren"/>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sheetPr>
  <dimension ref="A1:P35"/>
  <sheetViews>
    <sheetView showGridLines="0" zoomScale="71" zoomScaleNormal="71" workbookViewId="0">
      <selection activeCell="F40" sqref="F40"/>
    </sheetView>
  </sheetViews>
  <sheetFormatPr defaultColWidth="9.140625" defaultRowHeight="15" outlineLevelRow="1"/>
  <cols>
    <col min="1" max="1" width="51.7109375" style="450" customWidth="1"/>
    <col min="2" max="2" width="15" style="450" customWidth="1"/>
    <col min="3" max="3" width="25.140625" style="450" customWidth="1"/>
    <col min="4" max="4" width="15" style="450" customWidth="1"/>
    <col min="5" max="5" width="40.5703125" style="450" customWidth="1"/>
    <col min="6" max="6" width="14.85546875" style="450" customWidth="1"/>
    <col min="7" max="7" width="8.5703125" style="450" bestFit="1" customWidth="1"/>
    <col min="8" max="8" width="10.85546875" style="450" bestFit="1" customWidth="1"/>
    <col min="9" max="9" width="15.7109375" style="450" customWidth="1"/>
    <col min="10" max="10" width="15.42578125" style="450" customWidth="1"/>
    <col min="11" max="11" width="17.42578125" style="450" customWidth="1"/>
    <col min="12" max="12" width="14.5703125" style="450" customWidth="1"/>
    <col min="13" max="13" width="15.5703125" style="450" customWidth="1"/>
    <col min="14" max="14" width="17.85546875" style="450" customWidth="1"/>
    <col min="15" max="15" width="35.7109375" style="450" customWidth="1"/>
    <col min="16" max="16" width="43.5703125" style="450" customWidth="1"/>
    <col min="17" max="17" width="9.140625" style="450"/>
    <col min="18" max="18" width="20.42578125" style="450" customWidth="1"/>
    <col min="19" max="16384" width="9.140625" style="450"/>
  </cols>
  <sheetData>
    <row r="1" spans="1:16" ht="15.75" customHeight="1" outlineLevel="1" thickTop="1" thickBot="1">
      <c r="A1" s="1191" t="s">
        <v>385</v>
      </c>
      <c r="B1" s="1192" t="s">
        <v>194</v>
      </c>
      <c r="C1" s="1193"/>
      <c r="D1" s="1193"/>
      <c r="E1" s="1193"/>
      <c r="F1" s="1193"/>
      <c r="G1" s="1193"/>
      <c r="H1" s="1193"/>
      <c r="I1" s="1193"/>
      <c r="J1" s="1193"/>
      <c r="K1" s="1193"/>
      <c r="L1" s="1193"/>
      <c r="M1" s="1193"/>
      <c r="N1" s="1193"/>
      <c r="O1" s="1193"/>
      <c r="P1" s="1193"/>
    </row>
    <row r="2" spans="1:16" ht="15" customHeight="1" outlineLevel="1" thickTop="1">
      <c r="A2" s="1191"/>
      <c r="B2" s="1194" t="s">
        <v>20</v>
      </c>
      <c r="C2" s="1194" t="s">
        <v>195</v>
      </c>
      <c r="D2" s="1195" t="s">
        <v>196</v>
      </c>
      <c r="E2" s="1196"/>
      <c r="F2" s="1196"/>
      <c r="G2" s="1196"/>
      <c r="H2" s="1196"/>
      <c r="I2" s="1196"/>
      <c r="J2" s="1196"/>
      <c r="K2" s="1197"/>
      <c r="L2" s="1195" t="s">
        <v>197</v>
      </c>
      <c r="M2" s="1196"/>
      <c r="N2" s="1196"/>
      <c r="O2" s="1196"/>
      <c r="P2" s="1197"/>
    </row>
    <row r="3" spans="1:16" ht="56.25" customHeight="1" outlineLevel="1">
      <c r="A3" s="1191"/>
      <c r="B3" s="1174"/>
      <c r="C3" s="1174"/>
      <c r="D3" s="449" t="s">
        <v>198</v>
      </c>
      <c r="E3" s="449" t="s">
        <v>199</v>
      </c>
      <c r="F3" s="449" t="s">
        <v>200</v>
      </c>
      <c r="G3" s="449" t="s">
        <v>201</v>
      </c>
      <c r="H3" s="449" t="s">
        <v>119</v>
      </c>
      <c r="I3" s="449" t="s">
        <v>202</v>
      </c>
      <c r="J3" s="449" t="s">
        <v>203</v>
      </c>
      <c r="K3" s="449" t="s">
        <v>204</v>
      </c>
      <c r="L3" s="449" t="s">
        <v>205</v>
      </c>
      <c r="M3" s="449" t="s">
        <v>206</v>
      </c>
      <c r="N3" s="449" t="s">
        <v>207</v>
      </c>
      <c r="O3" s="449" t="s">
        <v>208</v>
      </c>
      <c r="P3" s="449" t="s">
        <v>209</v>
      </c>
    </row>
    <row r="4" spans="1:16" outlineLevel="1">
      <c r="A4" s="669" t="s">
        <v>619</v>
      </c>
      <c r="B4" s="465"/>
      <c r="C4" s="465"/>
      <c r="D4" s="465"/>
      <c r="E4" s="465"/>
      <c r="F4" s="465"/>
      <c r="G4" s="497"/>
      <c r="H4" s="497"/>
      <c r="I4" s="465"/>
      <c r="J4" s="465"/>
      <c r="K4" s="465"/>
      <c r="L4" s="465"/>
      <c r="M4" s="465"/>
      <c r="N4" s="465"/>
      <c r="O4" s="465"/>
      <c r="P4" s="465"/>
    </row>
    <row r="5" spans="1:16" outlineLevel="1">
      <c r="A5" s="669" t="s">
        <v>620</v>
      </c>
      <c r="B5" s="465"/>
      <c r="C5" s="465"/>
      <c r="D5" s="465"/>
      <c r="E5" s="465"/>
      <c r="F5" s="465"/>
      <c r="G5" s="497"/>
      <c r="H5" s="497"/>
      <c r="I5" s="465"/>
      <c r="J5" s="465"/>
      <c r="K5" s="465"/>
      <c r="L5" s="465"/>
      <c r="M5" s="465"/>
      <c r="N5" s="465"/>
      <c r="O5" s="465"/>
      <c r="P5" s="465"/>
    </row>
    <row r="6" spans="1:16" outlineLevel="1">
      <c r="A6" s="669" t="s">
        <v>621</v>
      </c>
      <c r="B6" s="465"/>
      <c r="C6" s="465"/>
      <c r="D6" s="465"/>
      <c r="E6" s="465"/>
      <c r="F6" s="465"/>
      <c r="G6" s="497"/>
      <c r="H6" s="497"/>
      <c r="I6" s="465"/>
      <c r="J6" s="465"/>
      <c r="K6" s="465"/>
      <c r="L6" s="465"/>
      <c r="M6" s="465"/>
      <c r="N6" s="465"/>
      <c r="O6" s="465"/>
      <c r="P6" s="465"/>
    </row>
    <row r="7" spans="1:16" outlineLevel="1">
      <c r="A7" s="467"/>
      <c r="B7" s="465"/>
      <c r="C7" s="465"/>
      <c r="D7" s="465"/>
      <c r="E7" s="465"/>
      <c r="F7" s="465"/>
      <c r="G7" s="497"/>
      <c r="H7" s="497"/>
      <c r="I7" s="465"/>
      <c r="J7" s="465"/>
      <c r="K7" s="465"/>
      <c r="L7" s="465"/>
      <c r="M7" s="465"/>
      <c r="N7" s="465"/>
      <c r="O7" s="465"/>
      <c r="P7" s="465"/>
    </row>
    <row r="8" spans="1:16" outlineLevel="1">
      <c r="A8" s="670" t="s">
        <v>622</v>
      </c>
      <c r="B8" s="465"/>
      <c r="C8" s="465"/>
      <c r="D8" s="465"/>
      <c r="E8" s="465"/>
      <c r="F8" s="465"/>
      <c r="G8" s="497"/>
      <c r="H8" s="497"/>
      <c r="I8" s="465"/>
      <c r="J8" s="465"/>
      <c r="K8" s="465"/>
      <c r="L8" s="465"/>
      <c r="M8" s="465"/>
      <c r="N8" s="465"/>
      <c r="O8" s="465"/>
      <c r="P8" s="465"/>
    </row>
    <row r="9" spans="1:16" outlineLevel="1">
      <c r="A9" s="467"/>
      <c r="B9" s="465"/>
      <c r="C9" s="465"/>
      <c r="D9" s="465"/>
      <c r="E9" s="465"/>
      <c r="F9" s="465"/>
      <c r="G9" s="497"/>
      <c r="H9" s="497"/>
      <c r="I9" s="465"/>
      <c r="J9" s="465"/>
      <c r="K9" s="465"/>
      <c r="L9" s="465"/>
      <c r="M9" s="465"/>
      <c r="N9" s="465"/>
      <c r="O9" s="465"/>
      <c r="P9" s="465"/>
    </row>
    <row r="10" spans="1:16" outlineLevel="1">
      <c r="A10" s="467" t="s">
        <v>623</v>
      </c>
      <c r="B10" s="465"/>
      <c r="C10" s="465"/>
      <c r="D10" s="465"/>
      <c r="E10" s="465"/>
      <c r="F10" s="465"/>
      <c r="G10" s="497"/>
      <c r="H10" s="497"/>
      <c r="I10" s="465"/>
      <c r="J10" s="465"/>
      <c r="K10" s="465"/>
      <c r="L10" s="465"/>
      <c r="M10" s="465"/>
      <c r="N10" s="465"/>
      <c r="O10" s="465"/>
      <c r="P10" s="465"/>
    </row>
    <row r="11" spans="1:16" outlineLevel="1">
      <c r="A11" s="467"/>
      <c r="B11" s="465"/>
      <c r="C11" s="465"/>
      <c r="D11" s="465"/>
      <c r="E11" s="465"/>
      <c r="F11" s="465"/>
      <c r="G11" s="497"/>
      <c r="H11" s="497"/>
      <c r="I11" s="465"/>
      <c r="J11" s="465"/>
      <c r="K11" s="465"/>
      <c r="L11" s="465"/>
      <c r="M11" s="465"/>
      <c r="N11" s="465"/>
      <c r="O11" s="465"/>
      <c r="P11" s="465"/>
    </row>
    <row r="12" spans="1:16" ht="15.75" outlineLevel="1" thickBot="1">
      <c r="B12" s="465"/>
      <c r="C12" s="465"/>
      <c r="D12" s="465"/>
      <c r="E12" s="465"/>
      <c r="F12" s="465"/>
      <c r="G12" s="497"/>
      <c r="H12" s="497"/>
      <c r="I12" s="465"/>
      <c r="J12" s="465"/>
      <c r="K12" s="465"/>
      <c r="L12" s="465"/>
      <c r="M12" s="465"/>
      <c r="N12" s="465"/>
      <c r="O12" s="465"/>
      <c r="P12" s="465"/>
    </row>
    <row r="13" spans="1:16" ht="25.5" customHeight="1" outlineLevel="1" thickBot="1">
      <c r="A13" s="468" t="s">
        <v>585</v>
      </c>
      <c r="B13" s="452"/>
      <c r="C13" s="469"/>
      <c r="D13" s="469"/>
      <c r="E13" s="469"/>
      <c r="F13" s="469"/>
      <c r="G13" s="469"/>
      <c r="H13" s="469"/>
      <c r="I13" s="469"/>
      <c r="J13" s="469"/>
      <c r="K13" s="469"/>
      <c r="L13" s="469"/>
      <c r="M13" s="469"/>
      <c r="N13" s="469"/>
      <c r="O13" s="762" t="s">
        <v>643</v>
      </c>
      <c r="P13" s="762" t="s">
        <v>642</v>
      </c>
    </row>
    <row r="14" spans="1:16" outlineLevel="1"/>
    <row r="15" spans="1:16" s="461" customFormat="1" outlineLevel="1">
      <c r="A15" s="470" t="s">
        <v>304</v>
      </c>
      <c r="B15" s="471">
        <f>SUM(B4:B12)</f>
        <v>0</v>
      </c>
      <c r="C15" s="471">
        <f t="shared" ref="C15:P15" si="0">SUM(C4:C13)</f>
        <v>0</v>
      </c>
      <c r="D15" s="471">
        <f t="shared" si="0"/>
        <v>0</v>
      </c>
      <c r="E15" s="471">
        <f t="shared" si="0"/>
        <v>0</v>
      </c>
      <c r="F15" s="471">
        <f t="shared" si="0"/>
        <v>0</v>
      </c>
      <c r="G15" s="471"/>
      <c r="H15" s="471"/>
      <c r="I15" s="471">
        <f t="shared" si="0"/>
        <v>0</v>
      </c>
      <c r="J15" s="471">
        <f t="shared" si="0"/>
        <v>0</v>
      </c>
      <c r="K15" s="471">
        <f t="shared" si="0"/>
        <v>0</v>
      </c>
      <c r="L15" s="471">
        <f t="shared" si="0"/>
        <v>0</v>
      </c>
      <c r="M15" s="471">
        <f>SUM(M4:M13)</f>
        <v>0</v>
      </c>
      <c r="N15" s="471">
        <f t="shared" si="0"/>
        <v>0</v>
      </c>
      <c r="O15" s="471">
        <f>SUM(O4:O13)</f>
        <v>0</v>
      </c>
      <c r="P15" s="471">
        <f t="shared" si="0"/>
        <v>0</v>
      </c>
    </row>
    <row r="16" spans="1:16" outlineLevel="1">
      <c r="B16" s="474"/>
      <c r="C16" s="474"/>
      <c r="D16" s="474"/>
      <c r="E16" s="474"/>
      <c r="F16" s="474"/>
      <c r="G16" s="474"/>
      <c r="H16" s="474"/>
      <c r="I16" s="474"/>
      <c r="J16" s="474"/>
      <c r="K16" s="474"/>
      <c r="L16" s="474"/>
      <c r="M16" s="474"/>
      <c r="N16" s="474"/>
      <c r="O16" s="474"/>
      <c r="P16" s="474"/>
    </row>
    <row r="17" spans="1:16" outlineLevel="1">
      <c r="A17" s="475" t="s">
        <v>612</v>
      </c>
      <c r="B17" s="499">
        <f ca="1">'EF ele_warmte'!B12</f>
        <v>0.19834478833015273</v>
      </c>
      <c r="C17" s="499">
        <f ca="1">'EF ele_warmte'!B22</f>
        <v>0</v>
      </c>
      <c r="D17" s="499">
        <f>EF_CO2_aardgas</f>
        <v>0.20200000000000001</v>
      </c>
      <c r="E17" s="499">
        <f>EF_VLgas_CO2</f>
        <v>0.22700000000000001</v>
      </c>
      <c r="F17" s="499">
        <f>EF_stookolie_CO2</f>
        <v>0.26700000000000002</v>
      </c>
      <c r="G17" s="499"/>
      <c r="H17" s="499"/>
      <c r="I17" s="499">
        <f>EF_bruinkool_CO2</f>
        <v>0.35099999999999998</v>
      </c>
      <c r="J17" s="499">
        <f>EF_steenkool_CO2</f>
        <v>0.35399999999999998</v>
      </c>
      <c r="K17" s="499">
        <f>EF_anderfossiel_CO2</f>
        <v>0.26400000000000001</v>
      </c>
      <c r="L17" s="499">
        <f>'EF brandstof'!J4</f>
        <v>0</v>
      </c>
      <c r="M17" s="499">
        <f>'EF brandstof'!K4</f>
        <v>0</v>
      </c>
      <c r="N17" s="499">
        <f>'EF brandstof'!L4</f>
        <v>0</v>
      </c>
      <c r="O17" s="499">
        <v>0</v>
      </c>
      <c r="P17" s="499">
        <v>0</v>
      </c>
    </row>
    <row r="18" spans="1:16" outlineLevel="1">
      <c r="B18" s="474"/>
      <c r="C18" s="474"/>
      <c r="D18" s="474"/>
      <c r="E18" s="474"/>
      <c r="F18" s="474"/>
      <c r="G18" s="474"/>
      <c r="H18" s="474"/>
      <c r="I18" s="474"/>
      <c r="J18" s="474"/>
      <c r="K18" s="474"/>
      <c r="L18" s="474"/>
      <c r="M18" s="474"/>
      <c r="N18" s="474"/>
      <c r="O18" s="474"/>
      <c r="P18" s="474"/>
    </row>
    <row r="19" spans="1:16" outlineLevel="1">
      <c r="A19" s="470" t="s">
        <v>212</v>
      </c>
      <c r="B19" s="476">
        <f ca="1">B15*B17</f>
        <v>0</v>
      </c>
      <c r="C19" s="476">
        <f ca="1">C15*C17</f>
        <v>0</v>
      </c>
      <c r="D19" s="476">
        <f>D15*D17</f>
        <v>0</v>
      </c>
      <c r="E19" s="476">
        <f>E15*E17</f>
        <v>0</v>
      </c>
      <c r="F19" s="476">
        <f>F15*F17</f>
        <v>0</v>
      </c>
      <c r="G19" s="476"/>
      <c r="H19" s="476"/>
      <c r="I19" s="476">
        <f t="shared" ref="I19:P19" si="1">I15*I17</f>
        <v>0</v>
      </c>
      <c r="J19" s="476">
        <f t="shared" si="1"/>
        <v>0</v>
      </c>
      <c r="K19" s="476">
        <f t="shared" si="1"/>
        <v>0</v>
      </c>
      <c r="L19" s="476">
        <f t="shared" si="1"/>
        <v>0</v>
      </c>
      <c r="M19" s="476">
        <f t="shared" si="1"/>
        <v>0</v>
      </c>
      <c r="N19" s="476">
        <f t="shared" si="1"/>
        <v>0</v>
      </c>
      <c r="O19" s="476">
        <f t="shared" si="1"/>
        <v>0</v>
      </c>
      <c r="P19" s="476">
        <f t="shared" si="1"/>
        <v>0</v>
      </c>
    </row>
    <row r="22" spans="1:16" s="452" customFormat="1" ht="15" customHeight="1" outlineLevel="1">
      <c r="A22" s="477" t="s">
        <v>488</v>
      </c>
      <c r="B22" s="478"/>
      <c r="C22" s="479"/>
      <c r="D22" s="480"/>
      <c r="E22" s="481"/>
    </row>
    <row r="23" spans="1:16" s="48" customFormat="1" ht="15" customHeight="1" outlineLevel="1">
      <c r="A23" s="482"/>
      <c r="B23" s="483"/>
      <c r="C23" s="484" t="s">
        <v>376</v>
      </c>
      <c r="D23" s="484" t="s">
        <v>181</v>
      </c>
      <c r="E23" s="485"/>
    </row>
    <row r="24" spans="1:16" s="452" customFormat="1" ht="15" customHeight="1" outlineLevel="1">
      <c r="A24" s="486" t="s">
        <v>265</v>
      </c>
      <c r="B24" s="47">
        <f>EigenZB</f>
        <v>0</v>
      </c>
      <c r="C24" s="487"/>
      <c r="D24" s="868" t="s">
        <v>667</v>
      </c>
      <c r="E24" s="453"/>
    </row>
    <row r="25" spans="1:16" s="452" customFormat="1" outlineLevel="1">
      <c r="A25" s="486" t="s">
        <v>455</v>
      </c>
      <c r="B25" s="48">
        <v>4.2</v>
      </c>
      <c r="C25" s="487"/>
      <c r="D25" s="488" t="s">
        <v>516</v>
      </c>
      <c r="E25" s="464"/>
    </row>
    <row r="26" spans="1:16" s="452" customFormat="1" outlineLevel="1">
      <c r="A26" s="766" t="s">
        <v>456</v>
      </c>
      <c r="B26" s="767">
        <f>1.34/3.6</f>
        <v>0.37222222222222223</v>
      </c>
      <c r="C26" s="487" t="s">
        <v>217</v>
      </c>
      <c r="D26" s="488" t="s">
        <v>516</v>
      </c>
      <c r="E26" s="464"/>
    </row>
    <row r="27" spans="1:16" s="452" customFormat="1" outlineLevel="1">
      <c r="A27" s="489" t="s">
        <v>631</v>
      </c>
      <c r="B27" s="769">
        <f>B24*B25*B26</f>
        <v>0</v>
      </c>
      <c r="C27" s="490" t="s">
        <v>632</v>
      </c>
      <c r="D27" s="491"/>
      <c r="E27" s="492"/>
    </row>
    <row r="28" spans="1:16" s="452" customFormat="1" outlineLevel="1">
      <c r="A28" s="48"/>
      <c r="B28" s="48"/>
      <c r="C28" s="493"/>
      <c r="D28" s="487"/>
    </row>
    <row r="29" spans="1:16" s="452" customFormat="1" outlineLevel="1">
      <c r="A29" s="494" t="s">
        <v>489</v>
      </c>
      <c r="B29" s="478"/>
      <c r="C29" s="479"/>
      <c r="D29" s="480"/>
      <c r="E29" s="481"/>
    </row>
    <row r="30" spans="1:16" s="48" customFormat="1" outlineLevel="1">
      <c r="A30" s="495"/>
      <c r="B30" s="483"/>
      <c r="C30" s="484" t="s">
        <v>376</v>
      </c>
      <c r="D30" s="484" t="s">
        <v>181</v>
      </c>
      <c r="E30" s="485"/>
    </row>
    <row r="31" spans="1:16" s="452" customFormat="1" outlineLevel="1">
      <c r="A31" s="486" t="s">
        <v>454</v>
      </c>
      <c r="B31" s="47">
        <f>EigenWP</f>
        <v>0</v>
      </c>
      <c r="C31" s="487"/>
      <c r="D31" s="868" t="s">
        <v>667</v>
      </c>
      <c r="E31" s="453"/>
    </row>
    <row r="32" spans="1:16" s="452" customFormat="1" outlineLevel="1">
      <c r="A32" s="486" t="s">
        <v>452</v>
      </c>
      <c r="B32" s="48">
        <v>13</v>
      </c>
      <c r="C32" s="493" t="s">
        <v>262</v>
      </c>
      <c r="D32" s="488" t="s">
        <v>516</v>
      </c>
      <c r="E32" s="453"/>
    </row>
    <row r="33" spans="1:5" s="452" customFormat="1" outlineLevel="1">
      <c r="A33" s="486" t="s">
        <v>453</v>
      </c>
      <c r="B33" s="48">
        <v>2000</v>
      </c>
      <c r="C33" s="493" t="s">
        <v>264</v>
      </c>
      <c r="D33" s="488" t="s">
        <v>516</v>
      </c>
      <c r="E33" s="453"/>
    </row>
    <row r="34" spans="1:5" s="452" customFormat="1" outlineLevel="1">
      <c r="A34" s="766" t="s">
        <v>381</v>
      </c>
      <c r="B34" s="48">
        <v>3.75</v>
      </c>
      <c r="C34" s="493"/>
      <c r="D34" s="488" t="s">
        <v>516</v>
      </c>
      <c r="E34" s="453"/>
    </row>
    <row r="35" spans="1:5" s="452" customFormat="1" outlineLevel="1">
      <c r="A35" s="489" t="s">
        <v>631</v>
      </c>
      <c r="B35" s="768">
        <f>B31*B32*B33/1000-B31*B32*B33/1000/B34</f>
        <v>0</v>
      </c>
      <c r="C35" s="496" t="s">
        <v>632</v>
      </c>
      <c r="D35" s="491"/>
      <c r="E35" s="460"/>
    </row>
  </sheetData>
  <mergeCells count="6">
    <mergeCell ref="A1:A3"/>
    <mergeCell ref="B1:P1"/>
    <mergeCell ref="B2:B3"/>
    <mergeCell ref="C2:C3"/>
    <mergeCell ref="D2:K2"/>
    <mergeCell ref="L2:P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32</vt:i4>
      </vt:variant>
      <vt:variant>
        <vt:lpstr>Charts</vt:lpstr>
      </vt:variant>
      <vt:variant>
        <vt:i4>4</vt:i4>
      </vt:variant>
      <vt:variant>
        <vt:lpstr>Named Ranges</vt:lpstr>
      </vt:variant>
      <vt:variant>
        <vt:i4>212</vt:i4>
      </vt:variant>
    </vt:vector>
  </HeadingPairs>
  <TitlesOfParts>
    <vt:vector size="248" baseType="lpstr">
      <vt:lpstr>LEGENDE</vt:lpstr>
      <vt:lpstr>OUTPUT--&gt;</vt:lpstr>
      <vt:lpstr>SEAP template</vt:lpstr>
      <vt:lpstr>Inventaris 2014</vt:lpstr>
      <vt:lpstr>betrouwbaarheid inventaris</vt:lpstr>
      <vt:lpstr>Lokale energieproductie 2014</vt:lpstr>
      <vt:lpstr>betrouwbaarheid productie</vt:lpstr>
      <vt:lpstr>INPUT--&gt;</vt:lpstr>
      <vt:lpstr>Eigen gebouwen</vt:lpstr>
      <vt:lpstr>Eigen openbare verlichting</vt:lpstr>
      <vt:lpstr>Eigen vloot</vt:lpstr>
      <vt:lpstr>Eigen informatie GS &amp; warmtenet</vt:lpstr>
      <vt:lpstr>Conversiefactoren</vt:lpstr>
      <vt:lpstr>DATA--&gt;</vt:lpstr>
      <vt:lpstr>data</vt:lpstr>
      <vt:lpstr>EF N2O_CH4 landbouw</vt:lpstr>
      <vt:lpstr>ha_N2O bodem landbouw</vt:lpstr>
      <vt:lpstr>GWP N2O_CH4</vt:lpstr>
      <vt:lpstr>EF brandstof</vt:lpstr>
      <vt:lpstr>EF ele_warmte</vt:lpstr>
      <vt:lpstr>ECF transport </vt:lpstr>
      <vt:lpstr>E Balans VL </vt:lpstr>
      <vt:lpstr>BEREKENINGEN PER SECTOR --&gt;</vt:lpstr>
      <vt:lpstr>openbare verlichting</vt:lpstr>
      <vt:lpstr>huishoudens</vt:lpstr>
      <vt:lpstr>tertiair</vt:lpstr>
      <vt:lpstr>industrie</vt:lpstr>
      <vt:lpstr>landbouw</vt:lpstr>
      <vt:lpstr>transport</vt:lpstr>
      <vt:lpstr>lokale energieproductie</vt:lpstr>
      <vt:lpstr>BRONNEN --&gt;</vt:lpstr>
      <vt:lpstr>versiebeheer</vt:lpstr>
      <vt:lpstr>grafiek finaal energieverbruik</vt:lpstr>
      <vt:lpstr>taart finaal energieverbruik</vt:lpstr>
      <vt:lpstr>grafiek CO2 emissies</vt:lpstr>
      <vt:lpstr>taart CO2 emissies</vt:lpstr>
      <vt:lpstr>'EF N2O_CH4 landbouw'!_Toc352313866</vt:lpstr>
      <vt:lpstr>Aantal_pluimvee</vt:lpstr>
      <vt:lpstr>Aantal_schapen</vt:lpstr>
      <vt:lpstr>aantalbiggen_tot_20kg</vt:lpstr>
      <vt:lpstr>aantalCultuurgronden</vt:lpstr>
      <vt:lpstr>Aantalezels</vt:lpstr>
      <vt:lpstr>AantalFokvarkens_beren</vt:lpstr>
      <vt:lpstr>AantalFokvarkens_zeugen</vt:lpstr>
      <vt:lpstr>aantalGeiten</vt:lpstr>
      <vt:lpstr>aantalHuishoudens</vt:lpstr>
      <vt:lpstr>aantalMelkkoeien</vt:lpstr>
      <vt:lpstr>AantalMestvarkens_meer_dan_110kg</vt:lpstr>
      <vt:lpstr>Aantalpaarden</vt:lpstr>
      <vt:lpstr>aantalRunderen_0_tot_1_jaar</vt:lpstr>
      <vt:lpstr>aantalRunderen_1_tot_2_jaar</vt:lpstr>
      <vt:lpstr>aantalRunderen_meer_dan_2jaar</vt:lpstr>
      <vt:lpstr>aantalRunderen_tot_1_jaar</vt:lpstr>
      <vt:lpstr>aantalSlachtvarkens</vt:lpstr>
      <vt:lpstr>AantalVarkens_20_tot_110kg</vt:lpstr>
      <vt:lpstr>Aantalw2001_aardgas</vt:lpstr>
      <vt:lpstr>aantalw2001_ander</vt:lpstr>
      <vt:lpstr>aantalw2001_elektriciteit</vt:lpstr>
      <vt:lpstr>aantalw2001_hout</vt:lpstr>
      <vt:lpstr>aantalw2001_niet_gespec</vt:lpstr>
      <vt:lpstr>aantalw2001_propaan</vt:lpstr>
      <vt:lpstr>aantalw2001_steenkool</vt:lpstr>
      <vt:lpstr>aantalw2001_stookolie</vt:lpstr>
      <vt:lpstr>aantalw2001_WP</vt:lpstr>
      <vt:lpstr>aantalWP_NB_ander</vt:lpstr>
      <vt:lpstr>aantalWP_NB_industrie</vt:lpstr>
      <vt:lpstr>AantalWP_NB_industrie_met_kantoor</vt:lpstr>
      <vt:lpstr>aantalWP_NB_kantoor</vt:lpstr>
      <vt:lpstr>aantalWP_NB_NIET_RESIDENTIEEL_EPN</vt:lpstr>
      <vt:lpstr>aantalWP_NB_school</vt:lpstr>
      <vt:lpstr>aantalWP_NB_wonen</vt:lpstr>
      <vt:lpstr>aantalWP_NB_wonen_met_kantoor</vt:lpstr>
      <vt:lpstr>aantalZB_NB_ander</vt:lpstr>
      <vt:lpstr>aantalZB_NB_ander_met_kantoor</vt:lpstr>
      <vt:lpstr>aantalZB_NB_industrie</vt:lpstr>
      <vt:lpstr>aantalZB_NB_industrie_met_kantoor</vt:lpstr>
      <vt:lpstr>aantalZB_NB_kantoor</vt:lpstr>
      <vt:lpstr>aantalZB_NB_NIET_RESIDENTIEEL_EPN</vt:lpstr>
      <vt:lpstr>aantalZB_NB_school</vt:lpstr>
      <vt:lpstr>aantalZB_NB_wonen</vt:lpstr>
      <vt:lpstr>aantalZB_NB_wonen_met_kantoor</vt:lpstr>
      <vt:lpstr>aantalZoogkoeien</vt:lpstr>
      <vt:lpstr>antalWP_NB_ander_met_kantoor</vt:lpstr>
      <vt:lpstr>EF_anderfossiel_CO2</vt:lpstr>
      <vt:lpstr>EF_benzine_CO2</vt:lpstr>
      <vt:lpstr>EF_bruinkool_CO2</vt:lpstr>
      <vt:lpstr>EF_CO2_aardgas</vt:lpstr>
      <vt:lpstr>EF_diesel_CO2</vt:lpstr>
      <vt:lpstr>EF_steenkool_CO2</vt:lpstr>
      <vt:lpstr>EF_stookolie_CO2</vt:lpstr>
      <vt:lpstr>EF_VLgas_CO2</vt:lpstr>
      <vt:lpstr>EigenWP</vt:lpstr>
      <vt:lpstr>EigenZB</vt:lpstr>
      <vt:lpstr>EN_ander_gas_aantal</vt:lpstr>
      <vt:lpstr>EN_andere_ele_aantal</vt:lpstr>
      <vt:lpstr>EN_andere_ele_kWh</vt:lpstr>
      <vt:lpstr>EN_andere_gas_kWh</vt:lpstr>
      <vt:lpstr>EN_ele_ele_aantal</vt:lpstr>
      <vt:lpstr>EN_ele_ele_kWh</vt:lpstr>
      <vt:lpstr>EN_ele_gas_aantal</vt:lpstr>
      <vt:lpstr>EN_ele_gas_kWh</vt:lpstr>
      <vt:lpstr>EN_raff_ele_aantal</vt:lpstr>
      <vt:lpstr>EN_raff_ele_kWh</vt:lpstr>
      <vt:lpstr>EN_raff_gas_aantal</vt:lpstr>
      <vt:lpstr>EN_raff_gas_kWh</vt:lpstr>
      <vt:lpstr>EN_rest_ele_aantal</vt:lpstr>
      <vt:lpstr>EN_rest_ele_kWh</vt:lpstr>
      <vt:lpstr>EN_rest_gas_aantal</vt:lpstr>
      <vt:lpstr>EN_rest_gas_kWh</vt:lpstr>
      <vt:lpstr>HH_hh_ele_aantal</vt:lpstr>
      <vt:lpstr>HH_hh_ele_kWh</vt:lpstr>
      <vt:lpstr>HH_hh_gas_aantal</vt:lpstr>
      <vt:lpstr>HH_hh_gas_kWh</vt:lpstr>
      <vt:lpstr>HH_rest_ele_aantal</vt:lpstr>
      <vt:lpstr>HH_rest_gas_aantal</vt:lpstr>
      <vt:lpstr>HH_rest_gas_kWh</vt:lpstr>
      <vt:lpstr>HH_rest_kWh</vt:lpstr>
      <vt:lpstr>IND_ander_ele_kWh</vt:lpstr>
      <vt:lpstr>IND_ander_gas_aantal</vt:lpstr>
      <vt:lpstr>IND_andere_ele_aantal</vt:lpstr>
      <vt:lpstr>IND_andere_gas_kWh</vt:lpstr>
      <vt:lpstr>IND_chemie_ele_aantal</vt:lpstr>
      <vt:lpstr>IND_chemie_ele_kWh</vt:lpstr>
      <vt:lpstr>IND_chemie_gas_aantal</vt:lpstr>
      <vt:lpstr>IND_chemie_gas_kWh</vt:lpstr>
      <vt:lpstr>IND_ijzer_ele_aantal</vt:lpstr>
      <vt:lpstr>IND_ijzer_ele_kWh</vt:lpstr>
      <vt:lpstr>IND_ijzer_gas_aantal</vt:lpstr>
      <vt:lpstr>IND_ijzer_gas_kWh</vt:lpstr>
      <vt:lpstr>IND_metaal_ele_aantal</vt:lpstr>
      <vt:lpstr>IND_metaal_ele_kWh</vt:lpstr>
      <vt:lpstr>IND_metaal_gas_aantal</vt:lpstr>
      <vt:lpstr>IND_metaal_Gas_kWH</vt:lpstr>
      <vt:lpstr>IND_min_ele_aantal</vt:lpstr>
      <vt:lpstr>IND_min_ele_kWh</vt:lpstr>
      <vt:lpstr>IND_min_gas_aantal</vt:lpstr>
      <vt:lpstr>IND_min_gas_kWh</vt:lpstr>
      <vt:lpstr>IND_nonf_ele_aantal</vt:lpstr>
      <vt:lpstr>IND_nonf_ele_kWh</vt:lpstr>
      <vt:lpstr>IND_nonf_gas_aantal</vt:lpstr>
      <vt:lpstr>IND_nonf_gas_kWh</vt:lpstr>
      <vt:lpstr>IND_papier_ele_aantal</vt:lpstr>
      <vt:lpstr>IND_papier_ele_kWh</vt:lpstr>
      <vt:lpstr>IND_papier_gas_aantal</vt:lpstr>
      <vt:lpstr>IND_papier_gas_kWh</vt:lpstr>
      <vt:lpstr>IND_rest_ele_aantal</vt:lpstr>
      <vt:lpstr>IND_rest_ele_kWh</vt:lpstr>
      <vt:lpstr>IND_rest_gas_aantal</vt:lpstr>
      <vt:lpstr>IND_rest_gas_kWh</vt:lpstr>
      <vt:lpstr>IND_textiel_ele_aantal</vt:lpstr>
      <vt:lpstr>IND_textiel_ele_kWh</vt:lpstr>
      <vt:lpstr>IND_textiel_gas_aantal</vt:lpstr>
      <vt:lpstr>IND_textiel_gas_kWh</vt:lpstr>
      <vt:lpstr>IND_voed_ele_aantal</vt:lpstr>
      <vt:lpstr>IND_voed_ele_kWh</vt:lpstr>
      <vt:lpstr>IND_voed_gas_aantal</vt:lpstr>
      <vt:lpstr>IND_voed_gas_kWh</vt:lpstr>
      <vt:lpstr>jaar</vt:lpstr>
      <vt:lpstr>kWh_PV_groter_dan_10kW</vt:lpstr>
      <vt:lpstr>kWh_PV_kleiner_dan_10kW</vt:lpstr>
      <vt:lpstr>kWh_waterkracht</vt:lpstr>
      <vt:lpstr>kWh_wind_land</vt:lpstr>
      <vt:lpstr>LB_lb_ele_aantal</vt:lpstr>
      <vt:lpstr>LB_lb_ele_kWh</vt:lpstr>
      <vt:lpstr>LB_lb_gas_aantal</vt:lpstr>
      <vt:lpstr>LB_lb_gas_kWh</vt:lpstr>
      <vt:lpstr>LB_rest_ele_aantal</vt:lpstr>
      <vt:lpstr>LB_rest_ele_kWh</vt:lpstr>
      <vt:lpstr>LB_rest_gas_aantal</vt:lpstr>
      <vt:lpstr>LB_rest_gas_kWh</vt:lpstr>
      <vt:lpstr>NIS</vt:lpstr>
      <vt:lpstr>Onbekend_ele_aantal</vt:lpstr>
      <vt:lpstr>Onbekend_ele_kWh</vt:lpstr>
      <vt:lpstr>onbekend_gas_aantal</vt:lpstr>
      <vt:lpstr>onbekend_gas_kWh</vt:lpstr>
      <vt:lpstr>OV_ov_ele_aantal</vt:lpstr>
      <vt:lpstr>OV_ov_ele_kWh</vt:lpstr>
      <vt:lpstr>OV_rest_ele_aantal</vt:lpstr>
      <vt:lpstr>OV_rest_ele_kWh</vt:lpstr>
      <vt:lpstr>REST_rest_aantal_gas</vt:lpstr>
      <vt:lpstr>REST_rest_ele_aantal</vt:lpstr>
      <vt:lpstr>REST_rest_ele_kWh</vt:lpstr>
      <vt:lpstr>REST_rest_gas_kWh</vt:lpstr>
      <vt:lpstr>selectie</vt:lpstr>
      <vt:lpstr>TER_ander_ele_aantal</vt:lpstr>
      <vt:lpstr>TER_ander_ele_kWh</vt:lpstr>
      <vt:lpstr>TER_ander_gas_aantal</vt:lpstr>
      <vt:lpstr>TER_ander_gas_kWh</vt:lpstr>
      <vt:lpstr>TER_gezond_ele_aantal</vt:lpstr>
      <vt:lpstr>TER_gezond_ele_kWh</vt:lpstr>
      <vt:lpstr>TER_gezond_gas_aantal</vt:lpstr>
      <vt:lpstr>TER_gezond_gas_kWh</vt:lpstr>
      <vt:lpstr>TER_handel_ele_aantal</vt:lpstr>
      <vt:lpstr>TER_handel_ele_kWh</vt:lpstr>
      <vt:lpstr>TER_handel_gas_aantal</vt:lpstr>
      <vt:lpstr>TER_handel_gas_kWh</vt:lpstr>
      <vt:lpstr>TER_horeca_ele_aantal</vt:lpstr>
      <vt:lpstr>TER_horeca_ele_kWh</vt:lpstr>
      <vt:lpstr>TER_horeca_gas_aantal</vt:lpstr>
      <vt:lpstr>TER_horeca_gas_kWh</vt:lpstr>
      <vt:lpstr>TER_kantoor_ele_aantal</vt:lpstr>
      <vt:lpstr>TER_kantoor_ele_kWh</vt:lpstr>
      <vt:lpstr>TER_Kantoor_gas_aantal</vt:lpstr>
      <vt:lpstr>TER_kantoor_gas_kWh</vt:lpstr>
      <vt:lpstr>TER_Onderw_gas_aantal</vt:lpstr>
      <vt:lpstr>TER_onderwijs_ele_aantal</vt:lpstr>
      <vt:lpstr>TER_onderwijs_ele_kWh</vt:lpstr>
      <vt:lpstr>TER_onderwijs_gas_kWh</vt:lpstr>
      <vt:lpstr>TER_rest_ele_aantal</vt:lpstr>
      <vt:lpstr>TER_rest_ele_kWh</vt:lpstr>
      <vt:lpstr>TER_rest_gas_aantal</vt:lpstr>
      <vt:lpstr>TER_rest_gas_kWh</vt:lpstr>
      <vt:lpstr>TR_lucht_gas_aantal</vt:lpstr>
      <vt:lpstr>TR_luchtvaart_ele_aantal</vt:lpstr>
      <vt:lpstr>TR_luchtvaart_ele_kWh</vt:lpstr>
      <vt:lpstr>TR_luchtvaart_Gas_kWh</vt:lpstr>
      <vt:lpstr>TR_pijp_ele_aantal</vt:lpstr>
      <vt:lpstr>TR_pijp_ele_kWh</vt:lpstr>
      <vt:lpstr>TR_pijp_gas_aantal</vt:lpstr>
      <vt:lpstr>TR_pijp_gas_kWh</vt:lpstr>
      <vt:lpstr>TR_rest_ele_aantal</vt:lpstr>
      <vt:lpstr>TR_rest_ele_kWh</vt:lpstr>
      <vt:lpstr>TR_rest_gas_aantal</vt:lpstr>
      <vt:lpstr>TR_rest_gas_kWh</vt:lpstr>
      <vt:lpstr>TR_water_ele_aantal</vt:lpstr>
      <vt:lpstr>TR_water_ele_kWh</vt:lpstr>
      <vt:lpstr>TR_water_gas_aantal</vt:lpstr>
      <vt:lpstr>TR_water_gas_kWh</vt:lpstr>
      <vt:lpstr>TR_weg_ele_aantal</vt:lpstr>
      <vt:lpstr>TR_weg_ele_kWh</vt:lpstr>
      <vt:lpstr>TR_weg_gas_aantal</vt:lpstr>
      <vt:lpstr>TR_weg_gas_kWh</vt:lpstr>
      <vt:lpstr>txtMunicipality</vt:lpstr>
      <vt:lpstr>txtNIS</vt:lpstr>
      <vt:lpstr>txtyear</vt:lpstr>
      <vt:lpstr>type</vt:lpstr>
      <vt:lpstr>vkm_bus</vt:lpstr>
      <vt:lpstr>vkm_GW_PW</vt:lpstr>
      <vt:lpstr>vkm_GW_ZV</vt:lpstr>
      <vt:lpstr>vkm_NGW_PW</vt:lpstr>
      <vt:lpstr>vkm_NGW_ZV</vt:lpstr>
      <vt:lpstr>vkm_SW_PW</vt:lpstr>
      <vt:lpstr>vkm_SW_ZV</vt:lpstr>
      <vt:lpstr>vkm_tram</vt:lpstr>
      <vt:lpstr>WP_HH_bestaande_bouw</vt:lpstr>
      <vt:lpstr>WP_NHH_bestaande_bouw</vt:lpstr>
      <vt:lpstr>ZB_HH_bestaande_bouw</vt:lpstr>
      <vt:lpstr>ZB_NHH_bestaande_bouw</vt:lpstr>
    </vt:vector>
  </TitlesOfParts>
  <Company>VITO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Dierckx Koen</dc:creator>
  <cp:lastModifiedBy>Vanhulsel Marlies</cp:lastModifiedBy>
  <dcterms:created xsi:type="dcterms:W3CDTF">2013-05-17T14:24:21Z</dcterms:created>
  <dcterms:modified xsi:type="dcterms:W3CDTF">2020-06-20T16:01:42Z</dcterms:modified>
</cp:coreProperties>
</file>