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D14" i="4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32" i="48" l="1"/>
  <c r="Q14" i="48"/>
  <c r="I51" i="18"/>
  <c r="H17" i="18" s="1"/>
  <c r="H20" i="18" s="1"/>
  <c r="D51" i="18"/>
  <c r="H51" i="18"/>
  <c r="J17" i="18" s="1"/>
  <c r="J87" i="14" s="1"/>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G50" i="18"/>
  <c r="G20" i="59"/>
  <c r="Q77" i="14"/>
  <c r="P9" i="59" s="1"/>
  <c r="O90" i="14"/>
  <c r="O18" i="59"/>
  <c r="O20" i="59" s="1"/>
  <c r="B89" i="14"/>
  <c r="B19" i="59" s="1"/>
  <c r="G90" i="14"/>
  <c r="C89" i="14"/>
  <c r="C19" i="59" s="1"/>
  <c r="Q89" i="14"/>
  <c r="P19" i="59" s="1"/>
  <c r="H78" i="14"/>
  <c r="H9" i="59"/>
  <c r="H10" i="59" s="1"/>
  <c r="N90" i="14"/>
  <c r="N18" i="59"/>
  <c r="N20" i="59" s="1"/>
  <c r="C77" i="14"/>
  <c r="C9" i="59" s="1"/>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O17" i="18"/>
  <c r="O20" i="18" s="1"/>
  <c r="M78" i="14"/>
  <c r="M8" i="59"/>
  <c r="M10" i="59" s="1"/>
  <c r="F17" i="59"/>
  <c r="F20" i="59" s="1"/>
  <c r="F78" i="14"/>
  <c r="F8" i="59"/>
  <c r="F10" i="59" s="1"/>
  <c r="J90" i="14"/>
  <c r="J17" i="59"/>
  <c r="J20" i="59" s="1"/>
  <c r="M90" i="14"/>
  <c r="M17" i="59"/>
  <c r="M20" i="59" s="1"/>
  <c r="Q76" i="14"/>
  <c r="D78" i="14"/>
  <c r="D90" i="14"/>
  <c r="A31" i="23"/>
  <c r="A32" i="23"/>
  <c r="A33" i="23"/>
  <c r="Q87" i="14" l="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46" i="14" s="1"/>
  <c r="P61" i="14" s="1"/>
  <c r="P63" i="14" s="1"/>
  <c r="O8" i="48"/>
  <c r="O26" i="48" s="1"/>
  <c r="P13" i="14"/>
  <c r="Q63" i="14"/>
  <c r="F24" i="14"/>
  <c r="F26" i="14" s="1"/>
  <c r="E7" i="48"/>
  <c r="E25" i="48"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F10" i="14"/>
  <c r="E5" i="48"/>
  <c r="N52" i="14"/>
  <c r="N61"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6" i="14" l="1"/>
  <c r="F27" i="14" s="1"/>
  <c r="F63" i="14" s="1"/>
  <c r="E23" i="48"/>
  <c r="E33" i="48" s="1"/>
  <c r="E8" i="48"/>
  <c r="E26" i="48" s="1"/>
  <c r="F13" i="14"/>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<sst xmlns="http://schemas.openxmlformats.org/spreadsheetml/2006/main" count="2461" uniqueCount="926">
  <si>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</si>
  <si>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</si>
  <si>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</si>
  <si>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</si>
  <si>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</si>
  <si>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</si>
  <si>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</si>
  <si>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</si>
  <si>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</si>
  <si>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</si>
  <si>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</si>
  <si>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</si>
  <si>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</si>
  <si>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</si>
  <si>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</si>
  <si>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</si>
  <si>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</si>
  <si>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</si>
  <si>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</si>
  <si>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</si>
  <si>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</si>
  <si>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</si>
  <si>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</si>
  <si>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</si>
  <si>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</si>
  <si>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</si>
  <si>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</si>
  <si>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</si>
  <si>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</si>
  <si>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</si>
  <si>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</si>
  <si>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</si>
  <si>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</si>
  <si>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</si>
  <si>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</si>
  <si>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</si>
  <si>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</si>
  <si>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</si>
  <si>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</si>
  <si>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</si>
  <si>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</si>
  <si>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</si>
  <si>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</si>
  <si>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</si>
  <si>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</si>
  <si>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</si>
  <si>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</si>
  <si>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</si>
  <si>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</si>
  <si>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</si>
  <si>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</si>
  <si>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</si>
  <si>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</si>
  <si>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</si>
  <si>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</si>
  <si>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</si>
  <si>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</si>
  <si>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</si>
  <si>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</si>
  <si>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</si>
  <si>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</si>
  <si>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</si>
  <si>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</si>
  <si>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</si>
  <si>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</si>
  <si>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</si>
  <si>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</si>
  <si>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</si>
  <si>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</si>
  <si>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</si>
  <si>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</si>
  <si>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</si>
  <si>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</si>
  <si>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</si>
  <si>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</si>
  <si>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</si>
  <si>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</si>
  <si>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</si>
  <si>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</si>
  <si>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</si>
  <si>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</si>
  <si>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</si>
  <si>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</si>
  <si>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</si>
  <si>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</si>
  <si>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</si>
  <si>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</si>
  <si>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</si>
  <si>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</si>
  <si>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</si>
  <si>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</si>
  <si>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</si>
  <si>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</si>
  <si>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</si>
  <si>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</si>
  <si>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</si>
  <si>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</si>
  <si>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</si>
  <si>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</si>
  <si>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</si>
  <si>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</si>
  <si>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</si>
  <si>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</si>
  <si>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</si>
  <si>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</si>
  <si>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</si>
  <si>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</si>
  <si>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</si>
  <si>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</si>
  <si>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</si>
  <si>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</si>
  <si>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</si>
  <si>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</si>
  <si>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</si>
  <si>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</si>
  <si>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</si>
  <si>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</si>
  <si>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</si>
  <si>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</si>
  <si>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</si>
  <si>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</si>
  <si>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</si>
  <si>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</si>
  <si>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</si>
  <si>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</si>
  <si>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</si>
  <si>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</si>
  <si>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</si>
  <si>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</si>
  <si>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</si>
  <si>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</si>
  <si>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</si>
  <si>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</si>
  <si>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</si>
  <si>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</si>
  <si>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</si>
  <si>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</si>
  <si>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</si>
  <si>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</si>
  <si>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</si>
  <si>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</si>
  <si>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</si>
  <si>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</si>
  <si>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</si>
  <si>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</si>
  <si>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</si>
  <si>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</si>
  <si>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</si>
  <si>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</si>
  <si>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</si>
  <si>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</si>
  <si>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</si>
  <si>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</si>
  <si>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</si>
  <si>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</si>
  <si>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</si>
  <si>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</si>
  <si>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</si>
  <si>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</si>
  <si>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</si>
  <si>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</si>
  <si>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</si>
  <si>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</si>
  <si>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</si>
  <si>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</si>
  <si>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</si>
  <si>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</si>
  <si>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</si>
  <si>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</si>
  <si>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</si>
  <si>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</si>
  <si>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</si>
  <si>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</si>
  <si>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</si>
  <si>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</si>
  <si>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</si>
  <si>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</si>
  <si>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</si>
  <si>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</si>
  <si>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</si>
  <si>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</si>
  <si>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</si>
  <si>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</si>
  <si>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</si>
  <si>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</si>
  <si>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</si>
  <si>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</si>
  <si>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</si>
  <si>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</si>
  <si>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</si>
  <si>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</si>
  <si>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</si>
  <si>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</si>
  <si>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</si>
  <si>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</si>
  <si>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</si>
  <si>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</si>
  <si>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</si>
  <si>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</si>
  <si>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</si>
  <si>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</si>
  <si>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</si>
  <si>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</si>
  <si>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</si>
  <si>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</si>
  <si>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</si>
  <si>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</si>
  <si>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</si>
  <si>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</si>
  <si>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</si>
  <si>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</si>
  <si>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</si>
  <si>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</si>
  <si>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</si>
  <si>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</si>
  <si>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</si>
  <si>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</si>
  <si>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</si>
  <si>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</si>
  <si>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</si>
  <si>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</si>
  <si>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</si>
  <si>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</si>
  <si>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</si>
  <si>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</si>
  <si>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</si>
  <si>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</si>
  <si>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</si>
  <si>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</si>
  <si>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</si>
  <si>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</si>
  <si>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</si>
  <si>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</si>
  <si>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</si>
  <si>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</si>
  <si>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</si>
  <si>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</si>
  <si>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</si>
  <si>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</si>
  <si>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</si>
  <si>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</si>
  <si>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</si>
  <si>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</si>
  <si>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</si>
  <si>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</si>
  <si>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</si>
  <si>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</si>
  <si>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</si>
  <si>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</si>
  <si>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</si>
  <si>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</si>
  <si>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</si>
  <si>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</si>
  <si>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</si>
  <si>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</si>
  <si>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</si>
  <si>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</si>
  <si>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</si>
  <si>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</si>
  <si>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</si>
  <si>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</si>
  <si>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</si>
  <si>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</si>
  <si>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</si>
  <si>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</si>
  <si>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</si>
  <si>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</si>
  <si>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</si>
  <si>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</si>
  <si>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</si>
  <si>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</si>
  <si>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</si>
  <si>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</si>
  <si>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</si>
  <si>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</si>
  <si>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</si>
  <si>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</si>
  <si>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</si>
  <si>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</si>
  <si>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</si>
  <si>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</si>
  <si>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</si>
  <si>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</si>
  <si>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</si>
  <si>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</si>
  <si>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</si>
  <si>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</si>
  <si>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</si>
  <si>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</si>
  <si>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</si>
  <si>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</si>
  <si>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</si>
  <si>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</si>
  <si>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</si>
  <si>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</si>
  <si>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</si>
  <si>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</si>
  <si>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</si>
  <si>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</si>
  <si>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</si>
  <si>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</si>
  <si>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</si>
  <si>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</si>
  <si>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</si>
  <si>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</si>
  <si>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</si>
  <si>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</si>
  <si>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</si>
  <si>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</si>
  <si>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</si>
  <si>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</si>
  <si>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</si>
  <si>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</si>
  <si>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</si>
  <si>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</si>
  <si>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</si>
  <si>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</si>
  <si>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</si>
  <si>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</si>
  <si>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</si>
  <si>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</si>
  <si>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</si>
  <si>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</si>
  <si>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</si>
  <si>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</si>
  <si>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</si>
  <si>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</si>
  <si>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</si>
  <si>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</si>
  <si>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</si>
  <si>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</si>
  <si>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</si>
  <si>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</si>
  <si>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</si>
  <si>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</si>
  <si>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</si>
  <si>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</si>
  <si>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</si>
  <si>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</si>
  <si>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</si>
  <si>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</si>
  <si>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</si>
  <si>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</si>
  <si>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</si>
  <si>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</si>
  <si>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</si>
  <si>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</si>
  <si>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</si>
  <si>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</si>
  <si>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</si>
  <si>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</si>
  <si>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</si>
  <si>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</si>
  <si>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</si>
  <si>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</si>
  <si>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</si>
  <si>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</si>
  <si>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</si>
  <si>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</si>
  <si>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</si>
  <si>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</si>
  <si>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</si>
  <si>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</si>
  <si>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</si>
  <si>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</si>
  <si>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</si>
  <si>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</si>
  <si>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</si>
  <si>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</si>
  <si>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</si>
  <si>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</si>
  <si>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</si>
  <si>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</si>
  <si>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</si>
  <si>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</si>
  <si>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</si>
  <si>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</si>
  <si>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</si>
  <si>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</si>
  <si>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</si>
  <si>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</si>
  <si>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</si>
  <si>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</si>
  <si>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</si>
  <si>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</si>
  <si>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</si>
  <si>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</si>
  <si>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</si>
  <si>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</si>
  <si>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</si>
  <si>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</si>
  <si>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</si>
  <si>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</si>
  <si>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</si>
  <si>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</si>
  <si>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</si>
  <si>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</si>
  <si>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</si>
  <si>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</si>
  <si>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</si>
  <si>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</si>
  <si>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</si>
  <si>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</si>
  <si>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</si>
  <si>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</si>
  <si>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</si>
  <si>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</si>
  <si>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</si>
  <si>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</si>
  <si>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</si>
  <si>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</si>
  <si>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</si>
  <si>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</si>
  <si>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</si>
  <si>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</si>
  <si>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</si>
  <si>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</si>
  <si>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</si>
  <si>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</si>
  <si>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</si>
  <si>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</si>
  <si>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</si>
  <si>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</si>
  <si>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</si>
  <si>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</si>
  <si>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</si>
  <si>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</si>
  <si>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</si>
  <si>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</si>
  <si>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</si>
  <si>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</si>
  <si>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</si>
  <si>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</si>
  <si>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</si>
  <si>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</si>
  <si>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</si>
  <si>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</si>
  <si>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</si>
  <si>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</si>
  <si>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</si>
  <si>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</si>
  <si>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</si>
  <si>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</si>
  <si>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</si>
  <si>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</si>
  <si>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</si>
  <si>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</si>
  <si>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</si>
  <si>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</si>
  <si>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</si>
  <si>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</si>
  <si>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</si>
  <si>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</si>
  <si>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</si>
  <si>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</si>
  <si>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</si>
  <si>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</si>
  <si>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</si>
  <si>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</si>
  <si>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</si>
  <si>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</si>
  <si>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</si>
  <si>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</si>
  <si>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</si>
  <si>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</si>
  <si>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</si>
  <si>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</si>
  <si>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</si>
  <si>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</si>
  <si>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</si>
  <si>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</si>
  <si>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</si>
  <si>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</si>
  <si>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</si>
  <si>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</si>
  <si>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</si>
  <si>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</si>
  <si>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</si>
  <si>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</si>
  <si>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</si>
  <si>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</si>
  <si>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</si>
  <si>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</si>
  <si>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</si>
  <si>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</si>
  <si>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</si>
  <si>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</si>
  <si>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</si>
  <si>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</si>
  <si>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</si>
  <si>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</si>
  <si>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</si>
  <si>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</si>
  <si>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</si>
  <si>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</si>
  <si>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</si>
  <si>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</si>
  <si>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</si>
  <si>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</si>
  <si>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</si>
  <si>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</si>
  <si>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</si>
  <si>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</si>
  <si>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</si>
  <si>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</si>
  <si>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</si>
  <si>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</si>
  <si>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</si>
  <si>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</si>
  <si>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</si>
  <si>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</si>
  <si>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</si>
  <si>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</si>
  <si>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</si>
  <si>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</si>
  <si>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</si>
  <si>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</si>
  <si>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</si>
  <si>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</si>
  <si>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</si>
  <si>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</si>
  <si>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</si>
  <si>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</si>
  <si>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</si>
  <si>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</si>
  <si>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</si>
  <si>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</si>
  <si>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</si>
  <si>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</si>
  <si>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</si>
  <si>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</si>
  <si>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</si>
  <si>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</si>
  <si>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</si>
  <si>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</si>
  <si>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</si>
  <si>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</si>
  <si>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</si>
  <si>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</si>
  <si>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</si>
  <si>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</si>
  <si>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</si>
  <si>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</si>
  <si>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</si>
  <si>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</si>
  <si>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</si>
  <si>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</si>
  <si>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</si>
  <si>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</si>
  <si>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</si>
  <si>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</si>
  <si>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</si>
  <si>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</si>
  <si>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</si>
  <si>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</si>
  <si>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</si>
  <si>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</si>
  <si>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</si>
  <si>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</si>
  <si>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</si>
  <si>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</si>
  <si>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</si>
  <si>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</si>
  <si>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</si>
  <si>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</si>
  <si>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</si>
  <si>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</si>
  <si>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</si>
  <si>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</si>
  <si>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</si>
  <si>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</si>
  <si>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</si>
  <si>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</si>
  <si>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</si>
  <si>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</si>
  <si>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</si>
  <si>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</si>
  <si>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</si>
  <si>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</si>
  <si>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</si>
  <si>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</si>
  <si>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</si>
  <si>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</si>
  <si>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</si>
  <si>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</si>
  <si>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</si>
  <si>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</si>
  <si>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</si>
  <si>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</si>
  <si>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</si>
  <si>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</si>
  <si>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</si>
  <si>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</si>
  <si>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</si>
  <si>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</si>
  <si>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</si>
  <si>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</si>
  <si>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</si>
  <si>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</si>
  <si>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</si>
  <si>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</si>
  <si>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</si>
  <si>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</si>
  <si>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</si>
  <si>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</si>
  <si>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</si>
  <si>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</si>
  <si>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</si>
  <si>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</si>
  <si>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</si>
  <si>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</si>
  <si>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</si>
  <si>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</si>
  <si>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</si>
  <si>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</si>
  <si>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</si>
  <si>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</si>
  <si>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</si>
  <si>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</si>
  <si>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</si>
  <si>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</si>
  <si>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</si>
  <si>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</si>
  <si>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</si>
  <si>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</si>
  <si>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</si>
  <si>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</si>
  <si>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</si>
  <si>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</si>
  <si>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</si>
  <si>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</si>
  <si>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</si>
  <si>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</si>
  <si>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</si>
  <si>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</si>
  <si>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</si>
  <si>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</si>
  <si>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</si>
  <si>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</si>
  <si>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</si>
  <si>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</si>
  <si>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</si>
  <si>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</si>
  <si>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</si>
  <si>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</si>
  <si>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</si>
  <si>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</si>
  <si>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</si>
  <si>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</si>
  <si>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</si>
  <si>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</si>
  <si>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</si>
  <si>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</si>
  <si>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</si>
  <si>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</si>
  <si>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</si>
  <si>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</si>
  <si>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</si>
  <si>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</si>
  <si>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</si>
  <si>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</si>
  <si>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</si>
  <si>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</si>
  <si>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</si>
  <si>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</si>
  <si>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</si>
  <si>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</si>
  <si>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</si>
  <si>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</si>
  <si>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</si>
  <si>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</si>
  <si>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</si>
  <si>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</si>
  <si>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</si>
  <si>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</si>
  <si>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</si>
  <si>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</si>
  <si>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</si>
  <si>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</si>
  <si>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</si>
  <si>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</si>
  <si>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</si>
  <si>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</si>
  <si>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</si>
  <si>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</si>
  <si>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</si>
  <si>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</si>
  <si>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</si>
  <si>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</si>
  <si>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</si>
  <si>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</si>
  <si>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</si>
  <si>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</si>
  <si>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</si>
  <si>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</si>
  <si>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</si>
  <si>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</si>
  <si>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</si>
  <si>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</si>
  <si>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</si>
  <si>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</si>
  <si>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</si>
  <si>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</si>
  <si>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</si>
  <si>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</si>
  <si>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</si>
  <si>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</si>
  <si>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</si>
  <si>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</si>
  <si>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</si>
  <si>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</si>
  <si>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</si>
  <si>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</si>
  <si>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</si>
  <si>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</si>
  <si>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</si>
  <si>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</si>
  <si>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</si>
  <si>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</si>
  <si>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</si>
  <si>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</si>
  <si>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</si>
  <si>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</si>
  <si>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</si>
  <si>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</si>
  <si>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</si>
  <si>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</si>
  <si>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</si>
  <si>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</si>
  <si>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</si>
  <si>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</si>
  <si>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</si>
  <si>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</si>
  <si>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</si>
  <si>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</si>
  <si>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</si>
  <si>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</si>
  <si>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</si>
  <si>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</si>
  <si>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</si>
  <si>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</si>
  <si>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</si>
  <si>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</si>
  <si>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</si>
  <si>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</si>
  <si>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</si>
  <si>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</si>
  <si>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</si>
  <si>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</si>
  <si>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</si>
  <si>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</si>
  <si>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</si>
  <si>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</si>
  <si>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</si>
  <si>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</si>
  <si>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</si>
  <si>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</si>
  <si>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</si>
  <si>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</si>
  <si>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</si>
  <si>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</si>
  <si>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</si>
  <si>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</si>
  <si>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</si>
  <si>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</si>
  <si>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</si>
  <si>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</si>
  <si>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</si>
  <si>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</si>
  <si>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</si>
  <si>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</si>
  <si>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</si>
  <si>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</si>
  <si>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</si>
  <si>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</si>
  <si>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</si>
  <si>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</si>
  <si>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</si>
  <si>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</si>
  <si>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</si>
  <si>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</si>
  <si>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</si>
  <si>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</si>
  <si>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</si>
  <si>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</si>
  <si>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</si>
  <si>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</si>
  <si>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</si>
  <si>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</si>
  <si>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</si>
  <si>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</si>
  <si>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</si>
  <si>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</si>
  <si>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</si>
  <si>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</si>
  <si>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</si>
  <si>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</si>
  <si>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</si>
  <si>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</si>
  <si>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</si>
  <si>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</si>
  <si>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</si>
  <si>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</si>
  <si>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</si>
  <si>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</si>
  <si>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</si>
  <si>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</si>
  <si>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</si>
  <si>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</si>
  <si>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</si>
  <si>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</si>
  <si>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</si>
  <si>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</si>
  <si>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</si>
  <si>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</si>
  <si>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</si>
  <si>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</si>
  <si>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</si>
  <si>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</si>
  <si>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</si>
  <si>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</si>
  <si>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</si>
  <si>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</si>
  <si>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</si>
  <si>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</si>
  <si>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</si>
  <si>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</si>
  <si>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</si>
  <si>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</si>
  <si>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</si>
  <si>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</si>
  <si>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</si>
  <si>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</si>
  <si>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</si>
  <si>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</si>
  <si>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</si>
  <si>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</si>
  <si>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</si>
  <si>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</si>
  <si>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</si>
  <si>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</si>
  <si>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</si>
  <si>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</si>
  <si>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</si>
  <si>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</si>
  <si>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</si>
  <si>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</si>
  <si>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</si>
  <si>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</si>
  <si>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</si>
  <si>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</si>
  <si>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</si>
  <si>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</si>
  <si>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</si>
  <si>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</si>
  <si>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</si>
  <si>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</si>
  <si>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</si>
  <si>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</si>
  <si>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</si>
  <si>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</si>
  <si>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</si>
  <si>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</si>
  <si>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</si>
  <si>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</si>
  <si>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</si>
  <si>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</si>
  <si>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</si>
  <si>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</si>
  <si>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</si>
  <si>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</si>
  <si>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</si>
  <si>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</si>
  <si>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</si>
  <si>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</si>
  <si>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</si>
  <si>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</si>
  <si>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</si>
  <si>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</si>
  <si>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</si>
  <si>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</si>
  <si>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</si>
  <si>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</si>
  <si>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</si>
  <si>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</si>
  <si>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</si>
  <si>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</si>
  <si>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</si>
  <si>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</si>
  <si>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</si>
  <si>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</si>
  <si>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</si>
  <si>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</si>
  <si>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</si>
  <si>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</si>
  <si>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</si>
  <si>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</si>
  <si>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</si>
  <si>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</si>
  <si>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</si>
  <si>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</si>
  <si>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</si>
  <si>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</si>
  <si>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</si>
  <si>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</si>
  <si>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</si>
  <si>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</si>
  <si>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11008</t>
  </si>
  <si>
    <t>BRASSCHAAT</t>
  </si>
  <si>
    <t>Paarden&amp;pony's 200 - 600 kg</t>
  </si>
  <si>
    <t>Paarden&amp;pony's &lt; 200 kg</t>
  </si>
  <si>
    <t>Fluvius</t>
  </si>
  <si>
    <t>referentietaak LNE (2017); Jaarverslag De Lijn</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</si>
  <si>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</si>
  <si>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</si>
  <si>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</si>
  <si>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</si>
  <si>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</si>
  <si>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</si>
  <si>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</si>
  <si>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</si>
  <si>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</si>
  <si>
    <t>Eneas nv in faling</t>
  </si>
  <si>
    <t>Rue Des Anglais 7 , 4430 Ans</t>
  </si>
  <si>
    <t>WKK-0248 Eneas Brasschaat</t>
  </si>
  <si>
    <t>Bredabaan 940 , 2930 Brasschaat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</si>
</sst>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318763.36192354711</c:v>
                </c:pt>
                <c:pt idx="1">
                  <c:v>142913.14186827856</c:v>
                </c:pt>
                <c:pt idx="2">
                  <c:v>1884.7570000000001</c:v>
                </c:pt>
                <c:pt idx="3">
                  <c:v>621.41085347557282</c:v>
                </c:pt>
                <c:pt idx="4">
                  <c:v>12541.775707297409</c:v>
                </c:pt>
                <c:pt idx="5">
                  <c:v>175608.03557774241</c:v>
                </c:pt>
                <c:pt idx="6">
                  <c:v>3841.8488493781906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318763.36192354711</c:v>
                </c:pt>
                <c:pt idx="1">
                  <c:v>142913.14186827856</c:v>
                </c:pt>
                <c:pt idx="2">
                  <c:v>1884.7570000000001</c:v>
                </c:pt>
                <c:pt idx="3">
                  <c:v>621.41085347557282</c:v>
                </c:pt>
                <c:pt idx="4">
                  <c:v>12541.775707297409</c:v>
                </c:pt>
                <c:pt idx="5">
                  <c:v>175608.03557774241</c:v>
                </c:pt>
                <c:pt idx="6">
                  <c:v>3841.8488493781906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62206.377926912843</c:v>
                </c:pt>
                <c:pt idx="2">
                  <c:v>29142.003411581612</c:v>
                </c:pt>
                <c:pt idx="3">
                  <c:v>403.64227634835635</c:v>
                </c:pt>
                <c:pt idx="4">
                  <c:v>149.48222000547733</c:v>
                </c:pt>
                <c:pt idx="5">
                  <c:v>2714.4128320476516</c:v>
                </c:pt>
                <c:pt idx="6">
                  <c:v>43990.301425504229</c:v>
                </c:pt>
                <c:pt idx="7">
                  <c:v>970.31347774675953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62206.377926912843</c:v>
                </c:pt>
                <c:pt idx="2">
                  <c:v>29142.003411581612</c:v>
                </c:pt>
                <c:pt idx="3">
                  <c:v>403.64227634835635</c:v>
                </c:pt>
                <c:pt idx="4">
                  <c:v>149.48222000547733</c:v>
                </c:pt>
                <c:pt idx="5">
                  <c:v>2714.4128320476516</c:v>
                </c:pt>
                <c:pt idx="6">
                  <c:v>43990.301425504229</c:v>
                </c:pt>
                <c:pt idx="7">
                  <c:v>970.31347774675953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11008</v>
      </c>
      <c r="B6" s="391"/>
      <c r="C6" s="392"/>
    </row>
    <row r="7" spans="1:7" s="389" customFormat="1" ht="15.75" customHeight="1">
      <c r="A7" s="393" t="str">
        <f>txtMunicipality</f>
        <v>BRASSCHAAT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0.21416144168630563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0.21416144168630563</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15779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307</v>
      </c>
      <c r="C14" s="330"/>
      <c r="D14" s="330"/>
      <c r="E14" s="330"/>
      <c r="F14" s="330"/>
    </row>
    <row r="15" spans="1:6">
      <c r="A15" s="1305" t="s">
        <v>183</v>
      </c>
      <c r="B15" s="1306">
        <v>0</v>
      </c>
      <c r="C15" s="330"/>
      <c r="D15" s="330"/>
      <c r="E15" s="330"/>
      <c r="F15" s="330"/>
    </row>
    <row r="16" spans="1:6">
      <c r="A16" s="1305" t="s">
        <v>6</v>
      </c>
      <c r="B16" s="1306">
        <v>2</v>
      </c>
      <c r="C16" s="330"/>
      <c r="D16" s="330"/>
      <c r="E16" s="330"/>
      <c r="F16" s="330"/>
    </row>
    <row r="17" spans="1:6">
      <c r="A17" s="1305" t="s">
        <v>7</v>
      </c>
      <c r="B17" s="1306">
        <v>0</v>
      </c>
      <c r="C17" s="330"/>
      <c r="D17" s="330"/>
      <c r="E17" s="330"/>
      <c r="F17" s="330"/>
    </row>
    <row r="18" spans="1:6">
      <c r="A18" s="1305" t="s">
        <v>8</v>
      </c>
      <c r="B18" s="1306">
        <v>1</v>
      </c>
      <c r="C18" s="330"/>
      <c r="D18" s="330"/>
      <c r="E18" s="330"/>
      <c r="F18" s="330"/>
    </row>
    <row r="19" spans="1:6">
      <c r="A19" s="1305" t="s">
        <v>9</v>
      </c>
      <c r="B19" s="1306">
        <v>1</v>
      </c>
      <c r="C19" s="330"/>
      <c r="D19" s="330"/>
      <c r="E19" s="330"/>
      <c r="F19" s="330"/>
    </row>
    <row r="20" spans="1:6">
      <c r="A20" s="1305" t="s">
        <v>10</v>
      </c>
      <c r="B20" s="1306">
        <v>1</v>
      </c>
      <c r="C20" s="330"/>
      <c r="D20" s="330"/>
      <c r="E20" s="330"/>
      <c r="F20" s="330"/>
    </row>
    <row r="21" spans="1:6">
      <c r="A21" s="1305" t="s">
        <v>11</v>
      </c>
      <c r="B21" s="1306">
        <v>1</v>
      </c>
      <c r="C21" s="330"/>
      <c r="D21" s="330"/>
      <c r="E21" s="330"/>
      <c r="F21" s="330"/>
    </row>
    <row r="22" spans="1:6">
      <c r="A22" s="1305" t="s">
        <v>12</v>
      </c>
      <c r="B22" s="1306">
        <v>3</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v>
      </c>
      <c r="C25" s="330"/>
      <c r="D25" s="330"/>
      <c r="E25" s="330"/>
      <c r="F25" s="330"/>
    </row>
    <row r="26" spans="1:6">
      <c r="A26" s="1305" t="s">
        <v>16</v>
      </c>
      <c r="B26" s="1306">
        <v>22</v>
      </c>
      <c r="C26" s="330"/>
      <c r="D26" s="330"/>
      <c r="E26" s="330"/>
      <c r="F26" s="330"/>
    </row>
    <row r="27" spans="1:6">
      <c r="A27" s="1305" t="s">
        <v>17</v>
      </c>
      <c r="B27" s="1306">
        <v>13</v>
      </c>
      <c r="C27" s="330"/>
      <c r="D27" s="330"/>
      <c r="E27" s="330"/>
      <c r="F27" s="330"/>
    </row>
    <row r="28" spans="1:6" s="43" customFormat="1">
      <c r="A28" s="1307" t="s">
        <v>18</v>
      </c>
      <c r="B28" s="1308">
        <v>18</v>
      </c>
      <c r="C28" s="336"/>
      <c r="D28" s="336"/>
      <c r="E28" s="336"/>
      <c r="F28" s="336"/>
    </row>
    <row r="29" spans="1:6">
      <c r="A29" s="1307" t="s">
        <v>909</v>
      </c>
      <c r="B29" s="1308">
        <v>167</v>
      </c>
      <c r="C29" s="336"/>
      <c r="D29" s="336"/>
      <c r="E29" s="336"/>
      <c r="F29" s="336"/>
    </row>
    <row r="30" spans="1:6">
      <c r="A30" s="1300" t="s">
        <v>910</v>
      </c>
      <c r="B30" s="1309">
        <v>41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3496.105</v>
      </c>
    </row>
    <row r="39" spans="1:6">
      <c r="A39" s="1305" t="s">
        <v>29</v>
      </c>
      <c r="B39" s="1305" t="s">
        <v>30</v>
      </c>
      <c r="C39" s="1306">
        <v>13369</v>
      </c>
      <c r="D39" s="1306">
        <v>246886652.00672001</v>
      </c>
      <c r="E39" s="1306">
        <v>15779</v>
      </c>
      <c r="F39" s="1306">
        <v>70778222</v>
      </c>
    </row>
    <row r="40" spans="1:6">
      <c r="A40" s="1305" t="s">
        <v>29</v>
      </c>
      <c r="B40" s="1305" t="s">
        <v>28</v>
      </c>
      <c r="C40" s="1306">
        <v>1</v>
      </c>
      <c r="D40" s="1306">
        <v>206402.82764867201</v>
      </c>
      <c r="E40" s="1306">
        <v>1</v>
      </c>
      <c r="F40" s="1306">
        <v>54488</v>
      </c>
    </row>
    <row r="41" spans="1:6">
      <c r="A41" s="1305" t="s">
        <v>31</v>
      </c>
      <c r="B41" s="1305" t="s">
        <v>32</v>
      </c>
      <c r="C41" s="1306">
        <v>128</v>
      </c>
      <c r="D41" s="1306">
        <v>2802428.4927488202</v>
      </c>
      <c r="E41" s="1306">
        <v>239</v>
      </c>
      <c r="F41" s="1306">
        <v>1979713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143562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234844.7</v>
      </c>
    </row>
    <row r="48" spans="1:6">
      <c r="A48" s="1305" t="s">
        <v>31</v>
      </c>
      <c r="B48" s="1305" t="s">
        <v>28</v>
      </c>
      <c r="C48" s="1306">
        <v>26</v>
      </c>
      <c r="D48" s="1306">
        <v>850077.55547037197</v>
      </c>
      <c r="E48" s="1306">
        <v>30</v>
      </c>
      <c r="F48" s="1306">
        <v>371581.3</v>
      </c>
    </row>
    <row r="49" spans="1:6">
      <c r="A49" s="1305" t="s">
        <v>31</v>
      </c>
      <c r="B49" s="1305" t="s">
        <v>39</v>
      </c>
      <c r="C49" s="1306">
        <v>0</v>
      </c>
      <c r="D49" s="1306">
        <v>0</v>
      </c>
      <c r="E49" s="1306">
        <v>0</v>
      </c>
      <c r="F49" s="1306">
        <v>0</v>
      </c>
    </row>
    <row r="50" spans="1:6">
      <c r="A50" s="1305" t="s">
        <v>31</v>
      </c>
      <c r="B50" s="1305" t="s">
        <v>40</v>
      </c>
      <c r="C50" s="1306">
        <v>11</v>
      </c>
      <c r="D50" s="1306">
        <v>1222962.27150061</v>
      </c>
      <c r="E50" s="1306">
        <v>12</v>
      </c>
      <c r="F50" s="1306">
        <v>921708.4</v>
      </c>
    </row>
    <row r="51" spans="1:6">
      <c r="A51" s="1305" t="s">
        <v>41</v>
      </c>
      <c r="B51" s="1305" t="s">
        <v>42</v>
      </c>
      <c r="C51" s="1306">
        <v>3</v>
      </c>
      <c r="D51" s="1306">
        <v>157961.88925076101</v>
      </c>
      <c r="E51" s="1306">
        <v>8</v>
      </c>
      <c r="F51" s="1306">
        <v>83500.600000000006</v>
      </c>
    </row>
    <row r="52" spans="1:6">
      <c r="A52" s="1305" t="s">
        <v>41</v>
      </c>
      <c r="B52" s="1305" t="s">
        <v>28</v>
      </c>
      <c r="C52" s="1306">
        <v>2</v>
      </c>
      <c r="D52" s="1306">
        <v>41135.782735622801</v>
      </c>
      <c r="E52" s="1306">
        <v>5</v>
      </c>
      <c r="F52" s="1306">
        <v>35919.11</v>
      </c>
    </row>
    <row r="53" spans="1:6">
      <c r="A53" s="1305" t="s">
        <v>43</v>
      </c>
      <c r="B53" s="1305" t="s">
        <v>44</v>
      </c>
      <c r="C53" s="1306">
        <v>354</v>
      </c>
      <c r="D53" s="1306">
        <v>10670771.282906801</v>
      </c>
      <c r="E53" s="1306">
        <v>629</v>
      </c>
      <c r="F53" s="1306">
        <v>2623700</v>
      </c>
    </row>
    <row r="54" spans="1:6">
      <c r="A54" s="1305" t="s">
        <v>45</v>
      </c>
      <c r="B54" s="1305" t="s">
        <v>46</v>
      </c>
      <c r="C54" s="1306">
        <v>0</v>
      </c>
      <c r="D54" s="1306">
        <v>0</v>
      </c>
      <c r="E54" s="1306">
        <v>1</v>
      </c>
      <c r="F54" s="1306">
        <v>1884757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106</v>
      </c>
      <c r="D57" s="1306">
        <v>7414748.9706722004</v>
      </c>
      <c r="E57" s="1306">
        <v>137</v>
      </c>
      <c r="F57" s="1306">
        <v>5595312</v>
      </c>
    </row>
    <row r="58" spans="1:6">
      <c r="A58" s="1305" t="s">
        <v>48</v>
      </c>
      <c r="B58" s="1305" t="s">
        <v>50</v>
      </c>
      <c r="C58" s="1306">
        <v>108</v>
      </c>
      <c r="D58" s="1306">
        <v>14508189.065269399</v>
      </c>
      <c r="E58" s="1306">
        <v>124</v>
      </c>
      <c r="F58" s="1306">
        <v>8395831</v>
      </c>
    </row>
    <row r="59" spans="1:6">
      <c r="A59" s="1305" t="s">
        <v>48</v>
      </c>
      <c r="B59" s="1305" t="s">
        <v>51</v>
      </c>
      <c r="C59" s="1306">
        <v>319</v>
      </c>
      <c r="D59" s="1306">
        <v>9999175.3560741395</v>
      </c>
      <c r="E59" s="1306">
        <v>467</v>
      </c>
      <c r="F59" s="1306">
        <v>12295800</v>
      </c>
    </row>
    <row r="60" spans="1:6">
      <c r="A60" s="1305" t="s">
        <v>48</v>
      </c>
      <c r="B60" s="1305" t="s">
        <v>52</v>
      </c>
      <c r="C60" s="1306">
        <v>122</v>
      </c>
      <c r="D60" s="1306">
        <v>7971228.8259268897</v>
      </c>
      <c r="E60" s="1306">
        <v>143</v>
      </c>
      <c r="F60" s="1306">
        <v>4988461</v>
      </c>
    </row>
    <row r="61" spans="1:6">
      <c r="A61" s="1305" t="s">
        <v>48</v>
      </c>
      <c r="B61" s="1305" t="s">
        <v>53</v>
      </c>
      <c r="C61" s="1306">
        <v>614</v>
      </c>
      <c r="D61" s="1306">
        <v>31971414.246224899</v>
      </c>
      <c r="E61" s="1306">
        <v>1027</v>
      </c>
      <c r="F61" s="1306">
        <v>15050065</v>
      </c>
    </row>
    <row r="62" spans="1:6">
      <c r="A62" s="1305" t="s">
        <v>48</v>
      </c>
      <c r="B62" s="1305" t="s">
        <v>54</v>
      </c>
      <c r="C62" s="1306">
        <v>49</v>
      </c>
      <c r="D62" s="1306">
        <v>10158882.5877681</v>
      </c>
      <c r="E62" s="1306">
        <v>76</v>
      </c>
      <c r="F62" s="1306">
        <v>2843077</v>
      </c>
    </row>
    <row r="63" spans="1:6">
      <c r="A63" s="1305" t="s">
        <v>48</v>
      </c>
      <c r="B63" s="1305" t="s">
        <v>28</v>
      </c>
      <c r="C63" s="1306">
        <v>92</v>
      </c>
      <c r="D63" s="1306">
        <v>4437866.8330194596</v>
      </c>
      <c r="E63" s="1306">
        <v>100</v>
      </c>
      <c r="F63" s="1306">
        <v>3163637</v>
      </c>
    </row>
    <row r="64" spans="1:6">
      <c r="A64" s="1305" t="s">
        <v>55</v>
      </c>
      <c r="B64" s="1305" t="s">
        <v>56</v>
      </c>
      <c r="C64" s="1306">
        <v>0</v>
      </c>
      <c r="D64" s="1306">
        <v>0</v>
      </c>
      <c r="E64" s="1306">
        <v>0</v>
      </c>
      <c r="F64" s="1306">
        <v>0</v>
      </c>
    </row>
    <row r="65" spans="1:6">
      <c r="A65" s="1305" t="s">
        <v>55</v>
      </c>
      <c r="B65" s="1305" t="s">
        <v>28</v>
      </c>
      <c r="C65" s="1306">
        <v>7</v>
      </c>
      <c r="D65" s="1306">
        <v>158796.411277985</v>
      </c>
      <c r="E65" s="1306">
        <v>8</v>
      </c>
      <c r="F65" s="1306">
        <v>105981.2</v>
      </c>
    </row>
    <row r="66" spans="1:6">
      <c r="A66" s="1305" t="s">
        <v>55</v>
      </c>
      <c r="B66" s="1305" t="s">
        <v>57</v>
      </c>
      <c r="C66" s="1306">
        <v>0</v>
      </c>
      <c r="D66" s="1306">
        <v>0</v>
      </c>
      <c r="E66" s="1306">
        <v>26</v>
      </c>
      <c r="F66" s="1306">
        <v>508239.6</v>
      </c>
    </row>
    <row r="67" spans="1:6">
      <c r="A67" s="1307" t="s">
        <v>55</v>
      </c>
      <c r="B67" s="1307" t="s">
        <v>58</v>
      </c>
      <c r="C67" s="1306">
        <v>0</v>
      </c>
      <c r="D67" s="1306">
        <v>0</v>
      </c>
      <c r="E67" s="1306">
        <v>0</v>
      </c>
      <c r="F67" s="1306">
        <v>0</v>
      </c>
    </row>
    <row r="68" spans="1:6">
      <c r="A68" s="1300" t="s">
        <v>55</v>
      </c>
      <c r="B68" s="1300" t="s">
        <v>59</v>
      </c>
      <c r="C68" s="1309">
        <v>3</v>
      </c>
      <c r="D68" s="1309">
        <v>28399.897658750098</v>
      </c>
      <c r="E68" s="1309">
        <v>4</v>
      </c>
      <c r="F68" s="1309">
        <v>14712.74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119129522</v>
      </c>
      <c r="E73" s="450"/>
      <c r="F73" s="330"/>
    </row>
    <row r="74" spans="1:6">
      <c r="A74" s="1305" t="s">
        <v>63</v>
      </c>
      <c r="B74" s="1305" t="s">
        <v>710</v>
      </c>
      <c r="C74" s="1319" t="s">
        <v>712</v>
      </c>
      <c r="D74" s="1320">
        <v>6466331.2677289909</v>
      </c>
      <c r="E74" s="450"/>
      <c r="F74" s="330"/>
    </row>
    <row r="75" spans="1:6">
      <c r="A75" s="1305" t="s">
        <v>64</v>
      </c>
      <c r="B75" s="1305" t="s">
        <v>709</v>
      </c>
      <c r="C75" s="1319" t="s">
        <v>713</v>
      </c>
      <c r="D75" s="1320">
        <v>51915039</v>
      </c>
      <c r="E75" s="450"/>
      <c r="F75" s="330"/>
    </row>
    <row r="76" spans="1:6">
      <c r="A76" s="1305" t="s">
        <v>64</v>
      </c>
      <c r="B76" s="1305" t="s">
        <v>710</v>
      </c>
      <c r="C76" s="1319" t="s">
        <v>714</v>
      </c>
      <c r="D76" s="1320">
        <v>383007.26772899058</v>
      </c>
      <c r="E76" s="450"/>
      <c r="F76" s="330"/>
    </row>
    <row r="77" spans="1:6">
      <c r="A77" s="1305" t="s">
        <v>65</v>
      </c>
      <c r="B77" s="1305" t="s">
        <v>709</v>
      </c>
      <c r="C77" s="1319" t="s">
        <v>715</v>
      </c>
      <c r="D77" s="1320">
        <v>27267326</v>
      </c>
      <c r="E77" s="450"/>
      <c r="F77" s="330"/>
    </row>
    <row r="78" spans="1:6">
      <c r="A78" s="1300" t="s">
        <v>65</v>
      </c>
      <c r="B78" s="1300" t="s">
        <v>710</v>
      </c>
      <c r="C78" s="1300" t="s">
        <v>716</v>
      </c>
      <c r="D78" s="1321">
        <v>6812820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1031537.4645420188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3085.3555076940215</v>
      </c>
      <c r="C91" s="330"/>
      <c r="D91" s="330"/>
      <c r="E91" s="330"/>
      <c r="F91" s="330"/>
    </row>
    <row r="92" spans="1:6">
      <c r="A92" s="1300" t="s">
        <v>68</v>
      </c>
      <c r="B92" s="1301">
        <v>1201.8946636758542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10619</v>
      </c>
      <c r="C97" s="330"/>
      <c r="D97" s="330"/>
      <c r="E97" s="330"/>
      <c r="F97" s="330"/>
    </row>
    <row r="98" spans="1:6">
      <c r="A98" s="1305" t="s">
        <v>71</v>
      </c>
      <c r="B98" s="1306">
        <v>10</v>
      </c>
      <c r="C98" s="330"/>
      <c r="D98" s="330"/>
      <c r="E98" s="330"/>
      <c r="F98" s="330"/>
    </row>
    <row r="99" spans="1:6">
      <c r="A99" s="1305" t="s">
        <v>72</v>
      </c>
      <c r="B99" s="1306">
        <v>37</v>
      </c>
      <c r="C99" s="330"/>
      <c r="D99" s="330"/>
      <c r="E99" s="330"/>
      <c r="F99" s="330"/>
    </row>
    <row r="100" spans="1:6">
      <c r="A100" s="1305" t="s">
        <v>73</v>
      </c>
      <c r="B100" s="1306">
        <v>1008</v>
      </c>
      <c r="C100" s="330"/>
      <c r="D100" s="330"/>
      <c r="E100" s="330"/>
      <c r="F100" s="330"/>
    </row>
    <row r="101" spans="1:6">
      <c r="A101" s="1305" t="s">
        <v>74</v>
      </c>
      <c r="B101" s="1306">
        <v>130</v>
      </c>
      <c r="C101" s="330"/>
      <c r="D101" s="330"/>
      <c r="E101" s="330"/>
      <c r="F101" s="330"/>
    </row>
    <row r="102" spans="1:6">
      <c r="A102" s="1305" t="s">
        <v>75</v>
      </c>
      <c r="B102" s="1306">
        <v>172</v>
      </c>
      <c r="C102" s="330"/>
      <c r="D102" s="330"/>
      <c r="E102" s="330"/>
      <c r="F102" s="330"/>
    </row>
    <row r="103" spans="1:6">
      <c r="A103" s="1305" t="s">
        <v>76</v>
      </c>
      <c r="B103" s="1306">
        <v>162</v>
      </c>
      <c r="C103" s="330"/>
      <c r="D103" s="330"/>
      <c r="E103" s="330"/>
      <c r="F103" s="330"/>
    </row>
    <row r="104" spans="1:6">
      <c r="A104" s="1305" t="s">
        <v>77</v>
      </c>
      <c r="B104" s="1306">
        <v>2355</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17</v>
      </c>
      <c r="C123" s="1306">
        <v>14</v>
      </c>
      <c r="D123" s="330"/>
      <c r="E123" s="330"/>
      <c r="F123" s="330"/>
    </row>
    <row r="124" spans="1:6" s="43" customFormat="1">
      <c r="A124" s="1307" t="s">
        <v>88</v>
      </c>
      <c r="B124" s="1328">
        <v>4</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120</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135716.12199091533</v>
      </c>
      <c r="C3" s="43" t="s">
        <v>169</v>
      </c>
      <c r="D3" s="43"/>
      <c r="E3" s="154"/>
      <c r="F3" s="43"/>
      <c r="G3" s="43"/>
      <c r="H3" s="43"/>
      <c r="I3" s="43"/>
      <c r="J3" s="43"/>
      <c r="K3" s="96"/>
    </row>
    <row r="4" spans="1:11">
      <c r="A4" s="359" t="s">
        <v>170</v>
      </c>
      <c r="B4" s="49">
        <f>IF(ISERROR('SEAP template'!B78+'SEAP template'!C78),0,'SEAP template'!B78+'SEAP template'!C78)</f>
        <v>5451.4001713698763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276.65682352941184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0.21416144168630563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395.2240336134455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1663.0714285714289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1884.7570000000001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1884.7570000000001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0.21416144168630563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403.64227634835635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70832.710000000006</v>
      </c>
      <c r="C5" s="17">
        <f>IF(ISERROR('Eigen informatie GS &amp; warmtenet'!B57),0,'Eigen informatie GS &amp; warmtenet'!B57)</f>
        <v>0</v>
      </c>
      <c r="D5" s="30">
        <f>(SUM(HH_hh_gas_kWh,HH_rest_gas_kWh)/1000)*0.902</f>
        <v>222877.93546060054</v>
      </c>
      <c r="E5" s="17">
        <f>B46*B57</f>
        <v>5967.5572162158251</v>
      </c>
      <c r="F5" s="17">
        <f>B51*B62</f>
        <v>0</v>
      </c>
      <c r="G5" s="18"/>
      <c r="H5" s="17"/>
      <c r="I5" s="17"/>
      <c r="J5" s="17">
        <f>B50*B61+C50*C61</f>
        <v>0</v>
      </c>
      <c r="K5" s="17"/>
      <c r="L5" s="17"/>
      <c r="M5" s="17"/>
      <c r="N5" s="17">
        <f>B48*B59+C48*C59</f>
        <v>15119.857072370096</v>
      </c>
      <c r="O5" s="17">
        <f>B69*B70*B71</f>
        <v>212.61333333333334</v>
      </c>
      <c r="P5" s="17">
        <f>B77*B78*B79/1000-B77*B78*B79/1000/B80</f>
        <v>667.33333333333337</v>
      </c>
    </row>
    <row r="6" spans="1:16">
      <c r="A6" s="16" t="s">
        <v>630</v>
      </c>
      <c r="B6" s="763">
        <f>kWh_PV_kleiner_dan_10kW</f>
        <v>3085.3555076940215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73918.065507694031</v>
      </c>
      <c r="C8" s="21">
        <f>C5</f>
        <v>0</v>
      </c>
      <c r="D8" s="21">
        <f>D5</f>
        <v>222877.93546060054</v>
      </c>
      <c r="E8" s="21">
        <f>E5</f>
        <v>5967.5572162158251</v>
      </c>
      <c r="F8" s="21">
        <f>F5</f>
        <v>0</v>
      </c>
      <c r="G8" s="21"/>
      <c r="H8" s="21"/>
      <c r="I8" s="21"/>
      <c r="J8" s="21">
        <f>J5</f>
        <v>0</v>
      </c>
      <c r="K8" s="21"/>
      <c r="L8" s="21">
        <f>L5</f>
        <v>0</v>
      </c>
      <c r="M8" s="21">
        <f>M5</f>
        <v>0</v>
      </c>
      <c r="N8" s="21">
        <f>N5</f>
        <v>15119.857072370096</v>
      </c>
      <c r="O8" s="21">
        <f>O5</f>
        <v>212.61333333333334</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0.21416144168630563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15830.399475790535</v>
      </c>
      <c r="C12" s="23">
        <f ca="1">C10*C8</f>
        <v>0</v>
      </c>
      <c r="D12" s="23">
        <f>D8*D10</f>
        <v>45021.342963041308</v>
      </c>
      <c r="E12" s="23">
        <f>E10*E8</f>
        <v>1354.6354880809924</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10619</v>
      </c>
      <c r="C18" s="166" t="s">
        <v>110</v>
      </c>
      <c r="D18" s="228"/>
      <c r="E18" s="15"/>
    </row>
    <row r="19" spans="1:7">
      <c r="A19" s="171" t="s">
        <v>71</v>
      </c>
      <c r="B19" s="37">
        <f>aantalw2001_ander</f>
        <v>10</v>
      </c>
      <c r="C19" s="166" t="s">
        <v>110</v>
      </c>
      <c r="D19" s="229"/>
      <c r="E19" s="15"/>
    </row>
    <row r="20" spans="1:7">
      <c r="A20" s="171" t="s">
        <v>72</v>
      </c>
      <c r="B20" s="37">
        <f>aantalw2001_propaan</f>
        <v>37</v>
      </c>
      <c r="C20" s="167">
        <f>IF(ISERROR(B20/SUM($B$20,$B$21,$B$22)*100),0,B20/SUM($B$20,$B$21,$B$22)*100)</f>
        <v>3.1489361702127661</v>
      </c>
      <c r="D20" s="229"/>
      <c r="E20" s="15"/>
    </row>
    <row r="21" spans="1:7">
      <c r="A21" s="171" t="s">
        <v>73</v>
      </c>
      <c r="B21" s="37">
        <f>aantalw2001_elektriciteit</f>
        <v>1008</v>
      </c>
      <c r="C21" s="167">
        <f>IF(ISERROR(B21/SUM($B$20,$B$21,$B$22)*100),0,B21/SUM($B$20,$B$21,$B$22)*100)</f>
        <v>85.787234042553195</v>
      </c>
      <c r="D21" s="229"/>
      <c r="E21" s="15"/>
    </row>
    <row r="22" spans="1:7">
      <c r="A22" s="171" t="s">
        <v>74</v>
      </c>
      <c r="B22" s="37">
        <f>aantalw2001_hout</f>
        <v>130</v>
      </c>
      <c r="C22" s="167">
        <f>IF(ISERROR(B22/SUM($B$20,$B$21,$B$22)*100),0,B22/SUM($B$20,$B$21,$B$22)*100)</f>
        <v>11.063829787234042</v>
      </c>
      <c r="D22" s="229"/>
      <c r="E22" s="15"/>
    </row>
    <row r="23" spans="1:7">
      <c r="A23" s="171" t="s">
        <v>75</v>
      </c>
      <c r="B23" s="37">
        <f>aantalw2001_niet_gespec</f>
        <v>172</v>
      </c>
      <c r="C23" s="166" t="s">
        <v>110</v>
      </c>
      <c r="D23" s="228"/>
      <c r="E23" s="15"/>
    </row>
    <row r="24" spans="1:7">
      <c r="A24" s="171" t="s">
        <v>76</v>
      </c>
      <c r="B24" s="37">
        <f>aantalw2001_steenkool</f>
        <v>162</v>
      </c>
      <c r="C24" s="166" t="s">
        <v>110</v>
      </c>
      <c r="D24" s="229"/>
      <c r="E24" s="15"/>
    </row>
    <row r="25" spans="1:7">
      <c r="A25" s="171" t="s">
        <v>77</v>
      </c>
      <c r="B25" s="37">
        <f>aantalw2001_stookolie</f>
        <v>2355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15779</v>
      </c>
      <c r="C28" s="36"/>
      <c r="D28" s="228"/>
    </row>
    <row r="29" spans="1:7" s="15" customFormat="1">
      <c r="A29" s="230" t="s">
        <v>737</v>
      </c>
      <c r="B29" s="37">
        <f>SUM(HH_hh_gas_aantal,HH_rest_gas_aantal)</f>
        <v>13370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13370</v>
      </c>
      <c r="C32" s="167">
        <f>IF(ISERROR(B32/SUM($B$32,$B$34,$B$35,$B$36,$B$38,$B$39)*100),0,B32/SUM($B$32,$B$34,$B$35,$B$36,$B$38,$B$39)*100)</f>
        <v>84.921239837398375</v>
      </c>
      <c r="D32" s="233"/>
      <c r="G32" s="15"/>
    </row>
    <row r="33" spans="1:7">
      <c r="A33" s="171" t="s">
        <v>71</v>
      </c>
      <c r="B33" s="34" t="s">
        <v>110</v>
      </c>
      <c r="C33" s="167"/>
      <c r="D33" s="233"/>
      <c r="G33" s="15"/>
    </row>
    <row r="34" spans="1:7">
      <c r="A34" s="171" t="s">
        <v>72</v>
      </c>
      <c r="B34" s="33">
        <f>IF((($B$28-$B$32-$B$39-$B$77-$B$38)*C20/100)&lt;0,0,($B$28-$B$32-$B$39-$B$77-$B$38)*C20/100)</f>
        <v>74.755744680851066</v>
      </c>
      <c r="C34" s="167">
        <f>IF(ISERROR(B34/SUM($B$32,$B$34,$B$35,$B$36,$B$38,$B$39)*100),0,B34/SUM($B$32,$B$34,$B$35,$B$36,$B$38,$B$39)*100)</f>
        <v>0.47482053277979591</v>
      </c>
      <c r="D34" s="233"/>
      <c r="G34" s="15"/>
    </row>
    <row r="35" spans="1:7">
      <c r="A35" s="171" t="s">
        <v>73</v>
      </c>
      <c r="B35" s="33">
        <f>IF((($B$28-$B$32-$B$39-$B$77-$B$38)*C21/100)&lt;0,0,($B$28-$B$32-$B$39-$B$77-$B$38)*C21/100)</f>
        <v>2036.5889361702129</v>
      </c>
      <c r="C35" s="167">
        <f>IF(ISERROR(B35/SUM($B$32,$B$34,$B$35,$B$36,$B$38,$B$39)*100),0,B35/SUM($B$32,$B$34,$B$35,$B$36,$B$38,$B$39)*100)</f>
        <v>12.935651271406332</v>
      </c>
      <c r="D35" s="233"/>
      <c r="G35" s="15"/>
    </row>
    <row r="36" spans="1:7">
      <c r="A36" s="171" t="s">
        <v>74</v>
      </c>
      <c r="B36" s="33">
        <f>IF((($B$28-$B$32-$B$39-$B$77-$B$38)*C22/100)&lt;0,0,($B$28-$B$32-$B$39-$B$77-$B$38)*C22/100)</f>
        <v>262.65531914893614</v>
      </c>
      <c r="C36" s="167">
        <f>IF(ISERROR(B36/SUM($B$32,$B$34,$B$35,$B$36,$B$38,$B$39)*100),0,B36/SUM($B$32,$B$34,$B$35,$B$36,$B$38,$B$39)*100)</f>
        <v>1.6682883584154988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13370</v>
      </c>
      <c r="C44" s="34" t="s">
        <v>110</v>
      </c>
      <c r="D44" s="174"/>
    </row>
    <row r="45" spans="1:7">
      <c r="A45" s="171" t="s">
        <v>71</v>
      </c>
      <c r="B45" s="33" t="str">
        <f t="shared" si="0"/>
        <v>-</v>
      </c>
      <c r="C45" s="34" t="s">
        <v>110</v>
      </c>
      <c r="D45" s="174"/>
    </row>
    <row r="46" spans="1:7">
      <c r="A46" s="171" t="s">
        <v>72</v>
      </c>
      <c r="B46" s="33">
        <f t="shared" si="0"/>
        <v>74.755744680851066</v>
      </c>
      <c r="C46" s="34" t="s">
        <v>110</v>
      </c>
      <c r="D46" s="174"/>
    </row>
    <row r="47" spans="1:7">
      <c r="A47" s="171" t="s">
        <v>73</v>
      </c>
      <c r="B47" s="33">
        <f t="shared" si="0"/>
        <v>2036.5889361702129</v>
      </c>
      <c r="C47" s="34" t="s">
        <v>110</v>
      </c>
      <c r="D47" s="174"/>
    </row>
    <row r="48" spans="1:7">
      <c r="A48" s="171" t="s">
        <v>74</v>
      </c>
      <c r="B48" s="33">
        <f t="shared" si="0"/>
        <v>262.65531914893614</v>
      </c>
      <c r="C48" s="33">
        <f>B48*10</f>
        <v>2626.5531914893613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52332.182999999997</v>
      </c>
      <c r="C5" s="17">
        <f>IF(ISERROR('Eigen informatie GS &amp; warmtenet'!B58),0,'Eigen informatie GS &amp; warmtenet'!B58)</f>
        <v>0</v>
      </c>
      <c r="D5" s="30">
        <f>SUM(D6:D12)</f>
        <v>77988.278308229477</v>
      </c>
      <c r="E5" s="17">
        <f>SUM(E6:E12)</f>
        <v>441.4983292358196</v>
      </c>
      <c r="F5" s="17">
        <f>SUM(F6:F12)</f>
        <v>7847.9822228749081</v>
      </c>
      <c r="G5" s="18"/>
      <c r="H5" s="17"/>
      <c r="I5" s="17"/>
      <c r="J5" s="17">
        <f>SUM(J6:J12)</f>
        <v>0</v>
      </c>
      <c r="K5" s="17"/>
      <c r="L5" s="17"/>
      <c r="M5" s="17"/>
      <c r="N5" s="17">
        <f>SUM(N6:N12)</f>
        <v>4533.5033412717012</v>
      </c>
      <c r="O5" s="17">
        <f>B38*B39*B40</f>
        <v>1.5633333333333335</v>
      </c>
      <c r="P5" s="17">
        <f>B46*B47*B48/1000-B46*B47*B48/1000/B49</f>
        <v>38.133333333333333</v>
      </c>
      <c r="R5" s="32"/>
    </row>
    <row r="6" spans="1:18">
      <c r="A6" s="32" t="s">
        <v>53</v>
      </c>
      <c r="B6" s="37">
        <f>B26</f>
        <v>15050.065000000001</v>
      </c>
      <c r="C6" s="33"/>
      <c r="D6" s="37">
        <f>IF(ISERROR(TER_kantoor_gas_kWh/1000),0,TER_kantoor_gas_kWh/1000)*0.902</f>
        <v>28838.215650094862</v>
      </c>
      <c r="E6" s="33">
        <f>$C$26*'E Balans VL '!I12/100/3.6*1000000</f>
        <v>43.602246462635911</v>
      </c>
      <c r="F6" s="33">
        <f>$C$26*('E Balans VL '!L12+'E Balans VL '!N12)/100/3.6*1000000</f>
        <v>1703.3357793599805</v>
      </c>
      <c r="G6" s="34"/>
      <c r="H6" s="33"/>
      <c r="I6" s="33"/>
      <c r="J6" s="33">
        <f>$C$26*('E Balans VL '!D12+'E Balans VL '!E12)/100/3.6*1000000</f>
        <v>0</v>
      </c>
      <c r="K6" s="33"/>
      <c r="L6" s="33"/>
      <c r="M6" s="33"/>
      <c r="N6" s="33">
        <f>$C$26*'E Balans VL '!Y12/100/3.6*1000000</f>
        <v>150.64006126698072</v>
      </c>
      <c r="O6" s="33"/>
      <c r="P6" s="33"/>
      <c r="R6" s="32"/>
    </row>
    <row r="7" spans="1:18">
      <c r="A7" s="32" t="s">
        <v>52</v>
      </c>
      <c r="B7" s="37">
        <f t="shared" ref="B7:B12" si="0">B27</f>
        <v>4988.4610000000002</v>
      </c>
      <c r="C7" s="33"/>
      <c r="D7" s="37">
        <f>IF(ISERROR(TER_horeca_gas_kWh/1000),0,TER_horeca_gas_kWh/1000)*0.902</f>
        <v>7190.0484009860547</v>
      </c>
      <c r="E7" s="33">
        <f>$C$27*'E Balans VL '!I9/100/3.6*1000000</f>
        <v>209.40165529542412</v>
      </c>
      <c r="F7" s="33">
        <f>$C$27*('E Balans VL '!L9+'E Balans VL '!N9)/100/3.6*1000000</f>
        <v>1071.8731438775346</v>
      </c>
      <c r="G7" s="34"/>
      <c r="H7" s="33"/>
      <c r="I7" s="33"/>
      <c r="J7" s="33">
        <f>$C$27*('E Balans VL '!D9+'E Balans VL '!E9)/100/3.6*1000000</f>
        <v>0</v>
      </c>
      <c r="K7" s="33"/>
      <c r="L7" s="33"/>
      <c r="M7" s="33"/>
      <c r="N7" s="33">
        <f>$C$27*'E Balans VL '!Y9/100/3.6*1000000</f>
        <v>1.2854827740259327</v>
      </c>
      <c r="O7" s="33"/>
      <c r="P7" s="33"/>
      <c r="R7" s="32"/>
    </row>
    <row r="8" spans="1:18">
      <c r="A8" s="6" t="s">
        <v>51</v>
      </c>
      <c r="B8" s="37">
        <f t="shared" si="0"/>
        <v>12295.8</v>
      </c>
      <c r="C8" s="33"/>
      <c r="D8" s="37">
        <f>IF(ISERROR(TER_handel_gas_kWh/1000),0,TER_handel_gas_kWh/1000)*0.902</f>
        <v>9019.2561711788749</v>
      </c>
      <c r="E8" s="33">
        <f>$C$28*'E Balans VL '!I13/100/3.6*1000000</f>
        <v>132.06712550343639</v>
      </c>
      <c r="F8" s="33">
        <f>$C$28*('E Balans VL '!L13+'E Balans VL '!N13)/100/3.6*1000000</f>
        <v>1591.7928466232436</v>
      </c>
      <c r="G8" s="34"/>
      <c r="H8" s="33"/>
      <c r="I8" s="33"/>
      <c r="J8" s="33">
        <f>$C$28*('E Balans VL '!D13+'E Balans VL '!E13)/100/3.6*1000000</f>
        <v>0</v>
      </c>
      <c r="K8" s="33"/>
      <c r="L8" s="33"/>
      <c r="M8" s="33"/>
      <c r="N8" s="33">
        <f>$C$28*'E Balans VL '!Y13/100/3.6*1000000</f>
        <v>99.74420097987128</v>
      </c>
      <c r="O8" s="33"/>
      <c r="P8" s="33"/>
      <c r="R8" s="32"/>
    </row>
    <row r="9" spans="1:18">
      <c r="A9" s="32" t="s">
        <v>50</v>
      </c>
      <c r="B9" s="37">
        <f t="shared" si="0"/>
        <v>8395.8310000000001</v>
      </c>
      <c r="C9" s="33"/>
      <c r="D9" s="37">
        <f>IF(ISERROR(TER_gezond_gas_kWh/1000),0,TER_gezond_gas_kWh/1000)*0.902</f>
        <v>13086.386536872998</v>
      </c>
      <c r="E9" s="33">
        <f>$C$29*'E Balans VL '!I10/100/3.6*1000000</f>
        <v>6.6836245038009352</v>
      </c>
      <c r="F9" s="33">
        <f>$C$29*('E Balans VL '!L10+'E Balans VL '!N10)/100/3.6*1000000</f>
        <v>1020.6345887362538</v>
      </c>
      <c r="G9" s="34"/>
      <c r="H9" s="33"/>
      <c r="I9" s="33"/>
      <c r="J9" s="33">
        <f>$C$29*('E Balans VL '!D10+'E Balans VL '!E10)/100/3.6*1000000</f>
        <v>0</v>
      </c>
      <c r="K9" s="33"/>
      <c r="L9" s="33"/>
      <c r="M9" s="33"/>
      <c r="N9" s="33">
        <f>$C$29*'E Balans VL '!Y10/100/3.6*1000000</f>
        <v>67.819298488723234</v>
      </c>
      <c r="O9" s="33"/>
      <c r="P9" s="33"/>
      <c r="R9" s="32"/>
    </row>
    <row r="10" spans="1:18">
      <c r="A10" s="32" t="s">
        <v>49</v>
      </c>
      <c r="B10" s="37">
        <f t="shared" si="0"/>
        <v>5595.3119999999999</v>
      </c>
      <c r="C10" s="33"/>
      <c r="D10" s="37">
        <f>IF(ISERROR(TER_ander_gas_kWh/1000),0,TER_ander_gas_kWh/1000)*0.902</f>
        <v>6688.1035715463249</v>
      </c>
      <c r="E10" s="33">
        <f>$C$30*'E Balans VL '!I14/100/3.6*1000000</f>
        <v>19.1754281640135</v>
      </c>
      <c r="F10" s="33">
        <f>$C$30*('E Balans VL '!L14+'E Balans VL '!N14)/100/3.6*1000000</f>
        <v>1249.7653341033215</v>
      </c>
      <c r="G10" s="34"/>
      <c r="H10" s="33"/>
      <c r="I10" s="33"/>
      <c r="J10" s="33">
        <f>$C$30*('E Balans VL '!D14+'E Balans VL '!E14)/100/3.6*1000000</f>
        <v>0</v>
      </c>
      <c r="K10" s="33"/>
      <c r="L10" s="33"/>
      <c r="M10" s="33"/>
      <c r="N10" s="33">
        <f>$C$30*'E Balans VL '!Y14/100/3.6*1000000</f>
        <v>3941.3683393919623</v>
      </c>
      <c r="O10" s="33"/>
      <c r="P10" s="33"/>
      <c r="R10" s="32"/>
    </row>
    <row r="11" spans="1:18">
      <c r="A11" s="32" t="s">
        <v>54</v>
      </c>
      <c r="B11" s="37">
        <f t="shared" si="0"/>
        <v>2843.0770000000002</v>
      </c>
      <c r="C11" s="33"/>
      <c r="D11" s="37">
        <f>IF(ISERROR(TER_onderwijs_gas_kWh/1000),0,TER_onderwijs_gas_kWh/1000)*0.902</f>
        <v>9163.3120941668276</v>
      </c>
      <c r="E11" s="33">
        <f>$C$31*'E Balans VL '!I11/100/3.6*1000000</f>
        <v>1.9653315702194714</v>
      </c>
      <c r="F11" s="33">
        <f>$C$31*('E Balans VL '!L11+'E Balans VL '!N11)/100/3.6*1000000</f>
        <v>744.23497281673008</v>
      </c>
      <c r="G11" s="34"/>
      <c r="H11" s="33"/>
      <c r="I11" s="33"/>
      <c r="J11" s="33">
        <f>$C$31*('E Balans VL '!D11+'E Balans VL '!E11)/100/3.6*1000000</f>
        <v>0</v>
      </c>
      <c r="K11" s="33"/>
      <c r="L11" s="33"/>
      <c r="M11" s="33"/>
      <c r="N11" s="33">
        <f>$C$31*'E Balans VL '!Y11/100/3.6*1000000</f>
        <v>2.8300409990911843</v>
      </c>
      <c r="O11" s="33"/>
      <c r="P11" s="33"/>
      <c r="R11" s="32"/>
    </row>
    <row r="12" spans="1:18">
      <c r="A12" s="32" t="s">
        <v>259</v>
      </c>
      <c r="B12" s="37">
        <f t="shared" si="0"/>
        <v>3163.6370000000002</v>
      </c>
      <c r="C12" s="33"/>
      <c r="D12" s="37">
        <f>IF(ISERROR(TER_rest_gas_kWh/1000),0,TER_rest_gas_kWh/1000)*0.902</f>
        <v>4002.9558833835526</v>
      </c>
      <c r="E12" s="33">
        <f>$C$32*'E Balans VL '!I8/100/3.6*1000000</f>
        <v>28.60291773628925</v>
      </c>
      <c r="F12" s="33">
        <f>$C$32*('E Balans VL '!L8+'E Balans VL '!N8)/100/3.6*1000000</f>
        <v>466.34555735784397</v>
      </c>
      <c r="G12" s="34"/>
      <c r="H12" s="33"/>
      <c r="I12" s="33"/>
      <c r="J12" s="33">
        <f>$C$32*('E Balans VL '!D8+'E Balans VL '!E8)/100/3.6*1000000</f>
        <v>0</v>
      </c>
      <c r="K12" s="33"/>
      <c r="L12" s="33"/>
      <c r="M12" s="33"/>
      <c r="N12" s="33">
        <f>$C$32*'E Balans VL '!Y8/100/3.6*1000000</f>
        <v>269.81591737104623</v>
      </c>
      <c r="O12" s="33"/>
      <c r="P12" s="33"/>
      <c r="R12" s="32"/>
    </row>
    <row r="13" spans="1:18">
      <c r="A13" s="16" t="s">
        <v>493</v>
      </c>
      <c r="B13" s="247">
        <f ca="1">'lokale energieproductie'!N40+'lokale energieproductie'!N33</f>
        <v>630.00000000000011</v>
      </c>
      <c r="C13" s="247">
        <f ca="1">'lokale energieproductie'!O40+'lokale energieproductie'!O33</f>
        <v>900.00000000000023</v>
      </c>
      <c r="D13" s="308">
        <f ca="1">('lokale energieproductie'!P33+'lokale energieproductie'!P40)*(-1)</f>
        <v>-1800.0000000000005</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52962.182999999997</v>
      </c>
      <c r="C16" s="21">
        <f t="shared" ca="1" si="1"/>
        <v>900.00000000000023</v>
      </c>
      <c r="D16" s="21">
        <f t="shared" ca="1" si="1"/>
        <v>76188.278308229477</v>
      </c>
      <c r="E16" s="21">
        <f t="shared" si="1"/>
        <v>441.4983292358196</v>
      </c>
      <c r="F16" s="21">
        <f t="shared" ca="1" si="1"/>
        <v>7847.9822228749081</v>
      </c>
      <c r="G16" s="21">
        <f t="shared" si="1"/>
        <v>0</v>
      </c>
      <c r="H16" s="21">
        <f t="shared" si="1"/>
        <v>0</v>
      </c>
      <c r="I16" s="21">
        <f t="shared" si="1"/>
        <v>0</v>
      </c>
      <c r="J16" s="21">
        <f t="shared" si="1"/>
        <v>0</v>
      </c>
      <c r="K16" s="21">
        <f t="shared" si="1"/>
        <v>0</v>
      </c>
      <c r="L16" s="21">
        <f t="shared" ca="1" si="1"/>
        <v>0</v>
      </c>
      <c r="M16" s="21">
        <f t="shared" si="1"/>
        <v>0</v>
      </c>
      <c r="N16" s="21">
        <f t="shared" ca="1" si="1"/>
        <v>4533.5033412717012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0.21416144168630563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11342.457466133947</v>
      </c>
      <c r="C20" s="23">
        <f t="shared" ref="C20:P20" ca="1" si="2">C16*C18</f>
        <v>213.88235294117655</v>
      </c>
      <c r="D20" s="23">
        <f t="shared" ca="1" si="2"/>
        <v>15390.032218262355</v>
      </c>
      <c r="E20" s="23">
        <f t="shared" si="2"/>
        <v>100.22012073653106</v>
      </c>
      <c r="F20" s="23">
        <f t="shared" ca="1" si="2"/>
        <v>2095.4112535076006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15050.065000000001</v>
      </c>
      <c r="C26" s="39">
        <f>IF(ISERROR(B26*3.6/1000000/'E Balans VL '!Z12*100),0,B26*3.6/1000000/'E Balans VL '!Z12*100)</f>
        <v>0.33059207734248974</v>
      </c>
      <c r="D26" s="237" t="s">
        <v>691</v>
      </c>
      <c r="F26" s="6"/>
    </row>
    <row r="27" spans="1:18">
      <c r="A27" s="231" t="s">
        <v>52</v>
      </c>
      <c r="B27" s="33">
        <f>IF(ISERROR(TER_horeca_ele_kWh/1000),0,TER_horeca_ele_kWh/1000)</f>
        <v>4988.4610000000002</v>
      </c>
      <c r="C27" s="39">
        <f>IF(ISERROR(B27*3.6/1000000/'E Balans VL '!Z9*100),0,B27*3.6/1000000/'E Balans VL '!Z9*100)</f>
        <v>0.40087256691656059</v>
      </c>
      <c r="D27" s="237" t="s">
        <v>691</v>
      </c>
      <c r="F27" s="6"/>
    </row>
    <row r="28" spans="1:18">
      <c r="A28" s="171" t="s">
        <v>51</v>
      </c>
      <c r="B28" s="33">
        <f>IF(ISERROR(TER_handel_ele_kWh/1000),0,TER_handel_ele_kWh/1000)</f>
        <v>12295.8</v>
      </c>
      <c r="C28" s="39">
        <f>IF(ISERROR(B28*3.6/1000000/'E Balans VL '!Z13*100),0,B28*3.6/1000000/'E Balans VL '!Z13*100)</f>
        <v>0.36357821597375889</v>
      </c>
      <c r="D28" s="237" t="s">
        <v>691</v>
      </c>
      <c r="F28" s="6"/>
    </row>
    <row r="29" spans="1:18">
      <c r="A29" s="231" t="s">
        <v>50</v>
      </c>
      <c r="B29" s="33">
        <f>IF(ISERROR(TER_gezond_ele_kWh/1000),0,TER_gezond_ele_kWh/1000)</f>
        <v>8395.8310000000001</v>
      </c>
      <c r="C29" s="39">
        <f>IF(ISERROR(B29*3.6/1000000/'E Balans VL '!Z10*100),0,B29*3.6/1000000/'E Balans VL '!Z10*100)</f>
        <v>0.94599339245113234</v>
      </c>
      <c r="D29" s="237" t="s">
        <v>691</v>
      </c>
      <c r="F29" s="6"/>
    </row>
    <row r="30" spans="1:18">
      <c r="A30" s="231" t="s">
        <v>49</v>
      </c>
      <c r="B30" s="33">
        <f>IF(ISERROR(TER_ander_ele_kWh/1000),0,TER_ander_ele_kWh/1000)</f>
        <v>5595.3119999999999</v>
      </c>
      <c r="C30" s="39">
        <f>IF(ISERROR(B30*3.6/1000000/'E Balans VL '!Z14*100),0,B30*3.6/1000000/'E Balans VL '!Z14*100)</f>
        <v>0.42316388180617653</v>
      </c>
      <c r="D30" s="237" t="s">
        <v>691</v>
      </c>
      <c r="F30" s="6"/>
    </row>
    <row r="31" spans="1:18">
      <c r="A31" s="231" t="s">
        <v>54</v>
      </c>
      <c r="B31" s="33">
        <f>IF(ISERROR(TER_onderwijs_ele_kWh/1000),0,TER_onderwijs_ele_kWh/1000)</f>
        <v>2843.0770000000002</v>
      </c>
      <c r="C31" s="39">
        <f>IF(ISERROR(B31*3.6/1000000/'E Balans VL '!Z11*100),0,B31*3.6/1000000/'E Balans VL '!Z11*100)</f>
        <v>0.59015678600081867</v>
      </c>
      <c r="D31" s="237" t="s">
        <v>691</v>
      </c>
    </row>
    <row r="32" spans="1:18">
      <c r="A32" s="231" t="s">
        <v>259</v>
      </c>
      <c r="B32" s="33">
        <f>IF(ISERROR(TER_rest_ele_kWh/1000),0,TER_rest_ele_kWh/1000)</f>
        <v>3163.6370000000002</v>
      </c>
      <c r="C32" s="39">
        <f>IF(ISERROR(B32*3.6/1000000/'E Balans VL '!Z8*100),0,B32*3.6/1000000/'E Balans VL '!Z8*100)</f>
        <v>2.6651780620378544E-2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3651.4094</v>
      </c>
      <c r="C5" s="17">
        <f>IF(ISERROR('Eigen informatie GS &amp; warmtenet'!B59),0,'Eigen informatie GS &amp; warmtenet'!B59)</f>
        <v>0</v>
      </c>
      <c r="D5" s="30">
        <f>SUM(D6:D15)</f>
        <v>4397.6724243872623</v>
      </c>
      <c r="E5" s="17">
        <f>SUM(E6:E15)</f>
        <v>576.71891643465619</v>
      </c>
      <c r="F5" s="17">
        <f>SUM(F6:F15)</f>
        <v>3435.807619173343</v>
      </c>
      <c r="G5" s="18"/>
      <c r="H5" s="17"/>
      <c r="I5" s="17"/>
      <c r="J5" s="17">
        <f>SUM(J6:J15)</f>
        <v>23.618404164956342</v>
      </c>
      <c r="K5" s="17"/>
      <c r="L5" s="17"/>
      <c r="M5" s="17"/>
      <c r="N5" s="17">
        <f>SUM(N6:N15)</f>
        <v>685.4703717086187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143.56200000000001</v>
      </c>
      <c r="C8" s="33"/>
      <c r="D8" s="37">
        <f>IF( ISERROR(IND_metaal_Gas_kWH/1000),0,IND_metaal_Gas_kWH/1000)*0.902</f>
        <v>0</v>
      </c>
      <c r="E8" s="33">
        <f>C30*'E Balans VL '!I18/100/3.6*1000000</f>
        <v>3.5928544037644237</v>
      </c>
      <c r="F8" s="33">
        <f>C30*'E Balans VL '!L18/100/3.6*1000000+C30*'E Balans VL '!N18/100/3.6*1000000</f>
        <v>44.993044914113447</v>
      </c>
      <c r="G8" s="34"/>
      <c r="H8" s="33"/>
      <c r="I8" s="33"/>
      <c r="J8" s="40">
        <f>C30*'E Balans VL '!D18/100/3.6*1000000+C30*'E Balans VL '!E18/100/3.6*1000000</f>
        <v>0</v>
      </c>
      <c r="K8" s="33"/>
      <c r="L8" s="33"/>
      <c r="M8" s="33"/>
      <c r="N8" s="33">
        <f>C30*'E Balans VL '!Y18/100/3.6*1000000</f>
        <v>3.6066500158788681</v>
      </c>
      <c r="O8" s="33"/>
      <c r="P8" s="33"/>
      <c r="R8" s="32"/>
    </row>
    <row r="9" spans="1:18">
      <c r="A9" s="6" t="s">
        <v>32</v>
      </c>
      <c r="B9" s="37">
        <f t="shared" si="0"/>
        <v>1979.713</v>
      </c>
      <c r="C9" s="33"/>
      <c r="D9" s="37">
        <f>IF( ISERROR(IND_andere_gas_kWh/1000),0,IND_andere_gas_kWh/1000)*0.902</f>
        <v>2527.7905004594359</v>
      </c>
      <c r="E9" s="33">
        <f>C31*'E Balans VL '!I19/100/3.6*1000000</f>
        <v>544.33987696124439</v>
      </c>
      <c r="F9" s="33">
        <f>C31*'E Balans VL '!L19/100/3.6*1000000+C31*'E Balans VL '!N19/100/3.6*1000000</f>
        <v>1560.3583387960234</v>
      </c>
      <c r="G9" s="34"/>
      <c r="H9" s="33"/>
      <c r="I9" s="33"/>
      <c r="J9" s="40">
        <f>C31*'E Balans VL '!D19/100/3.6*1000000+C31*'E Balans VL '!E19/100/3.6*1000000</f>
        <v>0</v>
      </c>
      <c r="K9" s="33"/>
      <c r="L9" s="33"/>
      <c r="M9" s="33"/>
      <c r="N9" s="33">
        <f>C31*'E Balans VL '!Y19/100/3.6*1000000</f>
        <v>159.4869268069821</v>
      </c>
      <c r="O9" s="33"/>
      <c r="P9" s="33"/>
      <c r="R9" s="32"/>
    </row>
    <row r="10" spans="1:18">
      <c r="A10" s="6" t="s">
        <v>40</v>
      </c>
      <c r="B10" s="37">
        <f t="shared" si="0"/>
        <v>921.70839999999998</v>
      </c>
      <c r="C10" s="33"/>
      <c r="D10" s="37">
        <f>IF( ISERROR(IND_voed_gas_kWh/1000),0,IND_voed_gas_kWh/1000)*0.902</f>
        <v>1103.1119688935503</v>
      </c>
      <c r="E10" s="33">
        <f>C32*'E Balans VL '!I20/100/3.6*1000000</f>
        <v>9.3963093659450827</v>
      </c>
      <c r="F10" s="33">
        <f>C32*'E Balans VL '!L20/100/3.6*1000000+C32*'E Balans VL '!N20/100/3.6*1000000</f>
        <v>1741.101402870433</v>
      </c>
      <c r="G10" s="34"/>
      <c r="H10" s="33"/>
      <c r="I10" s="33"/>
      <c r="J10" s="40">
        <f>C32*'E Balans VL '!D20/100/3.6*1000000+C32*'E Balans VL '!E20/100/3.6*1000000</f>
        <v>22.059497855538726</v>
      </c>
      <c r="K10" s="33"/>
      <c r="L10" s="33"/>
      <c r="M10" s="33"/>
      <c r="N10" s="33">
        <f>C32*'E Balans VL '!Y20/100/3.6*1000000</f>
        <v>485.84649458900708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234.84470000000002</v>
      </c>
      <c r="C13" s="33"/>
      <c r="D13" s="37">
        <f>IF( ISERROR(IND_papier_gas_kWh/1000),0,IND_papier_gas_kWh/1000)*0.902</f>
        <v>0</v>
      </c>
      <c r="E13" s="33">
        <f>C35*'E Balans VL '!I23/100/3.6*1000000</f>
        <v>0.48637922533554939</v>
      </c>
      <c r="F13" s="33">
        <f>C35*'E Balans VL '!L23/100/3.6*1000000+C35*'E Balans VL '!N23/100/3.6*1000000</f>
        <v>4.6574738680208485</v>
      </c>
      <c r="G13" s="34"/>
      <c r="H13" s="33"/>
      <c r="I13" s="33"/>
      <c r="J13" s="40">
        <f>C35*'E Balans VL '!D23/100/3.6*1000000+C35*'E Balans VL '!E23/100/3.6*1000000</f>
        <v>0</v>
      </c>
      <c r="K13" s="33"/>
      <c r="L13" s="33"/>
      <c r="M13" s="33"/>
      <c r="N13" s="33">
        <f>C35*'E Balans VL '!Y23/100/3.6*1000000</f>
        <v>16.287666978543445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371.5813</v>
      </c>
      <c r="C15" s="33"/>
      <c r="D15" s="37">
        <f>IF( ISERROR(IND_rest_gas_kWh/1000),0,IND_rest_gas_kWh/1000)*0.902</f>
        <v>766.76995503427554</v>
      </c>
      <c r="E15" s="33">
        <f>C37*'E Balans VL '!I15/100/3.6*1000000</f>
        <v>18.903496478366765</v>
      </c>
      <c r="F15" s="33">
        <f>C37*'E Balans VL '!L15/100/3.6*1000000+C37*'E Balans VL '!N15/100/3.6*1000000</f>
        <v>84.697358724752192</v>
      </c>
      <c r="G15" s="34"/>
      <c r="H15" s="33"/>
      <c r="I15" s="33"/>
      <c r="J15" s="40">
        <f>C37*'E Balans VL '!D15/100/3.6*1000000+C37*'E Balans VL '!E15/100/3.6*1000000</f>
        <v>1.558906309417617</v>
      </c>
      <c r="K15" s="33"/>
      <c r="L15" s="33"/>
      <c r="M15" s="33"/>
      <c r="N15" s="33">
        <f>C37*'E Balans VL '!Y15/100/3.6*1000000</f>
        <v>20.242633318207144</v>
      </c>
      <c r="O15" s="33"/>
      <c r="P15" s="33"/>
      <c r="R15" s="32"/>
    </row>
    <row r="16" spans="1:18">
      <c r="A16" s="16" t="s">
        <v>493</v>
      </c>
      <c r="B16" s="247">
        <f>'lokale energieproductie'!N39+'lokale energieproductie'!N32</f>
        <v>534.15000000000009</v>
      </c>
      <c r="C16" s="247">
        <f>'lokale energieproductie'!O39+'lokale energieproductie'!O32</f>
        <v>763.07142857142867</v>
      </c>
      <c r="D16" s="308">
        <f>('lokale energieproductie'!P32+'lokale energieproductie'!P39)*(-1)</f>
        <v>-1526.1428571428573</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4185.5594000000001</v>
      </c>
      <c r="C18" s="21">
        <f>C5+C16</f>
        <v>763.07142857142867</v>
      </c>
      <c r="D18" s="21">
        <f>MAX((D5+D16),0)</f>
        <v>2871.5295672444049</v>
      </c>
      <c r="E18" s="21">
        <f>MAX((E5+E16),0)</f>
        <v>576.71891643465619</v>
      </c>
      <c r="F18" s="21">
        <f>MAX((F5+F16),0)</f>
        <v>3435.807619173343</v>
      </c>
      <c r="G18" s="21"/>
      <c r="H18" s="21"/>
      <c r="I18" s="21"/>
      <c r="J18" s="21">
        <f>MAX((J5+J16),0)</f>
        <v>23.618404164956342</v>
      </c>
      <c r="K18" s="21"/>
      <c r="L18" s="21">
        <f>MAX((L5+L16),0)</f>
        <v>0</v>
      </c>
      <c r="M18" s="21"/>
      <c r="N18" s="21">
        <f>MAX((N5+N16),0)</f>
        <v>685.4703717086187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0.21416144168630563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896.38543536766838</v>
      </c>
      <c r="C22" s="23">
        <f ca="1">C18*C20</f>
        <v>181.34168067226895</v>
      </c>
      <c r="D22" s="23">
        <f>D18*D20</f>
        <v>580.04897258336985</v>
      </c>
      <c r="E22" s="23">
        <f>E18*E20</f>
        <v>130.91519403066695</v>
      </c>
      <c r="F22" s="23">
        <f>F18*F20</f>
        <v>917.36063431928267</v>
      </c>
      <c r="G22" s="23"/>
      <c r="H22" s="23"/>
      <c r="I22" s="23"/>
      <c r="J22" s="23">
        <f>J18*J20</f>
        <v>8.3609150743945442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143.56200000000001</v>
      </c>
      <c r="C30" s="39">
        <f>IF(ISERROR(B30*3.6/1000000/'E Balans VL '!Z18*100),0,B30*3.6/1000000/'E Balans VL '!Z18*100)</f>
        <v>2.0093895743496862E-2</v>
      </c>
      <c r="D30" s="237" t="s">
        <v>691</v>
      </c>
    </row>
    <row r="31" spans="1:18">
      <c r="A31" s="6" t="s">
        <v>32</v>
      </c>
      <c r="B31" s="37">
        <f>IF( ISERROR(IND_ander_ele_kWh/1000),0,IND_ander_ele_kWh/1000)</f>
        <v>1979.713</v>
      </c>
      <c r="C31" s="39">
        <f>IF(ISERROR(B31*3.6/1000000/'E Balans VL '!Z19*100),0,B31*3.6/1000000/'E Balans VL '!Z19*100)</f>
        <v>8.6651716854923497E-2</v>
      </c>
      <c r="D31" s="237" t="s">
        <v>691</v>
      </c>
    </row>
    <row r="32" spans="1:18">
      <c r="A32" s="171" t="s">
        <v>40</v>
      </c>
      <c r="B32" s="37">
        <f>IF( ISERROR(IND_voed_ele_kWh/1000),0,IND_voed_ele_kWh/1000)</f>
        <v>921.70839999999998</v>
      </c>
      <c r="C32" s="39">
        <f>IF(ISERROR(B32*3.6/1000000/'E Balans VL '!Z20*100),0,B32*3.6/1000000/'E Balans VL '!Z20*100)</f>
        <v>0.22818439141381133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234.84470000000002</v>
      </c>
      <c r="C35" s="39">
        <f>IF(ISERROR(B35*3.6/1000000/'E Balans VL '!Z22*100),0,B35*3.6/1000000/'E Balans VL '!Z22*100)</f>
        <v>6.6639344711173637E-3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371.5813</v>
      </c>
      <c r="C37" s="39">
        <f>IF(ISERROR(B37*3.6/1000000/'E Balans VL '!Z15*100),0,B37*3.6/1000000/'E Balans VL '!Z15*100)</f>
        <v>2.7552117220893775E-3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119.41971000000001</v>
      </c>
      <c r="C5" s="17">
        <f>'Eigen informatie GS &amp; warmtenet'!B60</f>
        <v>0</v>
      </c>
      <c r="D5" s="30">
        <f>IF(ISERROR(SUM(LB_lb_gas_kWh,LB_rest_gas_kWh)/1000),0,SUM(LB_lb_gas_kWh,LB_rest_gas_kWh)/1000)*0.902</f>
        <v>179.58610013171821</v>
      </c>
      <c r="E5" s="17">
        <f>B17*'E Balans VL '!I25/3.6*1000000/100</f>
        <v>1.1061153715922594</v>
      </c>
      <c r="F5" s="17">
        <f>B17*('E Balans VL '!L25/3.6*1000000+'E Balans VL '!N25/3.6*1000000)/100</f>
        <v>302.99055370140906</v>
      </c>
      <c r="G5" s="18"/>
      <c r="H5" s="17"/>
      <c r="I5" s="17"/>
      <c r="J5" s="17">
        <f>('E Balans VL '!D25+'E Balans VL '!E25)/3.6*1000000*landbouw!B17/100</f>
        <v>18.308374270853292</v>
      </c>
      <c r="K5" s="17"/>
      <c r="L5" s="17">
        <f>L6*(-1)</f>
        <v>0</v>
      </c>
      <c r="M5" s="17"/>
      <c r="N5" s="17">
        <f>N6*(-1)</f>
        <v>0</v>
      </c>
      <c r="O5" s="17"/>
      <c r="P5" s="17"/>
      <c r="R5" s="32"/>
    </row>
    <row r="6" spans="1:18">
      <c r="A6" s="16" t="s">
        <v>493</v>
      </c>
      <c r="B6" s="17" t="s">
        <v>210</v>
      </c>
      <c r="C6" s="17">
        <f>'lokale energieproductie'!O41+'lokale energieproductie'!O34</f>
        <v>0</v>
      </c>
      <c r="D6" s="308">
        <f>('lokale energieproductie'!P34+'lokale energieproductie'!P41)*(-1)</f>
        <v>0</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119.41971000000001</v>
      </c>
      <c r="C8" s="21">
        <f>C5+C6</f>
        <v>0</v>
      </c>
      <c r="D8" s="21">
        <f>MAX((D5+D6),0)</f>
        <v>179.58610013171821</v>
      </c>
      <c r="E8" s="21">
        <f>MAX((E5+E6),0)</f>
        <v>1.1061153715922594</v>
      </c>
      <c r="F8" s="21">
        <f>MAX((F5+F6),0)</f>
        <v>302.99055370140906</v>
      </c>
      <c r="G8" s="21"/>
      <c r="H8" s="21"/>
      <c r="I8" s="21"/>
      <c r="J8" s="21">
        <f>MAX((J5+J6),0)</f>
        <v>18.308374270853292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0.21416144168630563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25.575097259360533</v>
      </c>
      <c r="C12" s="23">
        <f ca="1">C8*C10</f>
        <v>0</v>
      </c>
      <c r="D12" s="23">
        <f>D8*D10</f>
        <v>36.276392226607079</v>
      </c>
      <c r="E12" s="23">
        <f>E8*E10</f>
        <v>0.25108818935144289</v>
      </c>
      <c r="F12" s="23">
        <f>F8*F10</f>
        <v>80.898477838276222</v>
      </c>
      <c r="G12" s="23"/>
      <c r="H12" s="23"/>
      <c r="I12" s="23"/>
      <c r="J12" s="23">
        <f>J8*J10</f>
        <v>6.4811644918820654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1.6978950626470729E-2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4.0804118777592722</v>
      </c>
      <c r="C26" s="247">
        <f>B26*'GWP N2O_CH4'!B5</f>
        <v>85.688649432944715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0.41420328983525867</v>
      </c>
      <c r="C27" s="247">
        <f>B27*'GWP N2O_CH4'!B5</f>
        <v>8.6982690865404315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2.5945446587348455E-2</v>
      </c>
      <c r="C28" s="247">
        <f>B28*'GWP N2O_CH4'!B4</f>
        <v>8.0430884420780213</v>
      </c>
      <c r="D28" s="50"/>
    </row>
    <row r="29" spans="1:4">
      <c r="A29" s="41" t="s">
        <v>276</v>
      </c>
      <c r="B29" s="247">
        <f>B34*'ha_N2O bodem landbouw'!B4</f>
        <v>2.0322746543099388</v>
      </c>
      <c r="C29" s="247">
        <f>B29*'GWP N2O_CH4'!B4</f>
        <v>630.00514283608106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4.5580340174838463E-4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8.0774543596696542E-5</v>
      </c>
      <c r="C5" s="438" t="s">
        <v>210</v>
      </c>
      <c r="D5" s="423">
        <f>SUM(D6:D11)</f>
        <v>1.6747889773398916E-4</v>
      </c>
      <c r="E5" s="423">
        <f>SUM(E6:E11)</f>
        <v>1.6362348013412445E-3</v>
      </c>
      <c r="F5" s="436" t="s">
        <v>210</v>
      </c>
      <c r="G5" s="423">
        <f>SUM(G6:G11)</f>
        <v>0.49662173198876913</v>
      </c>
      <c r="H5" s="423">
        <f>SUM(H6:H11)</f>
        <v>0.10178525245324851</v>
      </c>
      <c r="I5" s="438" t="s">
        <v>210</v>
      </c>
      <c r="J5" s="438" t="s">
        <v>210</v>
      </c>
      <c r="K5" s="438" t="s">
        <v>210</v>
      </c>
      <c r="L5" s="438" t="s">
        <v>210</v>
      </c>
      <c r="M5" s="423">
        <f>SUM(M6:M11)</f>
        <v>3.1897455395183037E-2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4.8522723040009295E-5</v>
      </c>
      <c r="C6" s="424"/>
      <c r="D6" s="866">
        <f>vkm_GW_PW*SUMIFS(TableVerdeelsleutelVkm[CNG],TableVerdeelsleutelVkm[Voertuigtype],"Lichte voertuigen")*SUMIFS(TableECFTransport[EnergieConsumptieFactor (PJ per km)],TableECFTransport[Index],CONCATENATE($A6,"_CNG_CNG"))</f>
        <v>8.4671398988505364E-5</v>
      </c>
      <c r="E6" s="866">
        <f>vkm_GW_PW*SUMIFS(TableVerdeelsleutelVkm[LPG],TableVerdeelsleutelVkm[Voertuigtype],"Lichte voertuigen")*SUMIFS(TableECFTransport[EnergieConsumptieFactor (PJ per km)],TableECFTransport[Index],CONCATENATE($A6,"_LPG_LPG"))</f>
        <v>8.200841213123058E-4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0.19273387964093999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5.1852276805419366E-2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1.2755804663048905E-2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6.052381899551533E-2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1.1737492317190758E-6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3.5090341956226126E-3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2.1145548279865348E-5</v>
      </c>
      <c r="C8" s="424"/>
      <c r="D8" s="426">
        <f>vkm_NGW_PW*SUMIFS(TableVerdeelsleutelVkm[CNG],TableVerdeelsleutelVkm[Voertuigtype],"Lichte voertuigen")*SUMIFS(TableECFTransport[EnergieConsumptieFactor (PJ per km)],TableECFTransport[Index],CONCATENATE($A8,"_CNG_CNG"))</f>
        <v>6.3183988963019734E-5</v>
      </c>
      <c r="E8" s="426">
        <f>vkm_NGW_PW*SUMIFS(TableVerdeelsleutelVkm[LPG],TableVerdeelsleutelVkm[Voertuigtype],"Lichte voertuigen")*SUMIFS(TableECFTransport[EnergieConsumptieFactor (PJ per km)],TableECFTransport[Index],CONCATENATE($A8,"_LPG_LPG"))</f>
        <v>5.7913850503520288E-4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0.12775899886681011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3.7360231209064003E-2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8.5466971978782006E-3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4.6316037155082175E-3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1.112593934530717E-7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2.6853056640482095E-4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1.1106272276821899E-5</v>
      </c>
      <c r="C10" s="424"/>
      <c r="D10" s="426">
        <f>vkm_SW_PW*SUMIFS(TableVerdeelsleutelVkm[CNG],TableVerdeelsleutelVkm[Voertuigtype],"Lichte voertuigen")*SUMIFS(TableECFTransport[EnergieConsumptieFactor (PJ per km)],TableECFTransport[Index],CONCATENATE($A10,"_CNG_CNG"))</f>
        <v>1.962350978246406E-5</v>
      </c>
      <c r="E10" s="426">
        <f>vkm_SW_PW*SUMIFS(TableVerdeelsleutelVkm[LPG],TableVerdeelsleutelVkm[Voertuigtype],"Lichte voertuigen")*SUMIFS(TableECFTransport[EnergieConsumptieFactor (PJ per km)],TableECFTransport[Index],CONCATENATE($A10,"_LPG_LPG"))</f>
        <v>2.3701217499373585E-4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5.0085669552345446E-2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1.257020478835434E-2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3.2872517771849285E-3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6.0887761217650126E-2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1.2546417856411735E-6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3.530136995043565E-3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22.437373221304597</v>
      </c>
      <c r="C14" s="21"/>
      <c r="D14" s="21">
        <f t="shared" ref="D14:M14" si="0">((D5)*10^9/3600)+D12</f>
        <v>46.521916037219206</v>
      </c>
      <c r="E14" s="21">
        <f t="shared" si="0"/>
        <v>454.50966703923456</v>
      </c>
      <c r="F14" s="21"/>
      <c r="G14" s="21">
        <f t="shared" si="0"/>
        <v>137950.48110799142</v>
      </c>
      <c r="H14" s="21">
        <f t="shared" si="0"/>
        <v>28273.681237013476</v>
      </c>
      <c r="I14" s="21"/>
      <c r="J14" s="21"/>
      <c r="K14" s="21"/>
      <c r="L14" s="21"/>
      <c r="M14" s="21">
        <f t="shared" si="0"/>
        <v>8860.4042764397327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0.21416144168630563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4.8052201967282997</v>
      </c>
      <c r="C18" s="23"/>
      <c r="D18" s="23">
        <f t="shared" ref="D18:M18" si="1">D14*D16</f>
        <v>9.3974270395182806</v>
      </c>
      <c r="E18" s="23">
        <f t="shared" si="1"/>
        <v>103.17369441790625</v>
      </c>
      <c r="F18" s="23"/>
      <c r="G18" s="23">
        <f t="shared" si="1"/>
        <v>36832.778455833715</v>
      </c>
      <c r="H18" s="23">
        <f t="shared" si="1"/>
        <v>7040.1466280163559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1.3082878351641701E-2</v>
      </c>
      <c r="H50" s="319">
        <f t="shared" si="2"/>
        <v>0</v>
      </c>
      <c r="I50" s="319">
        <f t="shared" si="2"/>
        <v>0</v>
      </c>
      <c r="J50" s="319">
        <f t="shared" si="2"/>
        <v>0</v>
      </c>
      <c r="K50" s="319">
        <f t="shared" si="2"/>
        <v>0</v>
      </c>
      <c r="L50" s="319">
        <f t="shared" si="2"/>
        <v>0</v>
      </c>
      <c r="M50" s="319">
        <f t="shared" si="2"/>
        <v>7.4777750611978555E-4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1.3082878351641701E-2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7.4777750611978555E-4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3634.1328754560282</v>
      </c>
      <c r="H54" s="21">
        <f t="shared" si="3"/>
        <v>0</v>
      </c>
      <c r="I54" s="21">
        <f t="shared" si="3"/>
        <v>0</v>
      </c>
      <c r="J54" s="21">
        <f t="shared" si="3"/>
        <v>0</v>
      </c>
      <c r="K54" s="21">
        <f t="shared" si="3"/>
        <v>0</v>
      </c>
      <c r="L54" s="21">
        <f t="shared" si="3"/>
        <v>0</v>
      </c>
      <c r="M54" s="21">
        <f t="shared" si="3"/>
        <v>207.71597392216268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0.21416144168630563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970.31347774675953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54846.939999999995</v>
      </c>
      <c r="D10" s="991">
        <f ca="1">tertiair!C16</f>
        <v>900.00000000000023</v>
      </c>
      <c r="E10" s="991">
        <f ca="1">tertiair!D16</f>
        <v>76188.278308229477</v>
      </c>
      <c r="F10" s="991">
        <f>tertiair!E16</f>
        <v>441.4983292358196</v>
      </c>
      <c r="G10" s="991">
        <f ca="1">tertiair!F16</f>
        <v>7847.9822228749081</v>
      </c>
      <c r="H10" s="991">
        <f>tertiair!G16</f>
        <v>0</v>
      </c>
      <c r="I10" s="991">
        <f>tertiair!H16</f>
        <v>0</v>
      </c>
      <c r="J10" s="991">
        <f>tertiair!I16</f>
        <v>0</v>
      </c>
      <c r="K10" s="991">
        <f>tertiair!J16</f>
        <v>0</v>
      </c>
      <c r="L10" s="991">
        <f>tertiair!K16</f>
        <v>0</v>
      </c>
      <c r="M10" s="991">
        <f ca="1">tertiair!L16</f>
        <v>0</v>
      </c>
      <c r="N10" s="991">
        <f>tertiair!M16</f>
        <v>0</v>
      </c>
      <c r="O10" s="991">
        <f ca="1">tertiair!N16</f>
        <v>4533.5033412717012</v>
      </c>
      <c r="P10" s="991">
        <f>tertiair!O16</f>
        <v>1.5633333333333335</v>
      </c>
      <c r="Q10" s="992">
        <f>tertiair!P16</f>
        <v>38.133333333333333</v>
      </c>
      <c r="R10" s="675">
        <f ca="1">SUM(C10:Q10)</f>
        <v>144797.89886827854</v>
      </c>
      <c r="S10" s="67"/>
    </row>
    <row r="11" spans="1:19" s="448" customFormat="1">
      <c r="A11" s="784" t="s">
        <v>224</v>
      </c>
      <c r="B11" s="789"/>
      <c r="C11" s="991">
        <f>huishoudens!B8</f>
        <v>73918.065507694031</v>
      </c>
      <c r="D11" s="991">
        <f>huishoudens!C8</f>
        <v>0</v>
      </c>
      <c r="E11" s="991">
        <f>huishoudens!D8</f>
        <v>222877.93546060054</v>
      </c>
      <c r="F11" s="991">
        <f>huishoudens!E8</f>
        <v>5967.5572162158251</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15119.857072370096</v>
      </c>
      <c r="P11" s="991">
        <f>huishoudens!O8</f>
        <v>212.61333333333334</v>
      </c>
      <c r="Q11" s="992">
        <f>huishoudens!P8</f>
        <v>667.33333333333337</v>
      </c>
      <c r="R11" s="675">
        <f>SUM(C11:Q11)</f>
        <v>318763.36192354711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4185.5594000000001</v>
      </c>
      <c r="D13" s="991">
        <f>industrie!C18</f>
        <v>763.07142857142867</v>
      </c>
      <c r="E13" s="991">
        <f>industrie!D18</f>
        <v>2871.5295672444049</v>
      </c>
      <c r="F13" s="991">
        <f>industrie!E18</f>
        <v>576.71891643465619</v>
      </c>
      <c r="G13" s="991">
        <f>industrie!F18</f>
        <v>3435.807619173343</v>
      </c>
      <c r="H13" s="991">
        <f>industrie!G18</f>
        <v>0</v>
      </c>
      <c r="I13" s="991">
        <f>industrie!H18</f>
        <v>0</v>
      </c>
      <c r="J13" s="991">
        <f>industrie!I18</f>
        <v>0</v>
      </c>
      <c r="K13" s="991">
        <f>industrie!J18</f>
        <v>23.618404164956342</v>
      </c>
      <c r="L13" s="991">
        <f>industrie!K18</f>
        <v>0</v>
      </c>
      <c r="M13" s="991">
        <f>industrie!L18</f>
        <v>0</v>
      </c>
      <c r="N13" s="991">
        <f>industrie!M18</f>
        <v>0</v>
      </c>
      <c r="O13" s="991">
        <f>industrie!N18</f>
        <v>685.4703717086187</v>
      </c>
      <c r="P13" s="991">
        <f>industrie!O18</f>
        <v>0</v>
      </c>
      <c r="Q13" s="992">
        <f>industrie!P18</f>
        <v>0</v>
      </c>
      <c r="R13" s="675">
        <f>SUM(C13:Q13)</f>
        <v>12541.775707297409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132950.56490769403</v>
      </c>
      <c r="D16" s="707">
        <f t="shared" ref="D16:R16" ca="1" si="0">SUM(D9:D15)</f>
        <v>1663.0714285714289</v>
      </c>
      <c r="E16" s="707">
        <f t="shared" ca="1" si="0"/>
        <v>301937.7433360744</v>
      </c>
      <c r="F16" s="707">
        <f t="shared" si="0"/>
        <v>6985.7744618863007</v>
      </c>
      <c r="G16" s="707">
        <f t="shared" ca="1" si="0"/>
        <v>11283.789842048251</v>
      </c>
      <c r="H16" s="707">
        <f t="shared" si="0"/>
        <v>0</v>
      </c>
      <c r="I16" s="707">
        <f t="shared" si="0"/>
        <v>0</v>
      </c>
      <c r="J16" s="707">
        <f t="shared" si="0"/>
        <v>0</v>
      </c>
      <c r="K16" s="707">
        <f t="shared" si="0"/>
        <v>23.618404164956342</v>
      </c>
      <c r="L16" s="707">
        <f t="shared" si="0"/>
        <v>0</v>
      </c>
      <c r="M16" s="707">
        <f t="shared" ca="1" si="0"/>
        <v>0</v>
      </c>
      <c r="N16" s="707">
        <f t="shared" si="0"/>
        <v>0</v>
      </c>
      <c r="O16" s="707">
        <f t="shared" ca="1" si="0"/>
        <v>20338.830785350416</v>
      </c>
      <c r="P16" s="707">
        <f t="shared" si="0"/>
        <v>214.17666666666668</v>
      </c>
      <c r="Q16" s="707">
        <f t="shared" si="0"/>
        <v>705.4666666666667</v>
      </c>
      <c r="R16" s="707">
        <f t="shared" ca="1" si="0"/>
        <v>476103.03649912309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3634.1328754560282</v>
      </c>
      <c r="I19" s="991">
        <f>transport!H54</f>
        <v>0</v>
      </c>
      <c r="J19" s="991">
        <f>transport!I54</f>
        <v>0</v>
      </c>
      <c r="K19" s="991">
        <f>transport!J54</f>
        <v>0</v>
      </c>
      <c r="L19" s="991">
        <f>transport!K54</f>
        <v>0</v>
      </c>
      <c r="M19" s="991">
        <f>transport!L54</f>
        <v>0</v>
      </c>
      <c r="N19" s="991">
        <f>transport!M54</f>
        <v>207.71597392216268</v>
      </c>
      <c r="O19" s="991">
        <f>transport!N54</f>
        <v>0</v>
      </c>
      <c r="P19" s="991">
        <f>transport!O54</f>
        <v>0</v>
      </c>
      <c r="Q19" s="992">
        <f>transport!P54</f>
        <v>0</v>
      </c>
      <c r="R19" s="675">
        <f>SUM(C19:Q19)</f>
        <v>3841.8488493781906</v>
      </c>
      <c r="S19" s="67"/>
    </row>
    <row r="20" spans="1:19" s="448" customFormat="1">
      <c r="A20" s="784" t="s">
        <v>306</v>
      </c>
      <c r="B20" s="789"/>
      <c r="C20" s="991">
        <f>transport!B14</f>
        <v>22.437373221304597</v>
      </c>
      <c r="D20" s="991">
        <f>transport!C14</f>
        <v>0</v>
      </c>
      <c r="E20" s="991">
        <f>transport!D14</f>
        <v>46.521916037219206</v>
      </c>
      <c r="F20" s="991">
        <f>transport!E14</f>
        <v>454.50966703923456</v>
      </c>
      <c r="G20" s="991">
        <f>transport!F14</f>
        <v>0</v>
      </c>
      <c r="H20" s="991">
        <f>transport!G14</f>
        <v>137950.48110799142</v>
      </c>
      <c r="I20" s="991">
        <f>transport!H14</f>
        <v>28273.681237013476</v>
      </c>
      <c r="J20" s="991">
        <f>transport!I14</f>
        <v>0</v>
      </c>
      <c r="K20" s="991">
        <f>transport!J14</f>
        <v>0</v>
      </c>
      <c r="L20" s="991">
        <f>transport!K14</f>
        <v>0</v>
      </c>
      <c r="M20" s="991">
        <f>transport!L14</f>
        <v>0</v>
      </c>
      <c r="N20" s="991">
        <f>transport!M14</f>
        <v>8860.4042764397327</v>
      </c>
      <c r="O20" s="991">
        <f>transport!N14</f>
        <v>0</v>
      </c>
      <c r="P20" s="991">
        <f>transport!O14</f>
        <v>0</v>
      </c>
      <c r="Q20" s="992">
        <f>transport!P14</f>
        <v>0</v>
      </c>
      <c r="R20" s="675">
        <f>SUM(C20:Q20)</f>
        <v>175608.03557774241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22.437373221304597</v>
      </c>
      <c r="D22" s="787">
        <f t="shared" ref="D22:R22" si="1">SUM(D18:D21)</f>
        <v>0</v>
      </c>
      <c r="E22" s="787">
        <f t="shared" si="1"/>
        <v>46.521916037219206</v>
      </c>
      <c r="F22" s="787">
        <f t="shared" si="1"/>
        <v>454.50966703923456</v>
      </c>
      <c r="G22" s="787">
        <f t="shared" si="1"/>
        <v>0</v>
      </c>
      <c r="H22" s="787">
        <f t="shared" si="1"/>
        <v>141584.61398344746</v>
      </c>
      <c r="I22" s="787">
        <f t="shared" si="1"/>
        <v>28273.681237013476</v>
      </c>
      <c r="J22" s="787">
        <f t="shared" si="1"/>
        <v>0</v>
      </c>
      <c r="K22" s="787">
        <f t="shared" si="1"/>
        <v>0</v>
      </c>
      <c r="L22" s="787">
        <f t="shared" si="1"/>
        <v>0</v>
      </c>
      <c r="M22" s="787">
        <f t="shared" si="1"/>
        <v>0</v>
      </c>
      <c r="N22" s="787">
        <f t="shared" si="1"/>
        <v>9068.1202503618952</v>
      </c>
      <c r="O22" s="787">
        <f t="shared" si="1"/>
        <v>0</v>
      </c>
      <c r="P22" s="787">
        <f t="shared" si="1"/>
        <v>0</v>
      </c>
      <c r="Q22" s="787">
        <f t="shared" si="1"/>
        <v>0</v>
      </c>
      <c r="R22" s="787">
        <f t="shared" si="1"/>
        <v>179449.88442712059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119.41971000000001</v>
      </c>
      <c r="D24" s="991">
        <f>+landbouw!C8</f>
        <v>0</v>
      </c>
      <c r="E24" s="991">
        <f>+landbouw!D8</f>
        <v>179.58610013171821</v>
      </c>
      <c r="F24" s="991">
        <f>+landbouw!E8</f>
        <v>1.1061153715922594</v>
      </c>
      <c r="G24" s="991">
        <f>+landbouw!F8</f>
        <v>302.99055370140906</v>
      </c>
      <c r="H24" s="991">
        <f>+landbouw!G8</f>
        <v>0</v>
      </c>
      <c r="I24" s="991">
        <f>+landbouw!H8</f>
        <v>0</v>
      </c>
      <c r="J24" s="991">
        <f>+landbouw!I8</f>
        <v>0</v>
      </c>
      <c r="K24" s="991">
        <f>+landbouw!J8</f>
        <v>18.308374270853292</v>
      </c>
      <c r="L24" s="991">
        <f>+landbouw!K8</f>
        <v>0</v>
      </c>
      <c r="M24" s="991">
        <f>+landbouw!L8</f>
        <v>0</v>
      </c>
      <c r="N24" s="991">
        <f>+landbouw!M8</f>
        <v>0</v>
      </c>
      <c r="O24" s="991">
        <f>+landbouw!N8</f>
        <v>0</v>
      </c>
      <c r="P24" s="991">
        <f>+landbouw!O8</f>
        <v>0</v>
      </c>
      <c r="Q24" s="992">
        <f>+landbouw!P8</f>
        <v>0</v>
      </c>
      <c r="R24" s="675">
        <f>SUM(C24:Q24)</f>
        <v>621.41085347557282</v>
      </c>
      <c r="S24" s="67"/>
    </row>
    <row r="25" spans="1:19" s="448" customFormat="1" ht="15" thickBot="1">
      <c r="A25" s="806" t="s">
        <v>849</v>
      </c>
      <c r="B25" s="994"/>
      <c r="C25" s="995">
        <f>IF(Onbekend_ele_kWh="---",0,Onbekend_ele_kWh)/1000+IF(REST_rest_ele_kWh="---",0,REST_rest_ele_kWh)/1000</f>
        <v>2623.7</v>
      </c>
      <c r="D25" s="995"/>
      <c r="E25" s="995">
        <f>IF(onbekend_gas_kWh="---",0,onbekend_gas_kWh)/1000+IF(REST_rest_gas_kWh="---",0,REST_rest_gas_kWh)/1000</f>
        <v>10670.7712829068</v>
      </c>
      <c r="F25" s="995"/>
      <c r="G25" s="995"/>
      <c r="H25" s="995"/>
      <c r="I25" s="995"/>
      <c r="J25" s="995"/>
      <c r="K25" s="995"/>
      <c r="L25" s="995"/>
      <c r="M25" s="995"/>
      <c r="N25" s="995"/>
      <c r="O25" s="995"/>
      <c r="P25" s="995"/>
      <c r="Q25" s="996"/>
      <c r="R25" s="675">
        <f>SUM(C25:Q25)</f>
        <v>13294.471282906801</v>
      </c>
      <c r="S25" s="67"/>
    </row>
    <row r="26" spans="1:19" s="448" customFormat="1" ht="15.75" thickBot="1">
      <c r="A26" s="680" t="s">
        <v>850</v>
      </c>
      <c r="B26" s="792"/>
      <c r="C26" s="787">
        <f>SUM(C24:C25)</f>
        <v>2743.1197099999999</v>
      </c>
      <c r="D26" s="787">
        <f t="shared" ref="D26:R26" si="2">SUM(D24:D25)</f>
        <v>0</v>
      </c>
      <c r="E26" s="787">
        <f t="shared" si="2"/>
        <v>10850.357383038519</v>
      </c>
      <c r="F26" s="787">
        <f t="shared" si="2"/>
        <v>1.1061153715922594</v>
      </c>
      <c r="G26" s="787">
        <f t="shared" si="2"/>
        <v>302.99055370140906</v>
      </c>
      <c r="H26" s="787">
        <f t="shared" si="2"/>
        <v>0</v>
      </c>
      <c r="I26" s="787">
        <f t="shared" si="2"/>
        <v>0</v>
      </c>
      <c r="J26" s="787">
        <f t="shared" si="2"/>
        <v>0</v>
      </c>
      <c r="K26" s="787">
        <f t="shared" si="2"/>
        <v>18.308374270853292</v>
      </c>
      <c r="L26" s="787">
        <f t="shared" si="2"/>
        <v>0</v>
      </c>
      <c r="M26" s="787">
        <f t="shared" si="2"/>
        <v>0</v>
      </c>
      <c r="N26" s="787">
        <f t="shared" si="2"/>
        <v>0</v>
      </c>
      <c r="O26" s="787">
        <f t="shared" si="2"/>
        <v>0</v>
      </c>
      <c r="P26" s="787">
        <f t="shared" si="2"/>
        <v>0</v>
      </c>
      <c r="Q26" s="787">
        <f t="shared" si="2"/>
        <v>0</v>
      </c>
      <c r="R26" s="787">
        <f t="shared" si="2"/>
        <v>13915.882136382374</v>
      </c>
      <c r="S26" s="67"/>
    </row>
    <row r="27" spans="1:19" s="448" customFormat="1" ht="17.25" thickTop="1" thickBot="1">
      <c r="A27" s="681" t="s">
        <v>115</v>
      </c>
      <c r="B27" s="780"/>
      <c r="C27" s="682">
        <f ca="1">C22+C16+C26</f>
        <v>135716.12199091533</v>
      </c>
      <c r="D27" s="682">
        <f t="shared" ref="D27:R27" ca="1" si="3">D22+D16+D26</f>
        <v>1663.0714285714289</v>
      </c>
      <c r="E27" s="682">
        <f t="shared" ca="1" si="3"/>
        <v>312834.6226351501</v>
      </c>
      <c r="F27" s="682">
        <f t="shared" si="3"/>
        <v>7441.3902442971275</v>
      </c>
      <c r="G27" s="682">
        <f t="shared" ca="1" si="3"/>
        <v>11586.78039574966</v>
      </c>
      <c r="H27" s="682">
        <f t="shared" si="3"/>
        <v>141584.61398344746</v>
      </c>
      <c r="I27" s="682">
        <f t="shared" si="3"/>
        <v>28273.681237013476</v>
      </c>
      <c r="J27" s="682">
        <f t="shared" si="3"/>
        <v>0</v>
      </c>
      <c r="K27" s="682">
        <f t="shared" si="3"/>
        <v>41.926778435809638</v>
      </c>
      <c r="L27" s="682">
        <f t="shared" si="3"/>
        <v>0</v>
      </c>
      <c r="M27" s="682">
        <f t="shared" ca="1" si="3"/>
        <v>0</v>
      </c>
      <c r="N27" s="682">
        <f t="shared" si="3"/>
        <v>9068.1202503618952</v>
      </c>
      <c r="O27" s="682">
        <f t="shared" ca="1" si="3"/>
        <v>20338.830785350416</v>
      </c>
      <c r="P27" s="682">
        <f t="shared" si="3"/>
        <v>214.17666666666668</v>
      </c>
      <c r="Q27" s="682">
        <f t="shared" si="3"/>
        <v>705.4666666666667</v>
      </c>
      <c r="R27" s="682">
        <f t="shared" ca="1" si="3"/>
        <v>669468.80306262604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11746.099742482304</v>
      </c>
      <c r="D40" s="991">
        <f ca="1">tertiair!C20</f>
        <v>213.88235294117655</v>
      </c>
      <c r="E40" s="991">
        <f ca="1">tertiair!D20</f>
        <v>15390.032218262355</v>
      </c>
      <c r="F40" s="991">
        <f>tertiair!E20</f>
        <v>100.22012073653106</v>
      </c>
      <c r="G40" s="991">
        <f ca="1">tertiair!F20</f>
        <v>2095.4112535076006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29545.645687929969</v>
      </c>
    </row>
    <row r="41" spans="1:18">
      <c r="A41" s="797" t="s">
        <v>224</v>
      </c>
      <c r="B41" s="804"/>
      <c r="C41" s="991">
        <f ca="1">huishoudens!B12</f>
        <v>15830.399475790535</v>
      </c>
      <c r="D41" s="991">
        <f ca="1">huishoudens!C12</f>
        <v>0</v>
      </c>
      <c r="E41" s="991">
        <f>huishoudens!D12</f>
        <v>45021.342963041308</v>
      </c>
      <c r="F41" s="991">
        <f>huishoudens!E12</f>
        <v>1354.6354880809924</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62206.377926912843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896.38543536766838</v>
      </c>
      <c r="D43" s="991">
        <f ca="1">industrie!C22</f>
        <v>181.34168067226895</v>
      </c>
      <c r="E43" s="991">
        <f>industrie!D22</f>
        <v>580.04897258336985</v>
      </c>
      <c r="F43" s="991">
        <f>industrie!E22</f>
        <v>130.91519403066695</v>
      </c>
      <c r="G43" s="991">
        <f>industrie!F22</f>
        <v>917.36063431928267</v>
      </c>
      <c r="H43" s="991">
        <f>industrie!G22</f>
        <v>0</v>
      </c>
      <c r="I43" s="991">
        <f>industrie!H22</f>
        <v>0</v>
      </c>
      <c r="J43" s="991">
        <f>industrie!I22</f>
        <v>0</v>
      </c>
      <c r="K43" s="991">
        <f>industrie!J22</f>
        <v>8.3609150743945442</v>
      </c>
      <c r="L43" s="991">
        <f>industrie!K22</f>
        <v>0</v>
      </c>
      <c r="M43" s="991">
        <f>industrie!L22</f>
        <v>0</v>
      </c>
      <c r="N43" s="991">
        <f>industrie!M22</f>
        <v>0</v>
      </c>
      <c r="O43" s="991">
        <f>industrie!N22</f>
        <v>0</v>
      </c>
      <c r="P43" s="991">
        <f>industrie!O22</f>
        <v>0</v>
      </c>
      <c r="Q43" s="749">
        <f>industrie!P22</f>
        <v>0</v>
      </c>
      <c r="R43" s="824">
        <f t="shared" ca="1" si="4"/>
        <v>2714.4128320476516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28472.884653640507</v>
      </c>
      <c r="D46" s="707">
        <f t="shared" ref="D46:Q46" ca="1" si="5">SUM(D39:D45)</f>
        <v>395.2240336134455</v>
      </c>
      <c r="E46" s="707">
        <f t="shared" ca="1" si="5"/>
        <v>60991.424153887034</v>
      </c>
      <c r="F46" s="707">
        <f t="shared" si="5"/>
        <v>1585.7708028481904</v>
      </c>
      <c r="G46" s="707">
        <f t="shared" ca="1" si="5"/>
        <v>3012.7718878268834</v>
      </c>
      <c r="H46" s="707">
        <f t="shared" si="5"/>
        <v>0</v>
      </c>
      <c r="I46" s="707">
        <f t="shared" si="5"/>
        <v>0</v>
      </c>
      <c r="J46" s="707">
        <f t="shared" si="5"/>
        <v>0</v>
      </c>
      <c r="K46" s="707">
        <f t="shared" si="5"/>
        <v>8.3609150743945442</v>
      </c>
      <c r="L46" s="707">
        <f t="shared" si="5"/>
        <v>0</v>
      </c>
      <c r="M46" s="707">
        <f t="shared" ca="1" si="5"/>
        <v>0</v>
      </c>
      <c r="N46" s="707">
        <f t="shared" si="5"/>
        <v>0</v>
      </c>
      <c r="O46" s="707">
        <f t="shared" ca="1" si="5"/>
        <v>0</v>
      </c>
      <c r="P46" s="707">
        <f t="shared" si="5"/>
        <v>0</v>
      </c>
      <c r="Q46" s="707">
        <f t="shared" si="5"/>
        <v>0</v>
      </c>
      <c r="R46" s="707">
        <f ca="1">SUM(R39:R45)</f>
        <v>94466.436446890453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970.31347774675953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970.31347774675953</v>
      </c>
    </row>
    <row r="50" spans="1:18">
      <c r="A50" s="800" t="s">
        <v>306</v>
      </c>
      <c r="B50" s="810"/>
      <c r="C50" s="678">
        <f ca="1">transport!B18</f>
        <v>4.8052201967282997</v>
      </c>
      <c r="D50" s="678">
        <f>transport!C18</f>
        <v>0</v>
      </c>
      <c r="E50" s="678">
        <f>transport!D18</f>
        <v>9.3974270395182806</v>
      </c>
      <c r="F50" s="678">
        <f>transport!E18</f>
        <v>103.17369441790625</v>
      </c>
      <c r="G50" s="678">
        <f>transport!F18</f>
        <v>0</v>
      </c>
      <c r="H50" s="678">
        <f>transport!G18</f>
        <v>36832.778455833715</v>
      </c>
      <c r="I50" s="678">
        <f>transport!H18</f>
        <v>7040.1466280163559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43990.301425504229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4.8052201967282997</v>
      </c>
      <c r="D52" s="707">
        <f t="shared" ref="D52:Q52" ca="1" si="6">SUM(D48:D51)</f>
        <v>0</v>
      </c>
      <c r="E52" s="707">
        <f t="shared" si="6"/>
        <v>9.3974270395182806</v>
      </c>
      <c r="F52" s="707">
        <f t="shared" si="6"/>
        <v>103.17369441790625</v>
      </c>
      <c r="G52" s="707">
        <f t="shared" si="6"/>
        <v>0</v>
      </c>
      <c r="H52" s="707">
        <f t="shared" si="6"/>
        <v>37803.091933580472</v>
      </c>
      <c r="I52" s="707">
        <f t="shared" si="6"/>
        <v>7040.1466280163559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44960.614903250986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25.575097259360533</v>
      </c>
      <c r="D54" s="678">
        <f ca="1">+landbouw!C12</f>
        <v>0</v>
      </c>
      <c r="E54" s="678">
        <f>+landbouw!D12</f>
        <v>36.276392226607079</v>
      </c>
      <c r="F54" s="678">
        <f>+landbouw!E12</f>
        <v>0.25108818935144289</v>
      </c>
      <c r="G54" s="678">
        <f>+landbouw!F12</f>
        <v>80.898477838276222</v>
      </c>
      <c r="H54" s="678">
        <f>+landbouw!G12</f>
        <v>0</v>
      </c>
      <c r="I54" s="678">
        <f>+landbouw!H12</f>
        <v>0</v>
      </c>
      <c r="J54" s="678">
        <f>+landbouw!I12</f>
        <v>0</v>
      </c>
      <c r="K54" s="678">
        <f>+landbouw!J12</f>
        <v>6.4811644918820654</v>
      </c>
      <c r="L54" s="678">
        <f>+landbouw!K12</f>
        <v>0</v>
      </c>
      <c r="M54" s="678">
        <f>+landbouw!L12</f>
        <v>0</v>
      </c>
      <c r="N54" s="678">
        <f>+landbouw!M12</f>
        <v>0</v>
      </c>
      <c r="O54" s="678">
        <f>+landbouw!N12</f>
        <v>0</v>
      </c>
      <c r="P54" s="678">
        <f>+landbouw!O12</f>
        <v>0</v>
      </c>
      <c r="Q54" s="679">
        <f>+landbouw!P12</f>
        <v>0</v>
      </c>
      <c r="R54" s="706">
        <f ca="1">SUM(C54:Q54)</f>
        <v>149.48222000547733</v>
      </c>
    </row>
    <row r="55" spans="1:18" ht="15" thickBot="1">
      <c r="A55" s="800" t="s">
        <v>849</v>
      </c>
      <c r="B55" s="810"/>
      <c r="C55" s="678">
        <f ca="1">C25*'EF ele_warmte'!B12</f>
        <v>561.89537455236007</v>
      </c>
      <c r="D55" s="678"/>
      <c r="E55" s="678">
        <f>E25*EF_CO2_aardgas</f>
        <v>2155.4957991471738</v>
      </c>
      <c r="F55" s="678"/>
      <c r="G55" s="678"/>
      <c r="H55" s="678"/>
      <c r="I55" s="678"/>
      <c r="J55" s="678"/>
      <c r="K55" s="678"/>
      <c r="L55" s="678"/>
      <c r="M55" s="678"/>
      <c r="N55" s="678"/>
      <c r="O55" s="678"/>
      <c r="P55" s="678"/>
      <c r="Q55" s="679"/>
      <c r="R55" s="706">
        <f ca="1">SUM(C55:Q55)</f>
        <v>2717.3911736995337</v>
      </c>
    </row>
    <row r="56" spans="1:18" ht="15.75" thickBot="1">
      <c r="A56" s="798" t="s">
        <v>850</v>
      </c>
      <c r="B56" s="811"/>
      <c r="C56" s="707">
        <f ca="1">SUM(C54:C55)</f>
        <v>587.47047181172059</v>
      </c>
      <c r="D56" s="707">
        <f t="shared" ref="D56:Q56" ca="1" si="7">SUM(D54:D55)</f>
        <v>0</v>
      </c>
      <c r="E56" s="707">
        <f t="shared" si="7"/>
        <v>2191.772191373781</v>
      </c>
      <c r="F56" s="707">
        <f t="shared" si="7"/>
        <v>0.25108818935144289</v>
      </c>
      <c r="G56" s="707">
        <f t="shared" si="7"/>
        <v>80.898477838276222</v>
      </c>
      <c r="H56" s="707">
        <f t="shared" si="7"/>
        <v>0</v>
      </c>
      <c r="I56" s="707">
        <f t="shared" si="7"/>
        <v>0</v>
      </c>
      <c r="J56" s="707">
        <f t="shared" si="7"/>
        <v>0</v>
      </c>
      <c r="K56" s="707">
        <f t="shared" si="7"/>
        <v>6.4811644918820654</v>
      </c>
      <c r="L56" s="707">
        <f t="shared" si="7"/>
        <v>0</v>
      </c>
      <c r="M56" s="707">
        <f t="shared" si="7"/>
        <v>0</v>
      </c>
      <c r="N56" s="707">
        <f t="shared" si="7"/>
        <v>0</v>
      </c>
      <c r="O56" s="707">
        <f t="shared" si="7"/>
        <v>0</v>
      </c>
      <c r="P56" s="707">
        <f t="shared" si="7"/>
        <v>0</v>
      </c>
      <c r="Q56" s="708">
        <f t="shared" si="7"/>
        <v>0</v>
      </c>
      <c r="R56" s="709">
        <f ca="1">SUM(R54:R55)</f>
        <v>2866.873393705011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29065.160345648957</v>
      </c>
      <c r="D61" s="715">
        <f t="shared" ref="D61:Q61" ca="1" si="8">D46+D52+D56</f>
        <v>395.2240336134455</v>
      </c>
      <c r="E61" s="715">
        <f t="shared" ca="1" si="8"/>
        <v>63192.593772300337</v>
      </c>
      <c r="F61" s="715">
        <f t="shared" si="8"/>
        <v>1689.1955854554483</v>
      </c>
      <c r="G61" s="715">
        <f t="shared" ca="1" si="8"/>
        <v>3093.6703656651598</v>
      </c>
      <c r="H61" s="715">
        <f t="shared" si="8"/>
        <v>37803.091933580472</v>
      </c>
      <c r="I61" s="715">
        <f t="shared" si="8"/>
        <v>7040.1466280163559</v>
      </c>
      <c r="J61" s="715">
        <f t="shared" si="8"/>
        <v>0</v>
      </c>
      <c r="K61" s="715">
        <f t="shared" si="8"/>
        <v>14.84207956627661</v>
      </c>
      <c r="L61" s="715">
        <f t="shared" si="8"/>
        <v>0</v>
      </c>
      <c r="M61" s="715">
        <f t="shared" ca="1" si="8"/>
        <v>0</v>
      </c>
      <c r="N61" s="715">
        <f t="shared" si="8"/>
        <v>0</v>
      </c>
      <c r="O61" s="715">
        <f t="shared" ca="1" si="8"/>
        <v>0</v>
      </c>
      <c r="P61" s="715">
        <f t="shared" si="8"/>
        <v>0</v>
      </c>
      <c r="Q61" s="715">
        <f t="shared" si="8"/>
        <v>0</v>
      </c>
      <c r="R61" s="715">
        <f ca="1">R46+R52+R56</f>
        <v>142293.92474384644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0.21416144168630566</v>
      </c>
      <c r="D63" s="756">
        <f t="shared" ca="1" si="9"/>
        <v>0.23764705882352943</v>
      </c>
      <c r="E63" s="1002">
        <f t="shared" ca="1" si="9"/>
        <v>0.20200000000000007</v>
      </c>
      <c r="F63" s="756">
        <f t="shared" si="9"/>
        <v>0.22700000000000004</v>
      </c>
      <c r="G63" s="756">
        <f t="shared" ca="1" si="9"/>
        <v>0.26700000000000007</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4287.2501713698757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1164.1500000000001</v>
      </c>
      <c r="D76" s="1012">
        <f>'lokale energieproductie'!C8</f>
        <v>1369.5882352941178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276.65682352941184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4287.2501713698757</v>
      </c>
      <c r="C78" s="730">
        <f>SUM(C72:C77)</f>
        <v>1164.1500000000001</v>
      </c>
      <c r="D78" s="731">
        <f t="shared" ref="D78:H78" si="10">SUM(D76:D77)</f>
        <v>1369.5882352941178</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276.65682352941184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1663.0714285714289</v>
      </c>
      <c r="D87" s="752">
        <f>'lokale energieproductie'!C17</f>
        <v>1956.55462184874</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395.2240336134455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1663.0714285714289</v>
      </c>
      <c r="D90" s="730">
        <f t="shared" ref="D90:H90" si="12">SUM(D87:D89)</f>
        <v>1956.55462184874</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395.2240336134455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4287.2501713698757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1164.1500000000001</v>
      </c>
      <c r="C8" s="545">
        <f>B50</f>
        <v>1369.5882352941178</v>
      </c>
      <c r="D8" s="1022"/>
      <c r="E8" s="1022">
        <f>E50</f>
        <v>0</v>
      </c>
      <c r="F8" s="1023"/>
      <c r="G8" s="546"/>
      <c r="H8" s="1022">
        <f>I50</f>
        <v>0</v>
      </c>
      <c r="I8" s="1022">
        <f>G50+F50</f>
        <v>0</v>
      </c>
      <c r="J8" s="1022">
        <f>H50+D50+C50</f>
        <v>0</v>
      </c>
      <c r="K8" s="1022"/>
      <c r="L8" s="1022"/>
      <c r="M8" s="1022"/>
      <c r="N8" s="547"/>
      <c r="O8" s="548">
        <f>C8*$C$12+D8*$D$12+E8*$E$12+F8*$F$12+G8*$G$12+H8*$H$12+I8*$I$12+J8*$J$12</f>
        <v>276.65682352941184</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5451.4001713698763</v>
      </c>
      <c r="C10" s="558">
        <f t="shared" ref="C10:L10" si="0">SUM(C8:C9)</f>
        <v>1369.5882352941178</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276.65682352941184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1663.0714285714289</v>
      </c>
      <c r="C17" s="570">
        <f>B51</f>
        <v>1956.55462184874</v>
      </c>
      <c r="D17" s="571"/>
      <c r="E17" s="571">
        <f>E51</f>
        <v>0</v>
      </c>
      <c r="F17" s="1028"/>
      <c r="G17" s="572"/>
      <c r="H17" s="570">
        <f>I51</f>
        <v>0</v>
      </c>
      <c r="I17" s="571">
        <f>G51+F51</f>
        <v>0</v>
      </c>
      <c r="J17" s="571">
        <f>H51+D51+C51</f>
        <v>0</v>
      </c>
      <c r="K17" s="571"/>
      <c r="L17" s="571"/>
      <c r="M17" s="571"/>
      <c r="N17" s="1029"/>
      <c r="O17" s="573">
        <f>C17*$C$22+E17*$E$22+H17*$H$22+I17*$I$22+J17*$J$22+D17*$D$22+F17*$F$22+G17*$G$22+K17*$K$22+L17*$L$22</f>
        <v>395.2240336134455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1663.0714285714289</v>
      </c>
      <c r="C20" s="557">
        <f>SUM(C17:C19)</f>
        <v>1956.55462184874</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395.2240336134455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11008</v>
      </c>
      <c r="C28" s="771">
        <v>2930</v>
      </c>
      <c r="D28" s="628" t="s">
        <v>913</v>
      </c>
      <c r="E28" s="627" t="s">
        <v>914</v>
      </c>
      <c r="F28" s="627" t="s">
        <v>915</v>
      </c>
      <c r="G28" s="627" t="s">
        <v>916</v>
      </c>
      <c r="H28" s="627" t="s">
        <v>917</v>
      </c>
      <c r="I28" s="627" t="s">
        <v>914</v>
      </c>
      <c r="J28" s="770">
        <v>39084</v>
      </c>
      <c r="K28" s="770">
        <v>39630</v>
      </c>
      <c r="L28" s="627" t="s">
        <v>918</v>
      </c>
      <c r="M28" s="627">
        <v>53.7</v>
      </c>
      <c r="N28" s="627">
        <v>241.65000000000003</v>
      </c>
      <c r="O28" s="627">
        <v>345.21428571428578</v>
      </c>
      <c r="P28" s="627">
        <v>690.42857142857156</v>
      </c>
      <c r="Q28" s="627">
        <v>0</v>
      </c>
      <c r="R28" s="627">
        <v>0</v>
      </c>
      <c r="S28" s="627">
        <v>0</v>
      </c>
      <c r="T28" s="627">
        <v>0</v>
      </c>
      <c r="U28" s="627">
        <v>0</v>
      </c>
      <c r="V28" s="627">
        <v>0</v>
      </c>
      <c r="W28" s="627">
        <v>0</v>
      </c>
      <c r="X28" s="627">
        <v>16000</v>
      </c>
      <c r="Y28" s="627" t="s">
        <v>32</v>
      </c>
      <c r="Z28" s="629" t="s">
        <v>388</v>
      </c>
    </row>
    <row r="29" spans="1:26" s="581" customFormat="1" ht="51">
      <c r="A29" s="580"/>
      <c r="B29" s="771">
        <v>11008</v>
      </c>
      <c r="C29" s="771">
        <v>2930</v>
      </c>
      <c r="D29" s="628" t="s">
        <v>919</v>
      </c>
      <c r="E29" s="627" t="s">
        <v>920</v>
      </c>
      <c r="F29" s="627" t="s">
        <v>921</v>
      </c>
      <c r="G29" s="627" t="s">
        <v>916</v>
      </c>
      <c r="H29" s="627" t="s">
        <v>917</v>
      </c>
      <c r="I29" s="627" t="s">
        <v>920</v>
      </c>
      <c r="J29" s="770">
        <v>39599</v>
      </c>
      <c r="K29" s="770">
        <v>39661</v>
      </c>
      <c r="L29" s="627" t="s">
        <v>918</v>
      </c>
      <c r="M29" s="627">
        <v>140</v>
      </c>
      <c r="N29" s="627">
        <v>630.00000000000011</v>
      </c>
      <c r="O29" s="627">
        <v>900.00000000000023</v>
      </c>
      <c r="P29" s="627">
        <v>1800.0000000000005</v>
      </c>
      <c r="Q29" s="627">
        <v>0</v>
      </c>
      <c r="R29" s="627">
        <v>0</v>
      </c>
      <c r="S29" s="627">
        <v>0</v>
      </c>
      <c r="T29" s="627">
        <v>0</v>
      </c>
      <c r="U29" s="627">
        <v>0</v>
      </c>
      <c r="V29" s="627">
        <v>0</v>
      </c>
      <c r="W29" s="627">
        <v>0</v>
      </c>
      <c r="X29" s="627">
        <v>1500</v>
      </c>
      <c r="Y29" s="627" t="s">
        <v>50</v>
      </c>
      <c r="Z29" s="629" t="s">
        <v>155</v>
      </c>
    </row>
    <row r="30" spans="1:26" s="581" customFormat="1" ht="25.5">
      <c r="A30" s="580"/>
      <c r="B30" s="771">
        <v>11008</v>
      </c>
      <c r="C30" s="771">
        <v>2930</v>
      </c>
      <c r="D30" s="628" t="s">
        <v>922</v>
      </c>
      <c r="E30" s="627" t="s">
        <v>923</v>
      </c>
      <c r="F30" s="627" t="s">
        <v>924</v>
      </c>
      <c r="G30" s="627" t="s">
        <v>916</v>
      </c>
      <c r="H30" s="627" t="s">
        <v>917</v>
      </c>
      <c r="I30" s="627" t="s">
        <v>925</v>
      </c>
      <c r="J30" s="770">
        <v>37622</v>
      </c>
      <c r="K30" s="770">
        <v>40391</v>
      </c>
      <c r="L30" s="627" t="s">
        <v>918</v>
      </c>
      <c r="M30" s="627">
        <v>65</v>
      </c>
      <c r="N30" s="627">
        <v>292.5</v>
      </c>
      <c r="O30" s="627">
        <v>417.85714285714289</v>
      </c>
      <c r="P30" s="627">
        <v>835.71428571428578</v>
      </c>
      <c r="Q30" s="627">
        <v>0</v>
      </c>
      <c r="R30" s="627">
        <v>0</v>
      </c>
      <c r="S30" s="627">
        <v>0</v>
      </c>
      <c r="T30" s="627">
        <v>0</v>
      </c>
      <c r="U30" s="627">
        <v>0</v>
      </c>
      <c r="V30" s="627">
        <v>0</v>
      </c>
      <c r="W30" s="627">
        <v>0</v>
      </c>
      <c r="X30" s="627">
        <v>16000</v>
      </c>
      <c r="Y30" s="627" t="s">
        <v>32</v>
      </c>
      <c r="Z30" s="629" t="s">
        <v>388</v>
      </c>
    </row>
    <row r="31" spans="1:26" s="565" customFormat="1">
      <c r="A31" s="583" t="s">
        <v>279</v>
      </c>
      <c r="B31" s="584"/>
      <c r="C31" s="584"/>
      <c r="D31" s="584"/>
      <c r="E31" s="584"/>
      <c r="F31" s="584"/>
      <c r="G31" s="584"/>
      <c r="H31" s="584"/>
      <c r="I31" s="584"/>
      <c r="J31" s="584"/>
      <c r="K31" s="584"/>
      <c r="L31" s="585"/>
      <c r="M31" s="585">
        <f>SUM(M28:M30)</f>
        <v>258.7</v>
      </c>
      <c r="N31" s="585">
        <f>SUM(N28:N30)</f>
        <v>1164.1500000000001</v>
      </c>
      <c r="O31" s="585">
        <f>SUM(O28:O30)</f>
        <v>1663.0714285714289</v>
      </c>
      <c r="P31" s="585">
        <f>SUM(P28:P30)</f>
        <v>3326.1428571428578</v>
      </c>
      <c r="Q31" s="585">
        <f>SUM(Q28:Q30)</f>
        <v>0</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118.7</v>
      </c>
      <c r="N32" s="585">
        <f>SUMIF($Z$28:$Z$30,"industrie",N28:N30)</f>
        <v>534.15000000000009</v>
      </c>
      <c r="O32" s="585">
        <f>SUMIF($Z$28:$Z$30,"industrie",O28:O30)</f>
        <v>763.07142857142867</v>
      </c>
      <c r="P32" s="585">
        <f>SUMIF($Z$28:$Z$30,"industrie",P28:P30)</f>
        <v>1526.1428571428573</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140</v>
      </c>
      <c r="N33" s="585">
        <f ca="1">SUMIF($Z$28:AD30,"tertiair",N28:N30)</f>
        <v>630.00000000000011</v>
      </c>
      <c r="O33" s="585">
        <f ca="1">SUMIF($Z$28:AE30,"tertiair",O28:O30)</f>
        <v>900.00000000000023</v>
      </c>
      <c r="P33" s="585">
        <f ca="1">SUMIF($Z$28:AF30,"tertiair",P28:P30)</f>
        <v>1800.0000000000005</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0</v>
      </c>
      <c r="N34" s="590">
        <f>SUMIF($Z$28:$Z$30,"landbouw",N28:N30)</f>
        <v>0</v>
      </c>
      <c r="O34" s="590">
        <f>SUMIF($Z$28:$Z$30,"landbouw",O28:O30)</f>
        <v>0</v>
      </c>
      <c r="P34" s="590">
        <f>SUMIF($Z$28:$Z$30,"landbouw",P28:P30)</f>
        <v>0</v>
      </c>
      <c r="Q34" s="590">
        <f>SUMIF($Z$28:$Z$30,"landbouw",Q28:Q30)</f>
        <v>0</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1369.5882352941178</v>
      </c>
      <c r="C50" s="619">
        <f t="shared" si="2"/>
        <v>0</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1956.55462184874</v>
      </c>
      <c r="C51" s="622">
        <f t="shared" si="3"/>
        <v>0</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73918.065507694031</v>
      </c>
      <c r="C4" s="452">
        <f>huishoudens!C8</f>
        <v>0</v>
      </c>
      <c r="D4" s="452">
        <f>huishoudens!D8</f>
        <v>222877.93546060054</v>
      </c>
      <c r="E4" s="452">
        <f>huishoudens!E8</f>
        <v>5967.5572162158251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15119.857072370096</v>
      </c>
      <c r="O4" s="452">
        <f>huishoudens!O8</f>
        <v>212.61333333333334</v>
      </c>
      <c r="P4" s="453">
        <f>huishoudens!P8</f>
        <v>667.33333333333337</v>
      </c>
      <c r="Q4" s="454">
        <f>SUM(B4:P4)</f>
        <v>318763.36192354711</v>
      </c>
    </row>
    <row r="5" spans="1:17">
      <c r="A5" s="451" t="s">
        <v>155</v>
      </c>
      <c r="B5" s="452">
        <f ca="1">tertiair!B16</f>
        <v>52962.182999999997</v>
      </c>
      <c r="C5" s="452">
        <f ca="1">tertiair!C16</f>
        <v>900.00000000000023</v>
      </c>
      <c r="D5" s="452">
        <f ca="1">tertiair!D16</f>
        <v>76188.278308229477</v>
      </c>
      <c r="E5" s="452">
        <f>tertiair!E16</f>
        <v>441.4983292358196</v>
      </c>
      <c r="F5" s="452">
        <f ca="1">tertiair!F16</f>
        <v>7847.9822228749081</v>
      </c>
      <c r="G5" s="452">
        <f>tertiair!G16</f>
        <v>0</v>
      </c>
      <c r="H5" s="452">
        <f>tertiair!H16</f>
        <v>0</v>
      </c>
      <c r="I5" s="452">
        <f>tertiair!I16</f>
        <v>0</v>
      </c>
      <c r="J5" s="452">
        <f>tertiair!J16</f>
        <v>0</v>
      </c>
      <c r="K5" s="452">
        <f>tertiair!K16</f>
        <v>0</v>
      </c>
      <c r="L5" s="452">
        <f ca="1">tertiair!L16</f>
        <v>0</v>
      </c>
      <c r="M5" s="452">
        <f>tertiair!M16</f>
        <v>0</v>
      </c>
      <c r="N5" s="452">
        <f ca="1">tertiair!N16</f>
        <v>4533.5033412717012</v>
      </c>
      <c r="O5" s="452">
        <f>tertiair!O16</f>
        <v>1.5633333333333335</v>
      </c>
      <c r="P5" s="453">
        <f>tertiair!P16</f>
        <v>38.133333333333333</v>
      </c>
      <c r="Q5" s="451">
        <f t="shared" ref="Q5:Q14" ca="1" si="0">SUM(B5:P5)</f>
        <v>142913.14186827856</v>
      </c>
    </row>
    <row r="6" spans="1:17">
      <c r="A6" s="451" t="s">
        <v>193</v>
      </c>
      <c r="B6" s="452">
        <f>'openbare verlichting'!B8</f>
        <v>1884.7570000000001</v>
      </c>
      <c r="C6" s="452"/>
      <c r="D6" s="452"/>
      <c r="E6" s="452"/>
      <c r="F6" s="452"/>
      <c r="G6" s="452"/>
      <c r="H6" s="452"/>
      <c r="I6" s="452"/>
      <c r="J6" s="452"/>
      <c r="K6" s="452"/>
      <c r="L6" s="452"/>
      <c r="M6" s="452"/>
      <c r="N6" s="452"/>
      <c r="O6" s="452"/>
      <c r="P6" s="453"/>
      <c r="Q6" s="451">
        <f t="shared" si="0"/>
        <v>1884.7570000000001</v>
      </c>
    </row>
    <row r="7" spans="1:17">
      <c r="A7" s="451" t="s">
        <v>111</v>
      </c>
      <c r="B7" s="452">
        <f>landbouw!B8</f>
        <v>119.41971000000001</v>
      </c>
      <c r="C7" s="452">
        <f>landbouw!C8</f>
        <v>0</v>
      </c>
      <c r="D7" s="452">
        <f>landbouw!D8</f>
        <v>179.58610013171821</v>
      </c>
      <c r="E7" s="452">
        <f>landbouw!E8</f>
        <v>1.1061153715922594</v>
      </c>
      <c r="F7" s="452">
        <f>landbouw!F8</f>
        <v>302.99055370140906</v>
      </c>
      <c r="G7" s="452">
        <f>landbouw!G8</f>
        <v>0</v>
      </c>
      <c r="H7" s="452">
        <f>landbouw!H8</f>
        <v>0</v>
      </c>
      <c r="I7" s="452">
        <f>landbouw!I8</f>
        <v>0</v>
      </c>
      <c r="J7" s="452">
        <f>landbouw!J8</f>
        <v>18.308374270853292</v>
      </c>
      <c r="K7" s="452">
        <f>landbouw!K8</f>
        <v>0</v>
      </c>
      <c r="L7" s="452">
        <f>landbouw!L8</f>
        <v>0</v>
      </c>
      <c r="M7" s="452">
        <f>landbouw!M8</f>
        <v>0</v>
      </c>
      <c r="N7" s="452">
        <f>landbouw!N8</f>
        <v>0</v>
      </c>
      <c r="O7" s="452">
        <f>landbouw!O8</f>
        <v>0</v>
      </c>
      <c r="P7" s="453">
        <f>landbouw!P8</f>
        <v>0</v>
      </c>
      <c r="Q7" s="451">
        <f t="shared" si="0"/>
        <v>621.41085347557282</v>
      </c>
    </row>
    <row r="8" spans="1:17">
      <c r="A8" s="451" t="s">
        <v>649</v>
      </c>
      <c r="B8" s="452">
        <f>industrie!B18</f>
        <v>4185.5594000000001</v>
      </c>
      <c r="C8" s="452">
        <f>industrie!C18</f>
        <v>763.07142857142867</v>
      </c>
      <c r="D8" s="452">
        <f>industrie!D18</f>
        <v>2871.5295672444049</v>
      </c>
      <c r="E8" s="452">
        <f>industrie!E18</f>
        <v>576.71891643465619</v>
      </c>
      <c r="F8" s="452">
        <f>industrie!F18</f>
        <v>3435.807619173343</v>
      </c>
      <c r="G8" s="452">
        <f>industrie!G18</f>
        <v>0</v>
      </c>
      <c r="H8" s="452">
        <f>industrie!H18</f>
        <v>0</v>
      </c>
      <c r="I8" s="452">
        <f>industrie!I18</f>
        <v>0</v>
      </c>
      <c r="J8" s="452">
        <f>industrie!J18</f>
        <v>23.618404164956342</v>
      </c>
      <c r="K8" s="452">
        <f>industrie!K18</f>
        <v>0</v>
      </c>
      <c r="L8" s="452">
        <f>industrie!L18</f>
        <v>0</v>
      </c>
      <c r="M8" s="452">
        <f>industrie!M18</f>
        <v>0</v>
      </c>
      <c r="N8" s="452">
        <f>industrie!N18</f>
        <v>685.4703717086187</v>
      </c>
      <c r="O8" s="452">
        <f>industrie!O18</f>
        <v>0</v>
      </c>
      <c r="P8" s="453">
        <f>industrie!P18</f>
        <v>0</v>
      </c>
      <c r="Q8" s="451">
        <f t="shared" si="0"/>
        <v>12541.775707297409</v>
      </c>
    </row>
    <row r="9" spans="1:17" s="457" customFormat="1">
      <c r="A9" s="455" t="s">
        <v>570</v>
      </c>
      <c r="B9" s="456">
        <f>transport!B14</f>
        <v>22.437373221304597</v>
      </c>
      <c r="C9" s="456">
        <f>transport!C14</f>
        <v>0</v>
      </c>
      <c r="D9" s="456">
        <f>transport!D14</f>
        <v>46.521916037219206</v>
      </c>
      <c r="E9" s="456">
        <f>transport!E14</f>
        <v>454.50966703923456</v>
      </c>
      <c r="F9" s="456">
        <f>transport!F14</f>
        <v>0</v>
      </c>
      <c r="G9" s="456">
        <f>transport!G14</f>
        <v>137950.48110799142</v>
      </c>
      <c r="H9" s="456">
        <f>transport!H14</f>
        <v>28273.681237013476</v>
      </c>
      <c r="I9" s="456">
        <f>transport!I14</f>
        <v>0</v>
      </c>
      <c r="J9" s="456">
        <f>transport!J14</f>
        <v>0</v>
      </c>
      <c r="K9" s="456">
        <f>transport!K14</f>
        <v>0</v>
      </c>
      <c r="L9" s="456">
        <f>transport!L14</f>
        <v>0</v>
      </c>
      <c r="M9" s="456">
        <f>transport!M14</f>
        <v>8860.4042764397327</v>
      </c>
      <c r="N9" s="456">
        <f>transport!N14</f>
        <v>0</v>
      </c>
      <c r="O9" s="456">
        <f>transport!O14</f>
        <v>0</v>
      </c>
      <c r="P9" s="456">
        <f>transport!P14</f>
        <v>0</v>
      </c>
      <c r="Q9" s="455">
        <f>SUM(B9:P9)</f>
        <v>175608.03557774241</v>
      </c>
    </row>
    <row r="10" spans="1:17">
      <c r="A10" s="451" t="s">
        <v>560</v>
      </c>
      <c r="B10" s="452">
        <f>transport!B54</f>
        <v>0</v>
      </c>
      <c r="C10" s="452">
        <f>transport!C54</f>
        <v>0</v>
      </c>
      <c r="D10" s="452">
        <f>transport!D54</f>
        <v>0</v>
      </c>
      <c r="E10" s="452">
        <f>transport!E54</f>
        <v>0</v>
      </c>
      <c r="F10" s="452">
        <f>transport!F54</f>
        <v>0</v>
      </c>
      <c r="G10" s="452">
        <f>transport!G54</f>
        <v>3634.1328754560282</v>
      </c>
      <c r="H10" s="452">
        <f>transport!H54</f>
        <v>0</v>
      </c>
      <c r="I10" s="452">
        <f>transport!I54</f>
        <v>0</v>
      </c>
      <c r="J10" s="452">
        <f>transport!J54</f>
        <v>0</v>
      </c>
      <c r="K10" s="452">
        <f>transport!K54</f>
        <v>0</v>
      </c>
      <c r="L10" s="452">
        <f>transport!L54</f>
        <v>0</v>
      </c>
      <c r="M10" s="452">
        <f>transport!M54</f>
        <v>207.71597392216268</v>
      </c>
      <c r="N10" s="452">
        <f>transport!N54</f>
        <v>0</v>
      </c>
      <c r="O10" s="452">
        <f>transport!O54</f>
        <v>0</v>
      </c>
      <c r="P10" s="453">
        <f>transport!P54</f>
        <v>0</v>
      </c>
      <c r="Q10" s="451">
        <f t="shared" si="0"/>
        <v>3841.8488493781906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2623.7</v>
      </c>
      <c r="C14" s="459"/>
      <c r="D14" s="459">
        <f>'SEAP template'!E25</f>
        <v>10670.7712829068</v>
      </c>
      <c r="E14" s="459"/>
      <c r="F14" s="459"/>
      <c r="G14" s="459"/>
      <c r="H14" s="459"/>
      <c r="I14" s="459"/>
      <c r="J14" s="459"/>
      <c r="K14" s="459"/>
      <c r="L14" s="459"/>
      <c r="M14" s="459"/>
      <c r="N14" s="459"/>
      <c r="O14" s="459"/>
      <c r="P14" s="460"/>
      <c r="Q14" s="451">
        <f t="shared" si="0"/>
        <v>13294.471282906801</v>
      </c>
    </row>
    <row r="15" spans="1:17" s="461" customFormat="1">
      <c r="A15" s="1017" t="s">
        <v>564</v>
      </c>
      <c r="B15" s="957">
        <f ca="1">SUM(B4:B14)</f>
        <v>135716.12199091533</v>
      </c>
      <c r="C15" s="957">
        <f t="shared" ref="C15:Q15" ca="1" si="1">SUM(C4:C14)</f>
        <v>1663.0714285714289</v>
      </c>
      <c r="D15" s="957">
        <f t="shared" ca="1" si="1"/>
        <v>312834.62263515015</v>
      </c>
      <c r="E15" s="957">
        <f t="shared" si="1"/>
        <v>7441.3902442971275</v>
      </c>
      <c r="F15" s="957">
        <f t="shared" ca="1" si="1"/>
        <v>11586.78039574966</v>
      </c>
      <c r="G15" s="957">
        <f t="shared" si="1"/>
        <v>141584.61398344746</v>
      </c>
      <c r="H15" s="957">
        <f t="shared" si="1"/>
        <v>28273.681237013476</v>
      </c>
      <c r="I15" s="957">
        <f t="shared" si="1"/>
        <v>0</v>
      </c>
      <c r="J15" s="957">
        <f t="shared" si="1"/>
        <v>41.926778435809638</v>
      </c>
      <c r="K15" s="957">
        <f t="shared" si="1"/>
        <v>0</v>
      </c>
      <c r="L15" s="957">
        <f t="shared" ca="1" si="1"/>
        <v>0</v>
      </c>
      <c r="M15" s="957">
        <f t="shared" si="1"/>
        <v>9068.1202503618952</v>
      </c>
      <c r="N15" s="957">
        <f t="shared" ca="1" si="1"/>
        <v>20338.830785350416</v>
      </c>
      <c r="O15" s="957">
        <f t="shared" si="1"/>
        <v>214.17666666666668</v>
      </c>
      <c r="P15" s="957">
        <f t="shared" si="1"/>
        <v>705.4666666666667</v>
      </c>
      <c r="Q15" s="957">
        <f t="shared" ca="1" si="1"/>
        <v>669468.80306262604</v>
      </c>
    </row>
    <row r="17" spans="1:17">
      <c r="A17" s="462" t="s">
        <v>565</v>
      </c>
      <c r="B17" s="761">
        <f ca="1">huishoudens!B10</f>
        <v>0.21416144168630563</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15830.399475790535</v>
      </c>
      <c r="C22" s="452">
        <f t="shared" ref="C22:C32" ca="1" si="3">C4*$C$17</f>
        <v>0</v>
      </c>
      <c r="D22" s="452">
        <f t="shared" ref="D22:D32" si="4">D4*$D$17</f>
        <v>45021.342963041308</v>
      </c>
      <c r="E22" s="452">
        <f t="shared" ref="E22:E32" si="5">E4*$E$17</f>
        <v>1354.6354880809924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62206.377926912843</v>
      </c>
    </row>
    <row r="23" spans="1:17">
      <c r="A23" s="451" t="s">
        <v>155</v>
      </c>
      <c r="B23" s="452">
        <f t="shared" ca="1" si="2"/>
        <v>11342.457466133947</v>
      </c>
      <c r="C23" s="452">
        <f t="shared" ca="1" si="3"/>
        <v>213.88235294117655</v>
      </c>
      <c r="D23" s="452">
        <f t="shared" ca="1" si="4"/>
        <v>15390.032218262355</v>
      </c>
      <c r="E23" s="452">
        <f t="shared" si="5"/>
        <v>100.22012073653106</v>
      </c>
      <c r="F23" s="452">
        <f t="shared" ca="1" si="6"/>
        <v>2095.4112535076006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29142.003411581612</v>
      </c>
    </row>
    <row r="24" spans="1:17">
      <c r="A24" s="451" t="s">
        <v>193</v>
      </c>
      <c r="B24" s="452">
        <f t="shared" ca="1" si="2"/>
        <v>403.64227634835635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403.64227634835635</v>
      </c>
    </row>
    <row r="25" spans="1:17">
      <c r="A25" s="451" t="s">
        <v>111</v>
      </c>
      <c r="B25" s="452">
        <f t="shared" ca="1" si="2"/>
        <v>25.575097259360533</v>
      </c>
      <c r="C25" s="452">
        <f t="shared" ca="1" si="3"/>
        <v>0</v>
      </c>
      <c r="D25" s="452">
        <f t="shared" si="4"/>
        <v>36.276392226607079</v>
      </c>
      <c r="E25" s="452">
        <f t="shared" si="5"/>
        <v>0.25108818935144289</v>
      </c>
      <c r="F25" s="452">
        <f t="shared" si="6"/>
        <v>80.898477838276222</v>
      </c>
      <c r="G25" s="452">
        <f t="shared" si="7"/>
        <v>0</v>
      </c>
      <c r="H25" s="452">
        <f t="shared" si="8"/>
        <v>0</v>
      </c>
      <c r="I25" s="452">
        <f t="shared" si="9"/>
        <v>0</v>
      </c>
      <c r="J25" s="452">
        <f t="shared" si="10"/>
        <v>6.4811644918820654</v>
      </c>
      <c r="K25" s="452">
        <f t="shared" si="11"/>
        <v>0</v>
      </c>
      <c r="L25" s="452">
        <f t="shared" si="12"/>
        <v>0</v>
      </c>
      <c r="M25" s="452">
        <f t="shared" si="13"/>
        <v>0</v>
      </c>
      <c r="N25" s="452">
        <f t="shared" si="14"/>
        <v>0</v>
      </c>
      <c r="O25" s="452">
        <f t="shared" si="15"/>
        <v>0</v>
      </c>
      <c r="P25" s="453">
        <f t="shared" si="16"/>
        <v>0</v>
      </c>
      <c r="Q25" s="451">
        <f t="shared" ca="1" si="17"/>
        <v>149.48222000547733</v>
      </c>
    </row>
    <row r="26" spans="1:17">
      <c r="A26" s="451" t="s">
        <v>649</v>
      </c>
      <c r="B26" s="452">
        <f t="shared" ca="1" si="2"/>
        <v>896.38543536766838</v>
      </c>
      <c r="C26" s="452">
        <f t="shared" ca="1" si="3"/>
        <v>181.34168067226895</v>
      </c>
      <c r="D26" s="452">
        <f t="shared" si="4"/>
        <v>580.04897258336985</v>
      </c>
      <c r="E26" s="452">
        <f t="shared" si="5"/>
        <v>130.91519403066695</v>
      </c>
      <c r="F26" s="452">
        <f t="shared" si="6"/>
        <v>917.36063431928267</v>
      </c>
      <c r="G26" s="452">
        <f t="shared" si="7"/>
        <v>0</v>
      </c>
      <c r="H26" s="452">
        <f t="shared" si="8"/>
        <v>0</v>
      </c>
      <c r="I26" s="452">
        <f t="shared" si="9"/>
        <v>0</v>
      </c>
      <c r="J26" s="452">
        <f t="shared" si="10"/>
        <v>8.3609150743945442</v>
      </c>
      <c r="K26" s="452">
        <f t="shared" si="11"/>
        <v>0</v>
      </c>
      <c r="L26" s="452">
        <f t="shared" si="12"/>
        <v>0</v>
      </c>
      <c r="M26" s="452">
        <f t="shared" si="13"/>
        <v>0</v>
      </c>
      <c r="N26" s="452">
        <f t="shared" si="14"/>
        <v>0</v>
      </c>
      <c r="O26" s="452">
        <f t="shared" si="15"/>
        <v>0</v>
      </c>
      <c r="P26" s="453">
        <f t="shared" si="16"/>
        <v>0</v>
      </c>
      <c r="Q26" s="451">
        <f t="shared" ca="1" si="17"/>
        <v>2714.4128320476516</v>
      </c>
    </row>
    <row r="27" spans="1:17" s="457" customFormat="1">
      <c r="A27" s="455" t="s">
        <v>570</v>
      </c>
      <c r="B27" s="755">
        <f t="shared" ca="1" si="2"/>
        <v>4.8052201967282997</v>
      </c>
      <c r="C27" s="456">
        <f t="shared" ca="1" si="3"/>
        <v>0</v>
      </c>
      <c r="D27" s="456">
        <f t="shared" si="4"/>
        <v>9.3974270395182806</v>
      </c>
      <c r="E27" s="456">
        <f t="shared" si="5"/>
        <v>103.17369441790625</v>
      </c>
      <c r="F27" s="456">
        <f t="shared" si="6"/>
        <v>0</v>
      </c>
      <c r="G27" s="456">
        <f t="shared" si="7"/>
        <v>36832.778455833715</v>
      </c>
      <c r="H27" s="456">
        <f t="shared" si="8"/>
        <v>7040.1466280163559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43990.301425504229</v>
      </c>
    </row>
    <row r="28" spans="1:17">
      <c r="A28" s="451" t="s">
        <v>560</v>
      </c>
      <c r="B28" s="452">
        <f t="shared" ca="1" si="2"/>
        <v>0</v>
      </c>
      <c r="C28" s="452">
        <f t="shared" ca="1" si="3"/>
        <v>0</v>
      </c>
      <c r="D28" s="452">
        <f t="shared" si="4"/>
        <v>0</v>
      </c>
      <c r="E28" s="452">
        <f t="shared" si="5"/>
        <v>0</v>
      </c>
      <c r="F28" s="452">
        <f t="shared" si="6"/>
        <v>0</v>
      </c>
      <c r="G28" s="452">
        <f t="shared" si="7"/>
        <v>970.31347774675953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970.31347774675953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561.89537455236007</v>
      </c>
      <c r="C32" s="452">
        <f t="shared" ca="1" si="3"/>
        <v>0</v>
      </c>
      <c r="D32" s="452">
        <f t="shared" si="4"/>
        <v>2155.4957991471738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2717.3911736995337</v>
      </c>
    </row>
    <row r="33" spans="1:17" s="461" customFormat="1">
      <c r="A33" s="1017" t="s">
        <v>564</v>
      </c>
      <c r="B33" s="957">
        <f ca="1">SUM(B22:B32)</f>
        <v>29065.160345648957</v>
      </c>
      <c r="C33" s="957">
        <f t="shared" ref="C33:Q33" ca="1" si="18">SUM(C22:C32)</f>
        <v>395.2240336134455</v>
      </c>
      <c r="D33" s="957">
        <f t="shared" ca="1" si="18"/>
        <v>63192.593772300337</v>
      </c>
      <c r="E33" s="957">
        <f t="shared" si="18"/>
        <v>1689.1955854554483</v>
      </c>
      <c r="F33" s="957">
        <f t="shared" ca="1" si="18"/>
        <v>3093.6703656651594</v>
      </c>
      <c r="G33" s="957">
        <f t="shared" si="18"/>
        <v>37803.091933580472</v>
      </c>
      <c r="H33" s="957">
        <f t="shared" si="18"/>
        <v>7040.1466280163559</v>
      </c>
      <c r="I33" s="957">
        <f t="shared" si="18"/>
        <v>0</v>
      </c>
      <c r="J33" s="957">
        <f t="shared" si="18"/>
        <v>14.84207956627661</v>
      </c>
      <c r="K33" s="957">
        <f t="shared" si="18"/>
        <v>0</v>
      </c>
      <c r="L33" s="957">
        <f t="shared" ca="1" si="18"/>
        <v>0</v>
      </c>
      <c r="M33" s="957">
        <f t="shared" si="18"/>
        <v>0</v>
      </c>
      <c r="N33" s="957">
        <f t="shared" ca="1" si="18"/>
        <v>0</v>
      </c>
      <c r="O33" s="957">
        <f t="shared" si="18"/>
        <v>0</v>
      </c>
      <c r="P33" s="957">
        <f t="shared" si="18"/>
        <v>0</v>
      </c>
      <c r="Q33" s="957">
        <f t="shared" ca="1" si="18"/>
        <v>142293.92474384644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4287.2501713698757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1164.1500000000001</v>
      </c>
      <c r="D8" s="1034">
        <f>'SEAP template'!D76</f>
        <v>1369.5882352941178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276.65682352941184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4287.2501713698757</v>
      </c>
      <c r="C10" s="1038">
        <f>SUM(C4:C9)</f>
        <v>1164.1500000000001</v>
      </c>
      <c r="D10" s="1038">
        <f t="shared" ref="D10:H10" si="0">SUM(D8:D9)</f>
        <v>1369.5882352941178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276.65682352941184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0.21416144168630563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1663.0714285714289</v>
      </c>
      <c r="D17" s="1035">
        <f>'SEAP template'!D87</f>
        <v>1956.55462184874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395.2240336134455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1663.0714285714289</v>
      </c>
      <c r="D20" s="1038">
        <f t="shared" ref="D20:H20" si="2">SUM(D17:D19)</f>
        <v>1956.55462184874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395.2240336134455</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0.21416144168630563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2020-06-20T16:01:16Z</dcterms:modified>
</cp:coreProperties>
</file>