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F20" i="18" s="1"/>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B14" i="48" s="1"/>
  <c r="Q26" i="14"/>
  <c r="P26" i="14"/>
  <c r="N26" i="14"/>
  <c r="L26" i="14"/>
  <c r="J26" i="14"/>
  <c r="I26" i="14"/>
  <c r="H26" i="14"/>
  <c r="O22" i="14"/>
  <c r="K22" i="14"/>
  <c r="J22" i="14"/>
  <c r="G22" i="14"/>
  <c r="L16" i="14"/>
  <c r="H16" i="14"/>
  <c r="R12" i="14"/>
  <c r="N16" i="14"/>
  <c r="J16" i="14"/>
  <c r="D14" i="48" l="1"/>
  <c r="D32" i="48" s="1"/>
  <c r="D13" i="15"/>
  <c r="L6" i="17"/>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I49" i="18" l="1"/>
  <c r="H17" i="18" s="1"/>
  <c r="Q14" i="48"/>
  <c r="D49" i="18"/>
  <c r="H49" i="18"/>
  <c r="J17" i="18" s="1"/>
  <c r="J87" i="14" s="1"/>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4" i="48" l="1"/>
  <c r="C11" i="14"/>
  <c r="D4" i="48"/>
  <c r="D22" i="48" s="1"/>
  <c r="E11" i="14"/>
  <c r="O4" i="48"/>
  <c r="O22" i="48" s="1"/>
  <c r="P11" i="14"/>
  <c r="P4" i="48"/>
  <c r="P22" i="48" s="1"/>
  <c r="Q11" i="14"/>
  <c r="J15" i="16"/>
  <c r="B7" i="48"/>
  <c r="C24" i="14"/>
  <c r="C26" i="14" s="1"/>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J7" i="48" l="1"/>
  <c r="J25" i="48" s="1"/>
  <c r="K24" i="14"/>
  <c r="K26" i="14" s="1"/>
  <c r="P22" i="16"/>
  <c r="Q43" i="14" s="1"/>
  <c r="P8" i="48"/>
  <c r="P26" i="48" s="1"/>
  <c r="Q13" i="14"/>
  <c r="Q16" i="14" s="1"/>
  <c r="Q27" i="14"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O22" i="16" l="1"/>
  <c r="P43" i="14" s="1"/>
  <c r="O8" i="48"/>
  <c r="O26" i="48" s="1"/>
  <c r="P13" i="14"/>
  <c r="E7" i="48"/>
  <c r="E25" i="48" s="1"/>
  <c r="F24" i="14"/>
  <c r="F26" i="14" s="1"/>
  <c r="Q63" i="14"/>
  <c r="P46" i="14"/>
  <c r="P61" i="14" s="1"/>
  <c r="P63" i="14" s="1"/>
  <c r="P16" i="14"/>
  <c r="P27" i="14" s="1"/>
  <c r="O23" i="48"/>
  <c r="E12" i="13"/>
  <c r="F41" i="14" s="1"/>
  <c r="E4" i="48"/>
  <c r="F11" i="14"/>
  <c r="J4" i="48"/>
  <c r="K11" i="14"/>
  <c r="N4" i="48"/>
  <c r="N22" i="48" s="1"/>
  <c r="O11" i="14"/>
  <c r="R18" i="14"/>
  <c r="H19" i="14"/>
  <c r="G10" i="48"/>
  <c r="M10" i="48"/>
  <c r="M28" i="48" s="1"/>
  <c r="N19" i="14"/>
  <c r="G31" i="48"/>
  <c r="Q13" i="48"/>
  <c r="E27" i="48"/>
  <c r="G9" i="48"/>
  <c r="H20" i="14"/>
  <c r="H22" i="14" s="1"/>
  <c r="H27" i="14" s="1"/>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N22" i="14" l="1"/>
  <c r="N27" i="14" s="1"/>
  <c r="F10" i="14"/>
  <c r="E5" i="48"/>
  <c r="E23" i="48" s="1"/>
  <c r="N52" i="14"/>
  <c r="N61" i="14" s="1"/>
  <c r="K10" i="14"/>
  <c r="J5" i="48"/>
  <c r="J23" i="48" s="1"/>
  <c r="O33" i="48"/>
  <c r="O15" i="48"/>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J20" i="15"/>
  <c r="K40" i="14" s="1"/>
  <c r="N18" i="16"/>
  <c r="N22" i="16" s="1"/>
  <c r="O43" i="14" s="1"/>
  <c r="G18" i="22"/>
  <c r="H50" i="14" s="1"/>
  <c r="H52" i="14" s="1"/>
  <c r="H61" i="14" s="1"/>
  <c r="H63" i="14" s="1"/>
  <c r="E22" i="16"/>
  <c r="F43" i="14" s="1"/>
  <c r="F46" i="14" s="1"/>
  <c r="F61" i="14" s="1"/>
  <c r="H18" i="22"/>
  <c r="I50" i="14" s="1"/>
  <c r="I52" i="14" s="1"/>
  <c r="I61" i="14" s="1"/>
  <c r="J22" i="16" l="1"/>
  <c r="K43" i="14" s="1"/>
  <c r="K46" i="14" s="1"/>
  <c r="K61" i="14" s="1"/>
  <c r="K13" i="14"/>
  <c r="K16" i="14" s="1"/>
  <c r="K27" i="14" s="1"/>
  <c r="J8" i="48"/>
  <c r="E8" i="48"/>
  <c r="E26" i="48" s="1"/>
  <c r="E33" i="48" s="1"/>
  <c r="F13" i="14"/>
  <c r="F16" i="14" s="1"/>
  <c r="F27" i="14" s="1"/>
  <c r="F63" i="14" s="1"/>
  <c r="N63" i="14"/>
  <c r="G33" i="48"/>
  <c r="I22" i="14"/>
  <c r="I27" i="14" s="1"/>
  <c r="I63" i="14" s="1"/>
  <c r="R20" i="14"/>
  <c r="R22" i="14" s="1"/>
  <c r="H27" i="48"/>
  <c r="H33" i="48" s="1"/>
  <c r="H15" i="48"/>
  <c r="O13" i="14"/>
  <c r="N8" i="48"/>
  <c r="N26" i="48" s="1"/>
  <c r="F8" i="48"/>
  <c r="G13" i="14"/>
  <c r="K63" i="14" l="1"/>
  <c r="J26" i="48"/>
  <c r="J33" i="48" s="1"/>
  <c r="J15" i="48"/>
  <c r="E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<sst xmlns="http://schemas.openxmlformats.org/spreadsheetml/2006/main" count="2434" uniqueCount="913">
  <si>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</si>
  <si>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</si>
  <si>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</si>
  <si>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</si>
  <si>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</si>
  <si>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</si>
  <si>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</si>
  <si>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</si>
  <si>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</si>
  <si>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</si>
  <si>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</si>
  <si>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</si>
  <si>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</si>
  <si>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</si>
  <si>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</si>
  <si>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</si>
  <si>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</si>
  <si>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</si>
  <si>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</si>
  <si>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</si>
  <si>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</si>
  <si>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</si>
  <si>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</si>
  <si>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</si>
  <si>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</si>
  <si>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</si>
  <si>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</si>
  <si>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</si>
  <si>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</si>
  <si>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</si>
  <si>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</si>
  <si>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</si>
  <si>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</si>
  <si>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</si>
  <si>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</si>
  <si>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</si>
  <si>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</si>
  <si>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</si>
  <si>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</si>
  <si>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</si>
  <si>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</si>
  <si>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</si>
  <si>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</si>
  <si>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</si>
  <si>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</si>
  <si>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</si>
  <si>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</si>
  <si>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</si>
  <si>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</si>
  <si>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</si>
  <si>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</si>
  <si>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</si>
  <si>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</si>
  <si>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</si>
  <si>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</si>
  <si>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</si>
  <si>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</si>
  <si>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</si>
  <si>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</si>
  <si>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</si>
  <si>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</si>
  <si>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</si>
  <si>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</si>
  <si>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</si>
  <si>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</si>
  <si>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</si>
  <si>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</si>
  <si>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</si>
  <si>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</si>
  <si>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</si>
  <si>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</si>
  <si>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</si>
  <si>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</si>
  <si>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</si>
  <si>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</si>
  <si>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</si>
  <si>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</si>
  <si>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</si>
  <si>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</si>
  <si>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</si>
  <si>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</si>
  <si>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</si>
  <si>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</si>
  <si>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</si>
  <si>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</si>
  <si>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</si>
  <si>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</si>
  <si>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</si>
  <si>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</si>
  <si>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</si>
  <si>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</si>
  <si>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</si>
  <si>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</si>
  <si>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</si>
  <si>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</si>
  <si>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</si>
  <si>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</si>
  <si>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</si>
  <si>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</si>
  <si>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</si>
  <si>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</si>
  <si>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</si>
  <si>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</si>
  <si>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</si>
  <si>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</si>
  <si>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</si>
  <si>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</si>
  <si>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</si>
  <si>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</si>
  <si>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</si>
  <si>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</si>
  <si>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</si>
  <si>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</si>
  <si>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</si>
  <si>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</si>
  <si>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</si>
  <si>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</si>
  <si>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</si>
  <si>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</si>
  <si>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</si>
  <si>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</si>
  <si>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</si>
  <si>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</si>
  <si>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</si>
  <si>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</si>
  <si>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</si>
  <si>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</si>
  <si>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</si>
  <si>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</si>
  <si>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</si>
  <si>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</si>
  <si>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</si>
  <si>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</si>
  <si>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</si>
  <si>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</si>
  <si>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</si>
  <si>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</si>
  <si>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</si>
  <si>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</si>
  <si>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</si>
  <si>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</si>
  <si>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</si>
  <si>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</si>
  <si>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</si>
  <si>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</si>
  <si>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</si>
  <si>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</si>
  <si>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</si>
  <si>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</si>
  <si>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</si>
  <si>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</si>
  <si>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</si>
  <si>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</si>
  <si>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</si>
  <si>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</si>
  <si>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</si>
  <si>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</si>
  <si>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</si>
  <si>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</si>
  <si>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</si>
  <si>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</si>
  <si>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</si>
  <si>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</si>
  <si>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</si>
  <si>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</si>
  <si>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</si>
  <si>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</si>
  <si>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</si>
  <si>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</si>
  <si>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</si>
  <si>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</si>
  <si>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</si>
  <si>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</si>
  <si>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</si>
  <si>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</si>
  <si>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</si>
  <si>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</si>
  <si>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</si>
  <si>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</si>
  <si>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</si>
  <si>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</si>
  <si>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</si>
  <si>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</si>
  <si>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</si>
  <si>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</si>
  <si>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</si>
  <si>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</si>
  <si>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</si>
  <si>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</si>
  <si>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</si>
  <si>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</si>
  <si>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</si>
  <si>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</si>
  <si>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</si>
  <si>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</si>
  <si>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</si>
  <si>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</si>
  <si>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</si>
  <si>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</si>
  <si>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</si>
  <si>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</si>
  <si>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</si>
  <si>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</si>
  <si>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</si>
  <si>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</si>
  <si>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</si>
  <si>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</si>
  <si>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</si>
  <si>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</si>
  <si>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</si>
  <si>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</si>
  <si>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</si>
  <si>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</si>
  <si>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</si>
  <si>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</si>
  <si>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</si>
  <si>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</si>
  <si>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</si>
  <si>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</si>
  <si>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</si>
  <si>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</si>
  <si>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</si>
  <si>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</si>
  <si>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</si>
  <si>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</si>
  <si>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</si>
  <si>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</si>
  <si>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</si>
  <si>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</si>
  <si>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</si>
  <si>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</si>
  <si>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</si>
  <si>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</si>
  <si>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</si>
  <si>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</si>
  <si>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</si>
  <si>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</si>
  <si>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</si>
  <si>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</si>
  <si>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</si>
  <si>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</si>
  <si>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</si>
  <si>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</si>
  <si>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</si>
  <si>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</si>
  <si>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</si>
  <si>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</si>
  <si>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</si>
  <si>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</si>
  <si>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</si>
  <si>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</si>
  <si>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</si>
  <si>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</si>
  <si>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</si>
  <si>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</si>
  <si>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</si>
  <si>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</si>
  <si>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</si>
  <si>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</si>
  <si>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</si>
  <si>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</si>
  <si>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</si>
  <si>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</si>
  <si>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</si>
  <si>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</si>
  <si>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</si>
  <si>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</si>
  <si>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</si>
  <si>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</si>
  <si>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</si>
  <si>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</si>
  <si>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</si>
  <si>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</si>
  <si>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</si>
  <si>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</si>
  <si>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</si>
  <si>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</si>
  <si>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</si>
  <si>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</si>
  <si>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</si>
  <si>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</si>
  <si>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</si>
  <si>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</si>
  <si>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</si>
  <si>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</si>
  <si>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</si>
  <si>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</si>
  <si>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</si>
  <si>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</si>
  <si>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</si>
  <si>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</si>
  <si>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</si>
  <si>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</si>
  <si>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</si>
  <si>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</si>
  <si>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</si>
  <si>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</si>
  <si>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</si>
  <si>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</si>
  <si>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</si>
  <si>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</si>
  <si>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</si>
  <si>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</si>
  <si>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</si>
  <si>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</si>
  <si>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</si>
  <si>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</si>
  <si>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</si>
  <si>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</si>
  <si>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</si>
  <si>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</si>
  <si>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</si>
  <si>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</si>
  <si>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</si>
  <si>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</si>
  <si>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</si>
  <si>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</si>
  <si>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</si>
  <si>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</si>
  <si>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</si>
  <si>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</si>
  <si>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</si>
  <si>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</si>
  <si>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</si>
  <si>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</si>
  <si>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</si>
  <si>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</si>
  <si>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</si>
  <si>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</si>
  <si>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</si>
  <si>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</si>
  <si>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</si>
  <si>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</si>
  <si>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</si>
  <si>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</si>
  <si>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</si>
  <si>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</si>
  <si>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</si>
  <si>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</si>
  <si>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</si>
  <si>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</si>
  <si>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</si>
  <si>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</si>
  <si>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</si>
  <si>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</si>
  <si>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</si>
  <si>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</si>
  <si>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</si>
  <si>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</si>
  <si>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</si>
  <si>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</si>
  <si>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</si>
  <si>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</si>
  <si>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</si>
  <si>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</si>
  <si>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</si>
  <si>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</si>
  <si>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</si>
  <si>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</si>
  <si>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</si>
  <si>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</si>
  <si>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</si>
  <si>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</si>
  <si>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</si>
  <si>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</si>
  <si>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</si>
  <si>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</si>
  <si>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</si>
  <si>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</si>
  <si>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</si>
  <si>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</si>
  <si>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</si>
  <si>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</si>
  <si>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</si>
  <si>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</si>
  <si>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</si>
  <si>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</si>
  <si>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</si>
  <si>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</si>
  <si>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</si>
  <si>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</si>
  <si>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</si>
  <si>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</si>
  <si>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</si>
  <si>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</si>
  <si>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</si>
  <si>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</si>
  <si>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</si>
  <si>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</si>
  <si>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</si>
  <si>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</si>
  <si>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</si>
  <si>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</si>
  <si>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</si>
  <si>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</si>
  <si>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</si>
  <si>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</si>
  <si>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</si>
  <si>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</si>
  <si>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</si>
  <si>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</si>
  <si>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</si>
  <si>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</si>
  <si>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</si>
  <si>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</si>
  <si>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</si>
  <si>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</si>
  <si>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</si>
  <si>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</si>
  <si>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</si>
  <si>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</si>
  <si>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</si>
  <si>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</si>
  <si>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</si>
  <si>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</si>
  <si>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</si>
  <si>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</si>
  <si>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</si>
  <si>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</si>
  <si>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</si>
  <si>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</si>
  <si>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</si>
  <si>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</si>
  <si>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</si>
  <si>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</si>
  <si>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</si>
  <si>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</si>
  <si>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</si>
  <si>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</si>
  <si>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</si>
  <si>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</si>
  <si>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</si>
  <si>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</si>
  <si>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</si>
  <si>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</si>
  <si>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</si>
  <si>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</si>
  <si>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</si>
  <si>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</si>
  <si>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</si>
  <si>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</si>
  <si>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</si>
  <si>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</si>
  <si>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</si>
  <si>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</si>
  <si>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</si>
  <si>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</si>
  <si>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</si>
  <si>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</si>
  <si>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</si>
  <si>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</si>
  <si>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</si>
  <si>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</si>
  <si>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</si>
  <si>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</si>
  <si>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</si>
  <si>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</si>
  <si>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</si>
  <si>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</si>
  <si>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</si>
  <si>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</si>
  <si>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</si>
  <si>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</si>
  <si>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</si>
  <si>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</si>
  <si>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</si>
  <si>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</si>
  <si>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</si>
  <si>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</si>
  <si>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</si>
  <si>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</si>
  <si>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</si>
  <si>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</si>
  <si>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</si>
  <si>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</si>
  <si>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</si>
  <si>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</si>
  <si>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</si>
  <si>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</si>
  <si>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</si>
  <si>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</si>
  <si>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</si>
  <si>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</si>
  <si>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</si>
  <si>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</si>
  <si>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</si>
  <si>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</si>
  <si>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</si>
  <si>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</si>
  <si>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</si>
  <si>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</si>
  <si>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</si>
  <si>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</si>
  <si>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</si>
  <si>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</si>
  <si>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</si>
  <si>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</si>
  <si>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</si>
  <si>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</si>
  <si>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</si>
  <si>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</si>
  <si>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</si>
  <si>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</si>
  <si>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</si>
  <si>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</si>
  <si>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</si>
  <si>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</si>
  <si>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</si>
  <si>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</si>
  <si>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</si>
  <si>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</si>
  <si>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</si>
  <si>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</si>
  <si>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</si>
  <si>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</si>
  <si>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</si>
  <si>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</si>
  <si>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</si>
  <si>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</si>
  <si>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</si>
  <si>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</si>
  <si>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</si>
  <si>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</si>
  <si>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</si>
  <si>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</si>
  <si>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</si>
  <si>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</si>
  <si>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</si>
  <si>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</si>
  <si>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</si>
  <si>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</si>
  <si>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</si>
  <si>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</si>
  <si>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</si>
  <si>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</si>
  <si>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</si>
  <si>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</si>
  <si>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</si>
  <si>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</si>
  <si>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</si>
  <si>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</si>
  <si>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</si>
  <si>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</si>
  <si>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</si>
  <si>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</si>
  <si>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</si>
  <si>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</si>
  <si>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</si>
  <si>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</si>
  <si>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</si>
  <si>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</si>
  <si>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</si>
  <si>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</si>
  <si>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</si>
  <si>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</si>
  <si>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</si>
  <si>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</si>
  <si>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</si>
  <si>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</si>
  <si>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</si>
  <si>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</si>
  <si>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</si>
  <si>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</si>
  <si>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</si>
  <si>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</si>
  <si>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</si>
  <si>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</si>
  <si>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</si>
  <si>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</si>
  <si>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</si>
  <si>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</si>
  <si>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</si>
  <si>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</si>
  <si>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</si>
  <si>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</si>
  <si>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</si>
  <si>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</si>
  <si>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</si>
  <si>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</si>
  <si>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</si>
  <si>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</si>
  <si>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</si>
  <si>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</si>
  <si>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</si>
  <si>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</si>
  <si>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</si>
  <si>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</si>
  <si>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</si>
  <si>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</si>
  <si>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</si>
  <si>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</si>
  <si>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</si>
  <si>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</si>
  <si>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</si>
  <si>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</si>
  <si>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</si>
  <si>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</si>
  <si>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</si>
  <si>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</si>
  <si>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</si>
  <si>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</si>
  <si>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</si>
  <si>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</si>
  <si>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</si>
  <si>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</si>
  <si>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</si>
  <si>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</si>
  <si>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</si>
  <si>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</si>
  <si>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</si>
  <si>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</si>
  <si>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</si>
  <si>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</si>
  <si>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</si>
  <si>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</si>
  <si>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</si>
  <si>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</si>
  <si>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</si>
  <si>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</si>
  <si>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</si>
  <si>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</si>
  <si>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</si>
  <si>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</si>
  <si>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</si>
  <si>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</si>
  <si>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</si>
  <si>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</si>
  <si>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</si>
  <si>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</si>
  <si>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</si>
  <si>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</si>
  <si>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</si>
  <si>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</si>
  <si>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</si>
  <si>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</si>
  <si>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</si>
  <si>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</si>
  <si>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</si>
  <si>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</si>
  <si>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</si>
  <si>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</si>
  <si>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</si>
  <si>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</si>
  <si>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</si>
  <si>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</si>
  <si>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</si>
  <si>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</si>
  <si>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</si>
  <si>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</si>
  <si>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</si>
  <si>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</si>
  <si>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</si>
  <si>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</si>
  <si>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</si>
  <si>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</si>
  <si>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</si>
  <si>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</si>
  <si>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</si>
  <si>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</si>
  <si>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</si>
  <si>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</si>
  <si>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</si>
  <si>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</si>
  <si>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</si>
  <si>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</si>
  <si>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</si>
  <si>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</si>
  <si>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</si>
  <si>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</si>
  <si>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</si>
  <si>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</si>
  <si>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</si>
  <si>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</si>
  <si>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</si>
  <si>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</si>
  <si>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</si>
  <si>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</si>
  <si>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</si>
  <si>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</si>
  <si>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</si>
  <si>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</si>
  <si>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</si>
  <si>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</si>
  <si>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</si>
  <si>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</si>
  <si>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</si>
  <si>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</si>
  <si>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</si>
  <si>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</si>
  <si>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</si>
  <si>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</si>
  <si>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</si>
  <si>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</si>
  <si>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</si>
  <si>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</si>
  <si>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</si>
  <si>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</si>
  <si>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</si>
  <si>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</si>
  <si>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</si>
  <si>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</si>
  <si>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</si>
  <si>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</si>
  <si>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</si>
  <si>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</si>
  <si>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</si>
  <si>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</si>
  <si>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</si>
  <si>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</si>
  <si>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</si>
  <si>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</si>
  <si>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</si>
  <si>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</si>
  <si>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</si>
  <si>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</si>
  <si>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</si>
  <si>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</si>
  <si>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</si>
  <si>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</si>
  <si>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</si>
  <si>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</si>
  <si>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</si>
  <si>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</si>
  <si>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</si>
  <si>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</si>
  <si>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</si>
  <si>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</si>
  <si>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</si>
  <si>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</si>
  <si>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</si>
  <si>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</si>
  <si>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</si>
  <si>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</si>
  <si>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</si>
  <si>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</si>
  <si>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</si>
  <si>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</si>
  <si>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</si>
  <si>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</si>
  <si>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</si>
  <si>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</si>
  <si>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</si>
  <si>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</si>
  <si>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</si>
  <si>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</si>
  <si>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</si>
  <si>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</si>
  <si>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</si>
  <si>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</si>
  <si>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</si>
  <si>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</si>
  <si>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</si>
  <si>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</si>
  <si>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</si>
  <si>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</si>
  <si>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</si>
  <si>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</si>
  <si>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</si>
  <si>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</si>
  <si>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</si>
  <si>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</si>
  <si>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</si>
  <si>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</si>
  <si>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</si>
  <si>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</si>
  <si>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</si>
  <si>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</si>
  <si>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</si>
  <si>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</si>
  <si>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</si>
  <si>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</si>
  <si>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</si>
  <si>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</si>
  <si>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</si>
  <si>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</si>
  <si>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</si>
  <si>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</si>
  <si>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</si>
  <si>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</si>
  <si>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</si>
  <si>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</si>
  <si>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</si>
  <si>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</si>
  <si>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</si>
  <si>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</si>
  <si>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</si>
  <si>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</si>
  <si>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</si>
  <si>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</si>
  <si>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</si>
  <si>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</si>
  <si>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</si>
  <si>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</si>
  <si>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</si>
  <si>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</si>
  <si>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</si>
  <si>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</si>
  <si>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</si>
  <si>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</si>
  <si>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</si>
  <si>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</si>
  <si>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</si>
  <si>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</si>
  <si>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</si>
  <si>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</si>
  <si>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</si>
  <si>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</si>
  <si>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</si>
  <si>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</si>
  <si>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</si>
  <si>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</si>
  <si>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</si>
  <si>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</si>
  <si>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</si>
  <si>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</si>
  <si>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</si>
  <si>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</si>
  <si>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</si>
  <si>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</si>
  <si>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</si>
  <si>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</si>
  <si>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</si>
  <si>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</si>
  <si>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</si>
  <si>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</si>
  <si>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</si>
  <si>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</si>
  <si>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</si>
  <si>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</si>
  <si>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</si>
  <si>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</si>
  <si>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</si>
  <si>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</si>
  <si>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</si>
  <si>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</si>
  <si>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</si>
  <si>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</si>
  <si>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</si>
  <si>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</si>
  <si>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</si>
  <si>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</si>
  <si>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</si>
  <si>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</si>
  <si>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</si>
  <si>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</si>
  <si>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</si>
  <si>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</si>
  <si>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</si>
  <si>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</si>
  <si>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</si>
  <si>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</si>
  <si>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</si>
  <si>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</si>
  <si>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</si>
  <si>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</si>
  <si>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</si>
  <si>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</si>
  <si>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</si>
  <si>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</si>
  <si>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</si>
  <si>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</si>
  <si>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</si>
  <si>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</si>
  <si>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</si>
  <si>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</si>
  <si>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</si>
  <si>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</si>
  <si>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</si>
  <si>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</si>
  <si>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</si>
  <si>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</si>
  <si>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</si>
  <si>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</si>
  <si>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</si>
  <si>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</si>
  <si>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</si>
  <si>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</si>
  <si>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</si>
  <si>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</si>
  <si>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</si>
  <si>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</si>
  <si>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</si>
  <si>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</si>
  <si>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</si>
  <si>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</si>
  <si>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</si>
  <si>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</si>
  <si>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</si>
  <si>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</si>
  <si>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</si>
  <si>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</si>
  <si>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</si>
  <si>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</si>
  <si>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</si>
  <si>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</si>
  <si>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</si>
  <si>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</si>
  <si>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</si>
  <si>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</si>
  <si>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</si>
  <si>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</si>
  <si>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</si>
  <si>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</si>
  <si>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</si>
  <si>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</si>
  <si>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</si>
  <si>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</si>
  <si>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11005</t>
  </si>
  <si>
    <t>BOOM</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</si>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</sst>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103469.24764169344</c:v>
                </c:pt>
                <c:pt idx="1">
                  <c:v>54604.755138779285</c:v>
                </c:pt>
                <c:pt idx="2">
                  <c:v>985.96400000000006</c:v>
                </c:pt>
                <c:pt idx="3">
                  <c:v>46.720450758679867</c:v>
                </c:pt>
                <c:pt idx="4">
                  <c:v>14431.891934516811</c:v>
                </c:pt>
                <c:pt idx="5">
                  <c:v>126198.07655666418</c:v>
                </c:pt>
                <c:pt idx="6">
                  <c:v>2146.6884914906814</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103469.24764169344</c:v>
                </c:pt>
                <c:pt idx="1">
                  <c:v>54604.755138779285</c:v>
                </c:pt>
                <c:pt idx="2">
                  <c:v>985.96400000000006</c:v>
                </c:pt>
                <c:pt idx="3">
                  <c:v>46.720450758679867</c:v>
                </c:pt>
                <c:pt idx="4">
                  <c:v>14431.891934516811</c:v>
                </c:pt>
                <c:pt idx="5">
                  <c:v>126198.07655666418</c:v>
                </c:pt>
                <c:pt idx="6">
                  <c:v>2146.6884914906814</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20215.244715809018</c:v>
                </c:pt>
                <c:pt idx="2">
                  <c:v>10792.439805823911</c:v>
                </c:pt>
                <c:pt idx="3">
                  <c:v>191.31051420110651</c:v>
                </c:pt>
                <c:pt idx="4">
                  <c:v>10.703307045050359</c:v>
                </c:pt>
                <c:pt idx="5">
                  <c:v>2943.9775915378123</c:v>
                </c:pt>
                <c:pt idx="6">
                  <c:v>31637.917416105298</c:v>
                </c:pt>
                <c:pt idx="7">
                  <c:v>542.17665959304952</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20215.244715809018</c:v>
                </c:pt>
                <c:pt idx="2">
                  <c:v>10792.439805823911</c:v>
                </c:pt>
                <c:pt idx="3">
                  <c:v>191.31051420110651</c:v>
                </c:pt>
                <c:pt idx="4">
                  <c:v>10.703307045050359</c:v>
                </c:pt>
                <c:pt idx="5">
                  <c:v>2943.9775915378123</c:v>
                </c:pt>
                <c:pt idx="6">
                  <c:v>31637.917416105298</c:v>
                </c:pt>
                <c:pt idx="7">
                  <c:v>542.17665959304952</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11005</v>
      </c>
      <c r="B6" s="391"/>
      <c r="C6" s="392"/>
    </row>
    <row r="7" spans="1:7" s="389" customFormat="1" ht="15.75" customHeight="1">
      <c r="A7" s="393" t="str">
        <f>txtMunicipality</f>
        <v>BOOM</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22353.445</v>
      </c>
      <c r="D10" s="991">
        <f ca="1">tertiair!C16</f>
        <v>0</v>
      </c>
      <c r="E10" s="991">
        <f ca="1">tertiair!D16</f>
        <v>28424.952240908842</v>
      </c>
      <c r="F10" s="991">
        <f>tertiair!E16</f>
        <v>215.57424970135204</v>
      </c>
      <c r="G10" s="991">
        <f ca="1">tertiair!F16</f>
        <v>3204.6697479511736</v>
      </c>
      <c r="H10" s="991">
        <f>tertiair!G16</f>
        <v>0</v>
      </c>
      <c r="I10" s="991">
        <f>tertiair!H16</f>
        <v>0</v>
      </c>
      <c r="J10" s="991">
        <f>tertiair!I16</f>
        <v>0</v>
      </c>
      <c r="K10" s="991">
        <f>tertiair!J16</f>
        <v>0</v>
      </c>
      <c r="L10" s="991">
        <f>tertiair!K16</f>
        <v>0</v>
      </c>
      <c r="M10" s="991">
        <f ca="1">tertiair!L16</f>
        <v>0</v>
      </c>
      <c r="N10" s="991">
        <f>tertiair!M16</f>
        <v>0</v>
      </c>
      <c r="O10" s="991">
        <f ca="1">tertiair!N16</f>
        <v>1390.5145668845955</v>
      </c>
      <c r="P10" s="991">
        <f>tertiair!O16</f>
        <v>1.5633333333333335</v>
      </c>
      <c r="Q10" s="992">
        <f>tertiair!P16</f>
        <v>0</v>
      </c>
      <c r="R10" s="675">
        <f ca="1">SUM(C10:Q10)</f>
        <v>55590.719138779292</v>
      </c>
      <c r="S10" s="67"/>
    </row>
    <row r="11" spans="1:19" s="448" customFormat="1">
      <c r="A11" s="784" t="s">
        <v>224</v>
      </c>
      <c r="B11" s="789"/>
      <c r="C11" s="991">
        <f>huishoudens!B8</f>
        <v>27459.96140243316</v>
      </c>
      <c r="D11" s="991">
        <f>huishoudens!C8</f>
        <v>0</v>
      </c>
      <c r="E11" s="991">
        <f>huishoudens!D8</f>
        <v>71005.876957722183</v>
      </c>
      <c r="F11" s="991">
        <f>huishoudens!E8</f>
        <v>2396.0004582455481</v>
      </c>
      <c r="G11" s="991">
        <f>huishoudens!F8</f>
        <v>0</v>
      </c>
      <c r="H11" s="991">
        <f>huishoudens!G8</f>
        <v>0</v>
      </c>
      <c r="I11" s="991">
        <f>huishoudens!H8</f>
        <v>0</v>
      </c>
      <c r="J11" s="991">
        <f>huishoudens!I8</f>
        <v>0</v>
      </c>
      <c r="K11" s="991">
        <f>huishoudens!J8</f>
        <v>0</v>
      </c>
      <c r="L11" s="991">
        <f>huishoudens!K8</f>
        <v>0</v>
      </c>
      <c r="M11" s="991">
        <f>huishoudens!L8</f>
        <v>0</v>
      </c>
      <c r="N11" s="991">
        <f>huishoudens!M8</f>
        <v>0</v>
      </c>
      <c r="O11" s="991">
        <f>huishoudens!N8</f>
        <v>2468.302156625879</v>
      </c>
      <c r="P11" s="991">
        <f>huishoudens!O8</f>
        <v>43.773333333333341</v>
      </c>
      <c r="Q11" s="992">
        <f>huishoudens!P8</f>
        <v>95.333333333333343</v>
      </c>
      <c r="R11" s="675">
        <f>SUM(C11:Q11)</f>
        <v>103469.24764169344</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6368.3072000000002</v>
      </c>
      <c r="D13" s="991">
        <f>industrie!C18</f>
        <v>0</v>
      </c>
      <c r="E13" s="991">
        <f>industrie!D18</f>
        <v>4448.1530933505937</v>
      </c>
      <c r="F13" s="991">
        <f>industrie!E18</f>
        <v>468.76809532925654</v>
      </c>
      <c r="G13" s="991">
        <f>industrie!F18</f>
        <v>2598.1860717471027</v>
      </c>
      <c r="H13" s="991">
        <f>industrie!G18</f>
        <v>0</v>
      </c>
      <c r="I13" s="991">
        <f>industrie!H18</f>
        <v>0</v>
      </c>
      <c r="J13" s="991">
        <f>industrie!I18</f>
        <v>0</v>
      </c>
      <c r="K13" s="991">
        <f>industrie!J18</f>
        <v>27.278721379541004</v>
      </c>
      <c r="L13" s="991">
        <f>industrie!K18</f>
        <v>0</v>
      </c>
      <c r="M13" s="991">
        <f>industrie!L18</f>
        <v>0</v>
      </c>
      <c r="N13" s="991">
        <f>industrie!M18</f>
        <v>0</v>
      </c>
      <c r="O13" s="991">
        <f>industrie!N18</f>
        <v>521.19875271031651</v>
      </c>
      <c r="P13" s="991">
        <f>industrie!O18</f>
        <v>0</v>
      </c>
      <c r="Q13" s="992">
        <f>industrie!P18</f>
        <v>0</v>
      </c>
      <c r="R13" s="675">
        <f>SUM(C13:Q13)</f>
        <v>14431.891934516811</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56181.713602433163</v>
      </c>
      <c r="D16" s="707">
        <f t="shared" ref="D16:R16" ca="1" si="0">SUM(D9:D15)</f>
        <v>0</v>
      </c>
      <c r="E16" s="707">
        <f t="shared" ca="1" si="0"/>
        <v>103878.98229198162</v>
      </c>
      <c r="F16" s="707">
        <f t="shared" si="0"/>
        <v>3080.3428032761567</v>
      </c>
      <c r="G16" s="707">
        <f t="shared" ca="1" si="0"/>
        <v>5802.8558196982758</v>
      </c>
      <c r="H16" s="707">
        <f t="shared" si="0"/>
        <v>0</v>
      </c>
      <c r="I16" s="707">
        <f t="shared" si="0"/>
        <v>0</v>
      </c>
      <c r="J16" s="707">
        <f t="shared" si="0"/>
        <v>0</v>
      </c>
      <c r="K16" s="707">
        <f t="shared" si="0"/>
        <v>27.278721379541004</v>
      </c>
      <c r="L16" s="707">
        <f t="shared" si="0"/>
        <v>0</v>
      </c>
      <c r="M16" s="707">
        <f t="shared" ca="1" si="0"/>
        <v>0</v>
      </c>
      <c r="N16" s="707">
        <f t="shared" si="0"/>
        <v>0</v>
      </c>
      <c r="O16" s="707">
        <f t="shared" ca="1" si="0"/>
        <v>4380.0154762207912</v>
      </c>
      <c r="P16" s="707">
        <f t="shared" si="0"/>
        <v>45.336666666666673</v>
      </c>
      <c r="Q16" s="707">
        <f t="shared" si="0"/>
        <v>95.333333333333343</v>
      </c>
      <c r="R16" s="707">
        <f t="shared" ca="1" si="0"/>
        <v>173491.85871498953</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2030.6241932323951</v>
      </c>
      <c r="I19" s="991">
        <f>transport!H54</f>
        <v>0</v>
      </c>
      <c r="J19" s="991">
        <f>transport!I54</f>
        <v>0</v>
      </c>
      <c r="K19" s="991">
        <f>transport!J54</f>
        <v>0</v>
      </c>
      <c r="L19" s="991">
        <f>transport!K54</f>
        <v>0</v>
      </c>
      <c r="M19" s="991">
        <f>transport!L54</f>
        <v>0</v>
      </c>
      <c r="N19" s="991">
        <f>transport!M54</f>
        <v>116.06429825828648</v>
      </c>
      <c r="O19" s="991">
        <f>transport!N54</f>
        <v>0</v>
      </c>
      <c r="P19" s="991">
        <f>transport!O54</f>
        <v>0</v>
      </c>
      <c r="Q19" s="992">
        <f>transport!P54</f>
        <v>0</v>
      </c>
      <c r="R19" s="675">
        <f>SUM(C19:Q19)</f>
        <v>2146.6884914906814</v>
      </c>
      <c r="S19" s="67"/>
    </row>
    <row r="20" spans="1:19" s="448" customFormat="1">
      <c r="A20" s="784" t="s">
        <v>306</v>
      </c>
      <c r="B20" s="789"/>
      <c r="C20" s="991">
        <f>transport!B14</f>
        <v>15.572843059673735</v>
      </c>
      <c r="D20" s="991">
        <f>transport!C14</f>
        <v>0</v>
      </c>
      <c r="E20" s="991">
        <f>transport!D14</f>
        <v>29.329250028543978</v>
      </c>
      <c r="F20" s="991">
        <f>transport!E14</f>
        <v>302.95609262242465</v>
      </c>
      <c r="G20" s="991">
        <f>transport!F14</f>
        <v>0</v>
      </c>
      <c r="H20" s="991">
        <f>transport!G14</f>
        <v>101313.37538703335</v>
      </c>
      <c r="I20" s="991">
        <f>transport!H14</f>
        <v>18110.55817507728</v>
      </c>
      <c r="J20" s="991">
        <f>transport!I14</f>
        <v>0</v>
      </c>
      <c r="K20" s="991">
        <f>transport!J14</f>
        <v>0</v>
      </c>
      <c r="L20" s="991">
        <f>transport!K14</f>
        <v>0</v>
      </c>
      <c r="M20" s="991">
        <f>transport!L14</f>
        <v>0</v>
      </c>
      <c r="N20" s="991">
        <f>transport!M14</f>
        <v>6426.2848088428982</v>
      </c>
      <c r="O20" s="991">
        <f>transport!N14</f>
        <v>0</v>
      </c>
      <c r="P20" s="991">
        <f>transport!O14</f>
        <v>0</v>
      </c>
      <c r="Q20" s="992">
        <f>transport!P14</f>
        <v>0</v>
      </c>
      <c r="R20" s="675">
        <f>SUM(C20:Q20)</f>
        <v>126198.07655666418</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15.572843059673735</v>
      </c>
      <c r="D22" s="787">
        <f t="shared" ref="D22:R22" si="1">SUM(D18:D21)</f>
        <v>0</v>
      </c>
      <c r="E22" s="787">
        <f t="shared" si="1"/>
        <v>29.329250028543978</v>
      </c>
      <c r="F22" s="787">
        <f t="shared" si="1"/>
        <v>302.95609262242465</v>
      </c>
      <c r="G22" s="787">
        <f t="shared" si="1"/>
        <v>0</v>
      </c>
      <c r="H22" s="787">
        <f t="shared" si="1"/>
        <v>103343.99958026574</v>
      </c>
      <c r="I22" s="787">
        <f t="shared" si="1"/>
        <v>18110.55817507728</v>
      </c>
      <c r="J22" s="787">
        <f t="shared" si="1"/>
        <v>0</v>
      </c>
      <c r="K22" s="787">
        <f t="shared" si="1"/>
        <v>0</v>
      </c>
      <c r="L22" s="787">
        <f t="shared" si="1"/>
        <v>0</v>
      </c>
      <c r="M22" s="787">
        <f t="shared" si="1"/>
        <v>0</v>
      </c>
      <c r="N22" s="787">
        <f t="shared" si="1"/>
        <v>6542.3491071011849</v>
      </c>
      <c r="O22" s="787">
        <f t="shared" si="1"/>
        <v>0</v>
      </c>
      <c r="P22" s="787">
        <f t="shared" si="1"/>
        <v>0</v>
      </c>
      <c r="Q22" s="787">
        <f t="shared" si="1"/>
        <v>0</v>
      </c>
      <c r="R22" s="787">
        <f t="shared" si="1"/>
        <v>128344.76504815486</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7.0131450000000006</v>
      </c>
      <c r="D24" s="991">
        <f>+landbouw!C8</f>
        <v>0</v>
      </c>
      <c r="E24" s="991">
        <f>+landbouw!D8</f>
        <v>20.773468809136627</v>
      </c>
      <c r="F24" s="991">
        <f>+landbouw!E8</f>
        <v>6.4958686365135174E-2</v>
      </c>
      <c r="G24" s="991">
        <f>+landbouw!F8</f>
        <v>17.79368486775147</v>
      </c>
      <c r="H24" s="991">
        <f>+landbouw!G8</f>
        <v>0</v>
      </c>
      <c r="I24" s="991">
        <f>+landbouw!H8</f>
        <v>0</v>
      </c>
      <c r="J24" s="991">
        <f>+landbouw!I8</f>
        <v>0</v>
      </c>
      <c r="K24" s="991">
        <f>+landbouw!J8</f>
        <v>1.0751933954266297</v>
      </c>
      <c r="L24" s="991">
        <f>+landbouw!K8</f>
        <v>0</v>
      </c>
      <c r="M24" s="991">
        <f>+landbouw!L8</f>
        <v>0</v>
      </c>
      <c r="N24" s="991">
        <f>+landbouw!M8</f>
        <v>0</v>
      </c>
      <c r="O24" s="991">
        <f>+landbouw!N8</f>
        <v>0</v>
      </c>
      <c r="P24" s="991">
        <f>+landbouw!O8</f>
        <v>0</v>
      </c>
      <c r="Q24" s="992">
        <f>+landbouw!P8</f>
        <v>0</v>
      </c>
      <c r="R24" s="675">
        <f>SUM(C24:Q24)</f>
        <v>46.720450758679867</v>
      </c>
      <c r="S24" s="67"/>
    </row>
    <row r="25" spans="1:19" s="448" customFormat="1" ht="15" thickBot="1">
      <c r="A25" s="806" t="s">
        <v>849</v>
      </c>
      <c r="B25" s="994"/>
      <c r="C25" s="995">
        <f>IF(Onbekend_ele_kWh="---",0,Onbekend_ele_kWh)/1000+IF(REST_rest_ele_kWh="---",0,REST_rest_ele_kWh)/1000</f>
        <v>1308.0340000000001</v>
      </c>
      <c r="D25" s="995"/>
      <c r="E25" s="995">
        <f>IF(onbekend_gas_kWh="---",0,onbekend_gas_kWh)/1000+IF(REST_rest_gas_kWh="---",0,REST_rest_gas_kWh)/1000</f>
        <v>4976.3816184695797</v>
      </c>
      <c r="F25" s="995"/>
      <c r="G25" s="995"/>
      <c r="H25" s="995"/>
      <c r="I25" s="995"/>
      <c r="J25" s="995"/>
      <c r="K25" s="995"/>
      <c r="L25" s="995"/>
      <c r="M25" s="995"/>
      <c r="N25" s="995"/>
      <c r="O25" s="995"/>
      <c r="P25" s="995"/>
      <c r="Q25" s="996"/>
      <c r="R25" s="675">
        <f>SUM(C25:Q25)</f>
        <v>6284.4156184695803</v>
      </c>
      <c r="S25" s="67"/>
    </row>
    <row r="26" spans="1:19" s="448" customFormat="1" ht="15.75" thickBot="1">
      <c r="A26" s="680" t="s">
        <v>850</v>
      </c>
      <c r="B26" s="792"/>
      <c r="C26" s="787">
        <f>SUM(C24:C25)</f>
        <v>1315.047145</v>
      </c>
      <c r="D26" s="787">
        <f t="shared" ref="D26:R26" si="2">SUM(D24:D25)</f>
        <v>0</v>
      </c>
      <c r="E26" s="787">
        <f t="shared" si="2"/>
        <v>4997.1550872787166</v>
      </c>
      <c r="F26" s="787">
        <f t="shared" si="2"/>
        <v>6.4958686365135174E-2</v>
      </c>
      <c r="G26" s="787">
        <f t="shared" si="2"/>
        <v>17.79368486775147</v>
      </c>
      <c r="H26" s="787">
        <f t="shared" si="2"/>
        <v>0</v>
      </c>
      <c r="I26" s="787">
        <f t="shared" si="2"/>
        <v>0</v>
      </c>
      <c r="J26" s="787">
        <f t="shared" si="2"/>
        <v>0</v>
      </c>
      <c r="K26" s="787">
        <f t="shared" si="2"/>
        <v>1.0751933954266297</v>
      </c>
      <c r="L26" s="787">
        <f t="shared" si="2"/>
        <v>0</v>
      </c>
      <c r="M26" s="787">
        <f t="shared" si="2"/>
        <v>0</v>
      </c>
      <c r="N26" s="787">
        <f t="shared" si="2"/>
        <v>0</v>
      </c>
      <c r="O26" s="787">
        <f t="shared" si="2"/>
        <v>0</v>
      </c>
      <c r="P26" s="787">
        <f t="shared" si="2"/>
        <v>0</v>
      </c>
      <c r="Q26" s="787">
        <f t="shared" si="2"/>
        <v>0</v>
      </c>
      <c r="R26" s="787">
        <f t="shared" si="2"/>
        <v>6331.1360692282606</v>
      </c>
      <c r="S26" s="67"/>
    </row>
    <row r="27" spans="1:19" s="448" customFormat="1" ht="17.25" thickTop="1" thickBot="1">
      <c r="A27" s="681" t="s">
        <v>115</v>
      </c>
      <c r="B27" s="780"/>
      <c r="C27" s="682">
        <f ca="1">C22+C16+C26</f>
        <v>57512.333590492832</v>
      </c>
      <c r="D27" s="682">
        <f t="shared" ref="D27:R27" ca="1" si="3">D22+D16+D26</f>
        <v>0</v>
      </c>
      <c r="E27" s="682">
        <f t="shared" ca="1" si="3"/>
        <v>108905.46662928889</v>
      </c>
      <c r="F27" s="682">
        <f t="shared" si="3"/>
        <v>3383.3638545849467</v>
      </c>
      <c r="G27" s="682">
        <f t="shared" ca="1" si="3"/>
        <v>5820.6495045660276</v>
      </c>
      <c r="H27" s="682">
        <f t="shared" si="3"/>
        <v>103343.99958026574</v>
      </c>
      <c r="I27" s="682">
        <f t="shared" si="3"/>
        <v>18110.55817507728</v>
      </c>
      <c r="J27" s="682">
        <f t="shared" si="3"/>
        <v>0</v>
      </c>
      <c r="K27" s="682">
        <f t="shared" si="3"/>
        <v>28.353914774967635</v>
      </c>
      <c r="L27" s="682">
        <f t="shared" si="3"/>
        <v>0</v>
      </c>
      <c r="M27" s="682">
        <f t="shared" ca="1" si="3"/>
        <v>0</v>
      </c>
      <c r="N27" s="682">
        <f t="shared" si="3"/>
        <v>6542.3491071011849</v>
      </c>
      <c r="O27" s="682">
        <f t="shared" ca="1" si="3"/>
        <v>4380.0154762207912</v>
      </c>
      <c r="P27" s="682">
        <f t="shared" si="3"/>
        <v>45.336666666666673</v>
      </c>
      <c r="Q27" s="682">
        <f t="shared" si="3"/>
        <v>95.333333333333343</v>
      </c>
      <c r="R27" s="682">
        <f t="shared" ca="1" si="3"/>
        <v>308167.7598323726</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4337.3277899762597</v>
      </c>
      <c r="D40" s="991">
        <f ca="1">tertiair!C20</f>
        <v>0</v>
      </c>
      <c r="E40" s="991">
        <f ca="1">tertiair!D20</f>
        <v>5741.8403526635866</v>
      </c>
      <c r="F40" s="991">
        <f>tertiair!E20</f>
        <v>48.935354682206913</v>
      </c>
      <c r="G40" s="991">
        <f ca="1">tertiair!F20</f>
        <v>855.64682270296339</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10983.750320025018</v>
      </c>
    </row>
    <row r="41" spans="1:18">
      <c r="A41" s="797" t="s">
        <v>224</v>
      </c>
      <c r="B41" s="804"/>
      <c r="C41" s="991">
        <f ca="1">huishoudens!B12</f>
        <v>5328.1654663273976</v>
      </c>
      <c r="D41" s="991">
        <f ca="1">huishoudens!C12</f>
        <v>0</v>
      </c>
      <c r="E41" s="991">
        <f>huishoudens!D12</f>
        <v>14343.187145459882</v>
      </c>
      <c r="F41" s="991">
        <f>huishoudens!E12</f>
        <v>543.89210402173944</v>
      </c>
      <c r="G41" s="991">
        <f>huishoudens!F12</f>
        <v>0</v>
      </c>
      <c r="H41" s="991">
        <f>huishoudens!G12</f>
        <v>0</v>
      </c>
      <c r="I41" s="991">
        <f>huishoudens!H12</f>
        <v>0</v>
      </c>
      <c r="J41" s="991">
        <f>huishoudens!I12</f>
        <v>0</v>
      </c>
      <c r="K41" s="991">
        <f>huishoudens!J12</f>
        <v>0</v>
      </c>
      <c r="L41" s="991">
        <f>huishoudens!K12</f>
        <v>0</v>
      </c>
      <c r="M41" s="991">
        <f>huishoudens!L12</f>
        <v>0</v>
      </c>
      <c r="N41" s="991">
        <f>huishoudens!M12</f>
        <v>0</v>
      </c>
      <c r="O41" s="991">
        <f>huishoudens!N12</f>
        <v>0</v>
      </c>
      <c r="P41" s="991">
        <f>huishoudens!O12</f>
        <v>0</v>
      </c>
      <c r="Q41" s="749">
        <f>huishoudens!P12</f>
        <v>0</v>
      </c>
      <c r="R41" s="825">
        <f t="shared" ca="1" si="4"/>
        <v>20215.244715809018</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1235.6679605164172</v>
      </c>
      <c r="D43" s="991">
        <f ca="1">industrie!C22</f>
        <v>0</v>
      </c>
      <c r="E43" s="991">
        <f>industrie!D22</f>
        <v>898.52692485681996</v>
      </c>
      <c r="F43" s="991">
        <f>industrie!E22</f>
        <v>106.41035763974124</v>
      </c>
      <c r="G43" s="991">
        <f>industrie!F22</f>
        <v>693.71568115647642</v>
      </c>
      <c r="H43" s="991">
        <f>industrie!G22</f>
        <v>0</v>
      </c>
      <c r="I43" s="991">
        <f>industrie!H22</f>
        <v>0</v>
      </c>
      <c r="J43" s="991">
        <f>industrie!I22</f>
        <v>0</v>
      </c>
      <c r="K43" s="991">
        <f>industrie!J22</f>
        <v>9.6566673683575157</v>
      </c>
      <c r="L43" s="991">
        <f>industrie!K22</f>
        <v>0</v>
      </c>
      <c r="M43" s="991">
        <f>industrie!L22</f>
        <v>0</v>
      </c>
      <c r="N43" s="991">
        <f>industrie!M22</f>
        <v>0</v>
      </c>
      <c r="O43" s="991">
        <f>industrie!N22</f>
        <v>0</v>
      </c>
      <c r="P43" s="991">
        <f>industrie!O22</f>
        <v>0</v>
      </c>
      <c r="Q43" s="749">
        <f>industrie!P22</f>
        <v>0</v>
      </c>
      <c r="R43" s="824">
        <f t="shared" ca="1" si="4"/>
        <v>2943.9775915378123</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10901.161216820074</v>
      </c>
      <c r="D46" s="707">
        <f t="shared" ref="D46:Q46" ca="1" si="5">SUM(D39:D45)</f>
        <v>0</v>
      </c>
      <c r="E46" s="707">
        <f t="shared" ca="1" si="5"/>
        <v>20983.554422980287</v>
      </c>
      <c r="F46" s="707">
        <f t="shared" si="5"/>
        <v>699.23781634368765</v>
      </c>
      <c r="G46" s="707">
        <f t="shared" ca="1" si="5"/>
        <v>1549.3625038594398</v>
      </c>
      <c r="H46" s="707">
        <f t="shared" si="5"/>
        <v>0</v>
      </c>
      <c r="I46" s="707">
        <f t="shared" si="5"/>
        <v>0</v>
      </c>
      <c r="J46" s="707">
        <f t="shared" si="5"/>
        <v>0</v>
      </c>
      <c r="K46" s="707">
        <f t="shared" si="5"/>
        <v>9.6566673683575157</v>
      </c>
      <c r="L46" s="707">
        <f t="shared" si="5"/>
        <v>0</v>
      </c>
      <c r="M46" s="707">
        <f t="shared" ca="1" si="5"/>
        <v>0</v>
      </c>
      <c r="N46" s="707">
        <f t="shared" si="5"/>
        <v>0</v>
      </c>
      <c r="O46" s="707">
        <f t="shared" ca="1" si="5"/>
        <v>0</v>
      </c>
      <c r="P46" s="707">
        <f t="shared" si="5"/>
        <v>0</v>
      </c>
      <c r="Q46" s="707">
        <f t="shared" si="5"/>
        <v>0</v>
      </c>
      <c r="R46" s="707">
        <f ca="1">SUM(R39:R45)</f>
        <v>34142.972627371848</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542.17665959304952</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542.17665959304952</v>
      </c>
    </row>
    <row r="50" spans="1:18">
      <c r="A50" s="800" t="s">
        <v>306</v>
      </c>
      <c r="B50" s="810"/>
      <c r="C50" s="678">
        <f ca="1">transport!B18</f>
        <v>3.0216606420917143</v>
      </c>
      <c r="D50" s="678">
        <f>transport!C18</f>
        <v>0</v>
      </c>
      <c r="E50" s="678">
        <f>transport!D18</f>
        <v>5.9245085057658837</v>
      </c>
      <c r="F50" s="678">
        <f>transport!E18</f>
        <v>68.771033025290393</v>
      </c>
      <c r="G50" s="678">
        <f>transport!F18</f>
        <v>0</v>
      </c>
      <c r="H50" s="678">
        <f>transport!G18</f>
        <v>27050.671228337906</v>
      </c>
      <c r="I50" s="678">
        <f>transport!H18</f>
        <v>4509.5289855942428</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31637.917416105298</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3.0216606420917143</v>
      </c>
      <c r="D52" s="707">
        <f t="shared" ref="D52:Q52" ca="1" si="6">SUM(D48:D51)</f>
        <v>0</v>
      </c>
      <c r="E52" s="707">
        <f t="shared" si="6"/>
        <v>5.9245085057658837</v>
      </c>
      <c r="F52" s="707">
        <f t="shared" si="6"/>
        <v>68.771033025290393</v>
      </c>
      <c r="G52" s="707">
        <f t="shared" si="6"/>
        <v>0</v>
      </c>
      <c r="H52" s="707">
        <f t="shared" si="6"/>
        <v>27592.847887930955</v>
      </c>
      <c r="I52" s="707">
        <f t="shared" si="6"/>
        <v>4509.5289855942428</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32180.094075698347</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1.3607884021292047</v>
      </c>
      <c r="D54" s="678">
        <f ca="1">+landbouw!C12</f>
        <v>0</v>
      </c>
      <c r="E54" s="678">
        <f>+landbouw!D12</f>
        <v>4.1962406994455987</v>
      </c>
      <c r="F54" s="678">
        <f>+landbouw!E12</f>
        <v>1.4745621804885685E-2</v>
      </c>
      <c r="G54" s="678">
        <f>+landbouw!F12</f>
        <v>4.7509138596896427</v>
      </c>
      <c r="H54" s="678">
        <f>+landbouw!G12</f>
        <v>0</v>
      </c>
      <c r="I54" s="678">
        <f>+landbouw!H12</f>
        <v>0</v>
      </c>
      <c r="J54" s="678">
        <f>+landbouw!I12</f>
        <v>0</v>
      </c>
      <c r="K54" s="678">
        <f>+landbouw!J12</f>
        <v>0.38061846198102689</v>
      </c>
      <c r="L54" s="678">
        <f>+landbouw!K12</f>
        <v>0</v>
      </c>
      <c r="M54" s="678">
        <f>+landbouw!L12</f>
        <v>0</v>
      </c>
      <c r="N54" s="678">
        <f>+landbouw!M12</f>
        <v>0</v>
      </c>
      <c r="O54" s="678">
        <f>+landbouw!N12</f>
        <v>0</v>
      </c>
      <c r="P54" s="678">
        <f>+landbouw!O12</f>
        <v>0</v>
      </c>
      <c r="Q54" s="679">
        <f>+landbouw!P12</f>
        <v>0</v>
      </c>
      <c r="R54" s="706">
        <f ca="1">SUM(C54:Q54)</f>
        <v>10.703307045050359</v>
      </c>
    </row>
    <row r="55" spans="1:18" ht="15" thickBot="1">
      <c r="A55" s="800" t="s">
        <v>849</v>
      </c>
      <c r="B55" s="810"/>
      <c r="C55" s="678">
        <f ca="1">C25*'EF ele_warmte'!B12</f>
        <v>253.80303655359646</v>
      </c>
      <c r="D55" s="678"/>
      <c r="E55" s="678">
        <f>E25*EF_CO2_aardgas</f>
        <v>1005.2290869308551</v>
      </c>
      <c r="F55" s="678"/>
      <c r="G55" s="678"/>
      <c r="H55" s="678"/>
      <c r="I55" s="678"/>
      <c r="J55" s="678"/>
      <c r="K55" s="678"/>
      <c r="L55" s="678"/>
      <c r="M55" s="678"/>
      <c r="N55" s="678"/>
      <c r="O55" s="678"/>
      <c r="P55" s="678"/>
      <c r="Q55" s="679"/>
      <c r="R55" s="706">
        <f ca="1">SUM(C55:Q55)</f>
        <v>1259.0321234844516</v>
      </c>
    </row>
    <row r="56" spans="1:18" ht="15.75" thickBot="1">
      <c r="A56" s="798" t="s">
        <v>850</v>
      </c>
      <c r="B56" s="811"/>
      <c r="C56" s="707">
        <f ca="1">SUM(C54:C55)</f>
        <v>255.16382495572566</v>
      </c>
      <c r="D56" s="707">
        <f t="shared" ref="D56:Q56" ca="1" si="7">SUM(D54:D55)</f>
        <v>0</v>
      </c>
      <c r="E56" s="707">
        <f t="shared" si="7"/>
        <v>1009.4253276303008</v>
      </c>
      <c r="F56" s="707">
        <f t="shared" si="7"/>
        <v>1.4745621804885685E-2</v>
      </c>
      <c r="G56" s="707">
        <f t="shared" si="7"/>
        <v>4.7509138596896427</v>
      </c>
      <c r="H56" s="707">
        <f t="shared" si="7"/>
        <v>0</v>
      </c>
      <c r="I56" s="707">
        <f t="shared" si="7"/>
        <v>0</v>
      </c>
      <c r="J56" s="707">
        <f t="shared" si="7"/>
        <v>0</v>
      </c>
      <c r="K56" s="707">
        <f t="shared" si="7"/>
        <v>0.38061846198102689</v>
      </c>
      <c r="L56" s="707">
        <f t="shared" si="7"/>
        <v>0</v>
      </c>
      <c r="M56" s="707">
        <f t="shared" si="7"/>
        <v>0</v>
      </c>
      <c r="N56" s="707">
        <f t="shared" si="7"/>
        <v>0</v>
      </c>
      <c r="O56" s="707">
        <f t="shared" si="7"/>
        <v>0</v>
      </c>
      <c r="P56" s="707">
        <f t="shared" si="7"/>
        <v>0</v>
      </c>
      <c r="Q56" s="708">
        <f t="shared" si="7"/>
        <v>0</v>
      </c>
      <c r="R56" s="709">
        <f ca="1">SUM(R54:R55)</f>
        <v>1269.7354305295021</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11159.34670241789</v>
      </c>
      <c r="D61" s="715">
        <f t="shared" ref="D61:Q61" ca="1" si="8">D46+D52+D56</f>
        <v>0</v>
      </c>
      <c r="E61" s="715">
        <f t="shared" ca="1" si="8"/>
        <v>21998.904259116356</v>
      </c>
      <c r="F61" s="715">
        <f t="shared" si="8"/>
        <v>768.02359499078295</v>
      </c>
      <c r="G61" s="715">
        <f t="shared" ca="1" si="8"/>
        <v>1554.1134177191295</v>
      </c>
      <c r="H61" s="715">
        <f t="shared" si="8"/>
        <v>27592.847887930955</v>
      </c>
      <c r="I61" s="715">
        <f t="shared" si="8"/>
        <v>4509.5289855942428</v>
      </c>
      <c r="J61" s="715">
        <f t="shared" si="8"/>
        <v>0</v>
      </c>
      <c r="K61" s="715">
        <f t="shared" si="8"/>
        <v>10.037285830338543</v>
      </c>
      <c r="L61" s="715">
        <f t="shared" si="8"/>
        <v>0</v>
      </c>
      <c r="M61" s="715">
        <f t="shared" ca="1" si="8"/>
        <v>0</v>
      </c>
      <c r="N61" s="715">
        <f t="shared" si="8"/>
        <v>0</v>
      </c>
      <c r="O61" s="715">
        <f t="shared" ca="1" si="8"/>
        <v>0</v>
      </c>
      <c r="P61" s="715">
        <f t="shared" si="8"/>
        <v>0</v>
      </c>
      <c r="Q61" s="715">
        <f t="shared" si="8"/>
        <v>0</v>
      </c>
      <c r="R61" s="715">
        <f ca="1">R46+R52+R56</f>
        <v>67592.802133599689</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0.19403397507526288</v>
      </c>
      <c r="D63" s="756">
        <f t="shared" ca="1" si="9"/>
        <v>0</v>
      </c>
      <c r="E63" s="1002">
        <f t="shared" ca="1" si="9"/>
        <v>0.20200000000000001</v>
      </c>
      <c r="F63" s="756">
        <f t="shared" si="9"/>
        <v>0.22700000000000001</v>
      </c>
      <c r="G63" s="756">
        <f t="shared" ca="1" si="9"/>
        <v>0.26700000000000002</v>
      </c>
      <c r="H63" s="756">
        <f t="shared" si="9"/>
        <v>0.26700000000000002</v>
      </c>
      <c r="I63" s="756">
        <f t="shared" si="9"/>
        <v>0.249</v>
      </c>
      <c r="J63" s="756">
        <f t="shared" si="9"/>
        <v>0</v>
      </c>
      <c r="K63" s="756">
        <f t="shared" si="9"/>
        <v>0.35400000000000004</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0</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7017.552131588347</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0</v>
      </c>
      <c r="C76" s="725">
        <f>'lokale energieproductie'!B8*IFERROR(SUM(D76:H76)/SUM(D76:O76),0)</f>
        <v>0</v>
      </c>
      <c r="D76" s="1012">
        <f>'lokale energieproductie'!C8</f>
        <v>0</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0</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0</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7017.552131588347</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35">
        <f>SUM(O76:O77)</f>
        <v>0</v>
      </c>
      <c r="P78" s="732">
        <v>0</v>
      </c>
      <c r="Q78" s="732">
        <f>SUM(Q76:Q77)</f>
        <v>0</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0</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27459.96140243316</v>
      </c>
      <c r="C4" s="452">
        <f>huishoudens!C8</f>
        <v>0</v>
      </c>
      <c r="D4" s="452">
        <f>huishoudens!D8</f>
        <v>71005.876957722183</v>
      </c>
      <c r="E4" s="452">
        <f>huishoudens!E8</f>
        <v>2396.0004582455481</v>
      </c>
      <c r="F4" s="452">
        <f>huishoudens!F8</f>
        <v>0</v>
      </c>
      <c r="G4" s="452">
        <f>huishoudens!G8</f>
        <v>0</v>
      </c>
      <c r="H4" s="452">
        <f>huishoudens!H8</f>
        <v>0</v>
      </c>
      <c r="I4" s="452">
        <f>huishoudens!I8</f>
        <v>0</v>
      </c>
      <c r="J4" s="452">
        <f>huishoudens!J8</f>
        <v>0</v>
      </c>
      <c r="K4" s="452">
        <f>huishoudens!K8</f>
        <v>0</v>
      </c>
      <c r="L4" s="452">
        <f>huishoudens!L8</f>
        <v>0</v>
      </c>
      <c r="M4" s="452">
        <f>huishoudens!M8</f>
        <v>0</v>
      </c>
      <c r="N4" s="452">
        <f>huishoudens!N8</f>
        <v>2468.302156625879</v>
      </c>
      <c r="O4" s="452">
        <f>huishoudens!O8</f>
        <v>43.773333333333341</v>
      </c>
      <c r="P4" s="453">
        <f>huishoudens!P8</f>
        <v>95.333333333333343</v>
      </c>
      <c r="Q4" s="454">
        <f>SUM(B4:P4)</f>
        <v>103469.24764169344</v>
      </c>
    </row>
    <row r="5" spans="1:17">
      <c r="A5" s="451" t="s">
        <v>155</v>
      </c>
      <c r="B5" s="452">
        <f ca="1">tertiair!B16</f>
        <v>21367.481</v>
      </c>
      <c r="C5" s="452">
        <f ca="1">tertiair!C16</f>
        <v>0</v>
      </c>
      <c r="D5" s="452">
        <f ca="1">tertiair!D16</f>
        <v>28424.952240908842</v>
      </c>
      <c r="E5" s="452">
        <f>tertiair!E16</f>
        <v>215.57424970135204</v>
      </c>
      <c r="F5" s="452">
        <f ca="1">tertiair!F16</f>
        <v>3204.6697479511736</v>
      </c>
      <c r="G5" s="452">
        <f>tertiair!G16</f>
        <v>0</v>
      </c>
      <c r="H5" s="452">
        <f>tertiair!H16</f>
        <v>0</v>
      </c>
      <c r="I5" s="452">
        <f>tertiair!I16</f>
        <v>0</v>
      </c>
      <c r="J5" s="452">
        <f>tertiair!J16</f>
        <v>0</v>
      </c>
      <c r="K5" s="452">
        <f>tertiair!K16</f>
        <v>0</v>
      </c>
      <c r="L5" s="452">
        <f ca="1">tertiair!L16</f>
        <v>0</v>
      </c>
      <c r="M5" s="452">
        <f>tertiair!M16</f>
        <v>0</v>
      </c>
      <c r="N5" s="452">
        <f ca="1">tertiair!N16</f>
        <v>1390.5145668845955</v>
      </c>
      <c r="O5" s="452">
        <f>tertiair!O16</f>
        <v>1.5633333333333335</v>
      </c>
      <c r="P5" s="453">
        <f>tertiair!P16</f>
        <v>0</v>
      </c>
      <c r="Q5" s="451">
        <f t="shared" ref="Q5:Q14" ca="1" si="0">SUM(B5:P5)</f>
        <v>54604.755138779285</v>
      </c>
    </row>
    <row r="6" spans="1:17">
      <c r="A6" s="451" t="s">
        <v>193</v>
      </c>
      <c r="B6" s="452">
        <f>'openbare verlichting'!B8</f>
        <v>985.96400000000006</v>
      </c>
      <c r="C6" s="452"/>
      <c r="D6" s="452"/>
      <c r="E6" s="452"/>
      <c r="F6" s="452"/>
      <c r="G6" s="452"/>
      <c r="H6" s="452"/>
      <c r="I6" s="452"/>
      <c r="J6" s="452"/>
      <c r="K6" s="452"/>
      <c r="L6" s="452"/>
      <c r="M6" s="452"/>
      <c r="N6" s="452"/>
      <c r="O6" s="452"/>
      <c r="P6" s="453"/>
      <c r="Q6" s="451">
        <f t="shared" si="0"/>
        <v>985.96400000000006</v>
      </c>
    </row>
    <row r="7" spans="1:17">
      <c r="A7" s="451" t="s">
        <v>111</v>
      </c>
      <c r="B7" s="452">
        <f>landbouw!B8</f>
        <v>7.0131450000000006</v>
      </c>
      <c r="C7" s="452">
        <f>landbouw!C8</f>
        <v>0</v>
      </c>
      <c r="D7" s="452">
        <f>landbouw!D8</f>
        <v>20.773468809136627</v>
      </c>
      <c r="E7" s="452">
        <f>landbouw!E8</f>
        <v>6.4958686365135174E-2</v>
      </c>
      <c r="F7" s="452">
        <f>landbouw!F8</f>
        <v>17.79368486775147</v>
      </c>
      <c r="G7" s="452">
        <f>landbouw!G8</f>
        <v>0</v>
      </c>
      <c r="H7" s="452">
        <f>landbouw!H8</f>
        <v>0</v>
      </c>
      <c r="I7" s="452">
        <f>landbouw!I8</f>
        <v>0</v>
      </c>
      <c r="J7" s="452">
        <f>landbouw!J8</f>
        <v>1.0751933954266297</v>
      </c>
      <c r="K7" s="452">
        <f>landbouw!K8</f>
        <v>0</v>
      </c>
      <c r="L7" s="452">
        <f>landbouw!L8</f>
        <v>0</v>
      </c>
      <c r="M7" s="452">
        <f>landbouw!M8</f>
        <v>0</v>
      </c>
      <c r="N7" s="452">
        <f>landbouw!N8</f>
        <v>0</v>
      </c>
      <c r="O7" s="452">
        <f>landbouw!O8</f>
        <v>0</v>
      </c>
      <c r="P7" s="453">
        <f>landbouw!P8</f>
        <v>0</v>
      </c>
      <c r="Q7" s="451">
        <f t="shared" si="0"/>
        <v>46.720450758679867</v>
      </c>
    </row>
    <row r="8" spans="1:17">
      <c r="A8" s="451" t="s">
        <v>649</v>
      </c>
      <c r="B8" s="452">
        <f>industrie!B18</f>
        <v>6368.3072000000002</v>
      </c>
      <c r="C8" s="452">
        <f>industrie!C18</f>
        <v>0</v>
      </c>
      <c r="D8" s="452">
        <f>industrie!D18</f>
        <v>4448.1530933505937</v>
      </c>
      <c r="E8" s="452">
        <f>industrie!E18</f>
        <v>468.76809532925654</v>
      </c>
      <c r="F8" s="452">
        <f>industrie!F18</f>
        <v>2598.1860717471027</v>
      </c>
      <c r="G8" s="452">
        <f>industrie!G18</f>
        <v>0</v>
      </c>
      <c r="H8" s="452">
        <f>industrie!H18</f>
        <v>0</v>
      </c>
      <c r="I8" s="452">
        <f>industrie!I18</f>
        <v>0</v>
      </c>
      <c r="J8" s="452">
        <f>industrie!J18</f>
        <v>27.278721379541004</v>
      </c>
      <c r="K8" s="452">
        <f>industrie!K18</f>
        <v>0</v>
      </c>
      <c r="L8" s="452">
        <f>industrie!L18</f>
        <v>0</v>
      </c>
      <c r="M8" s="452">
        <f>industrie!M18</f>
        <v>0</v>
      </c>
      <c r="N8" s="452">
        <f>industrie!N18</f>
        <v>521.19875271031651</v>
      </c>
      <c r="O8" s="452">
        <f>industrie!O18</f>
        <v>0</v>
      </c>
      <c r="P8" s="453">
        <f>industrie!P18</f>
        <v>0</v>
      </c>
      <c r="Q8" s="451">
        <f t="shared" si="0"/>
        <v>14431.891934516811</v>
      </c>
    </row>
    <row r="9" spans="1:17" s="457" customFormat="1">
      <c r="A9" s="455" t="s">
        <v>570</v>
      </c>
      <c r="B9" s="456">
        <f>transport!B14</f>
        <v>15.572843059673735</v>
      </c>
      <c r="C9" s="456">
        <f>transport!C14</f>
        <v>0</v>
      </c>
      <c r="D9" s="456">
        <f>transport!D14</f>
        <v>29.329250028543978</v>
      </c>
      <c r="E9" s="456">
        <f>transport!E14</f>
        <v>302.95609262242465</v>
      </c>
      <c r="F9" s="456">
        <f>transport!F14</f>
        <v>0</v>
      </c>
      <c r="G9" s="456">
        <f>transport!G14</f>
        <v>101313.37538703335</v>
      </c>
      <c r="H9" s="456">
        <f>transport!H14</f>
        <v>18110.55817507728</v>
      </c>
      <c r="I9" s="456">
        <f>transport!I14</f>
        <v>0</v>
      </c>
      <c r="J9" s="456">
        <f>transport!J14</f>
        <v>0</v>
      </c>
      <c r="K9" s="456">
        <f>transport!K14</f>
        <v>0</v>
      </c>
      <c r="L9" s="456">
        <f>transport!L14</f>
        <v>0</v>
      </c>
      <c r="M9" s="456">
        <f>transport!M14</f>
        <v>6426.2848088428982</v>
      </c>
      <c r="N9" s="456">
        <f>transport!N14</f>
        <v>0</v>
      </c>
      <c r="O9" s="456">
        <f>transport!O14</f>
        <v>0</v>
      </c>
      <c r="P9" s="456">
        <f>transport!P14</f>
        <v>0</v>
      </c>
      <c r="Q9" s="455">
        <f>SUM(B9:P9)</f>
        <v>126198.07655666418</v>
      </c>
    </row>
    <row r="10" spans="1:17">
      <c r="A10" s="451" t="s">
        <v>560</v>
      </c>
      <c r="B10" s="452">
        <f>transport!B54</f>
        <v>0</v>
      </c>
      <c r="C10" s="452">
        <f>transport!C54</f>
        <v>0</v>
      </c>
      <c r="D10" s="452">
        <f>transport!D54</f>
        <v>0</v>
      </c>
      <c r="E10" s="452">
        <f>transport!E54</f>
        <v>0</v>
      </c>
      <c r="F10" s="452">
        <f>transport!F54</f>
        <v>0</v>
      </c>
      <c r="G10" s="452">
        <f>transport!G54</f>
        <v>2030.6241932323951</v>
      </c>
      <c r="H10" s="452">
        <f>transport!H54</f>
        <v>0</v>
      </c>
      <c r="I10" s="452">
        <f>transport!I54</f>
        <v>0</v>
      </c>
      <c r="J10" s="452">
        <f>transport!J54</f>
        <v>0</v>
      </c>
      <c r="K10" s="452">
        <f>transport!K54</f>
        <v>0</v>
      </c>
      <c r="L10" s="452">
        <f>transport!L54</f>
        <v>0</v>
      </c>
      <c r="M10" s="452">
        <f>transport!M54</f>
        <v>116.06429825828648</v>
      </c>
      <c r="N10" s="452">
        <f>transport!N54</f>
        <v>0</v>
      </c>
      <c r="O10" s="452">
        <f>transport!O54</f>
        <v>0</v>
      </c>
      <c r="P10" s="453">
        <f>transport!P54</f>
        <v>0</v>
      </c>
      <c r="Q10" s="451">
        <f t="shared" si="0"/>
        <v>2146.6884914906814</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1308.0340000000001</v>
      </c>
      <c r="C14" s="459"/>
      <c r="D14" s="459">
        <f>'SEAP template'!E25</f>
        <v>4976.3816184695797</v>
      </c>
      <c r="E14" s="459"/>
      <c r="F14" s="459"/>
      <c r="G14" s="459"/>
      <c r="H14" s="459"/>
      <c r="I14" s="459"/>
      <c r="J14" s="459"/>
      <c r="K14" s="459"/>
      <c r="L14" s="459"/>
      <c r="M14" s="459"/>
      <c r="N14" s="459"/>
      <c r="O14" s="459"/>
      <c r="P14" s="460"/>
      <c r="Q14" s="451">
        <f t="shared" si="0"/>
        <v>6284.4156184695803</v>
      </c>
    </row>
    <row r="15" spans="1:17" s="461" customFormat="1">
      <c r="A15" s="1017" t="s">
        <v>564</v>
      </c>
      <c r="B15" s="957">
        <f ca="1">SUM(B4:B14)</f>
        <v>57512.333590492832</v>
      </c>
      <c r="C15" s="957">
        <f t="shared" ref="C15:Q15" ca="1" si="1">SUM(C4:C14)</f>
        <v>0</v>
      </c>
      <c r="D15" s="957">
        <f t="shared" ca="1" si="1"/>
        <v>108905.46662928887</v>
      </c>
      <c r="E15" s="957">
        <f t="shared" si="1"/>
        <v>3383.3638545849462</v>
      </c>
      <c r="F15" s="957">
        <f t="shared" ca="1" si="1"/>
        <v>5820.6495045660276</v>
      </c>
      <c r="G15" s="957">
        <f t="shared" si="1"/>
        <v>103343.99958026574</v>
      </c>
      <c r="H15" s="957">
        <f t="shared" si="1"/>
        <v>18110.55817507728</v>
      </c>
      <c r="I15" s="957">
        <f t="shared" si="1"/>
        <v>0</v>
      </c>
      <c r="J15" s="957">
        <f t="shared" si="1"/>
        <v>28.353914774967635</v>
      </c>
      <c r="K15" s="957">
        <f t="shared" si="1"/>
        <v>0</v>
      </c>
      <c r="L15" s="957">
        <f t="shared" ca="1" si="1"/>
        <v>0</v>
      </c>
      <c r="M15" s="957">
        <f t="shared" si="1"/>
        <v>6542.3491071011849</v>
      </c>
      <c r="N15" s="957">
        <f t="shared" ca="1" si="1"/>
        <v>4380.0154762207912</v>
      </c>
      <c r="O15" s="957">
        <f t="shared" si="1"/>
        <v>45.336666666666673</v>
      </c>
      <c r="P15" s="957">
        <f t="shared" si="1"/>
        <v>95.333333333333343</v>
      </c>
      <c r="Q15" s="957">
        <f t="shared" ca="1" si="1"/>
        <v>308167.75983237266</v>
      </c>
    </row>
    <row r="17" spans="1:17">
      <c r="A17" s="462" t="s">
        <v>565</v>
      </c>
      <c r="B17" s="761">
        <f ca="1">huishoudens!B10</f>
        <v>0.1940339750752629</v>
      </c>
      <c r="C17" s="761">
        <f ca="1">huishoudens!C10</f>
        <v>0</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5328.1654663273976</v>
      </c>
      <c r="C22" s="452">
        <f t="shared" ref="C22:C32" ca="1" si="3">C4*$C$17</f>
        <v>0</v>
      </c>
      <c r="D22" s="452">
        <f t="shared" ref="D22:D32" si="4">D4*$D$17</f>
        <v>14343.187145459882</v>
      </c>
      <c r="E22" s="452">
        <f t="shared" ref="E22:E32" si="5">E4*$E$17</f>
        <v>543.89210402173944</v>
      </c>
      <c r="F22" s="452">
        <f t="shared" ref="F22:F32" si="6">F4*$F$17</f>
        <v>0</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20215.244715809018</v>
      </c>
    </row>
    <row r="23" spans="1:17">
      <c r="A23" s="451" t="s">
        <v>155</v>
      </c>
      <c r="B23" s="452">
        <f t="shared" ca="1" si="2"/>
        <v>4146.0172757751534</v>
      </c>
      <c r="C23" s="452">
        <f t="shared" ca="1" si="3"/>
        <v>0</v>
      </c>
      <c r="D23" s="452">
        <f t="shared" ca="1" si="4"/>
        <v>5741.8403526635866</v>
      </c>
      <c r="E23" s="452">
        <f t="shared" si="5"/>
        <v>48.935354682206913</v>
      </c>
      <c r="F23" s="452">
        <f t="shared" ca="1" si="6"/>
        <v>855.64682270296339</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10792.439805823911</v>
      </c>
    </row>
    <row r="24" spans="1:17">
      <c r="A24" s="451" t="s">
        <v>193</v>
      </c>
      <c r="B24" s="452">
        <f t="shared" ca="1" si="2"/>
        <v>191.31051420110651</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191.31051420110651</v>
      </c>
    </row>
    <row r="25" spans="1:17">
      <c r="A25" s="451" t="s">
        <v>111</v>
      </c>
      <c r="B25" s="452">
        <f t="shared" ca="1" si="2"/>
        <v>1.3607884021292047</v>
      </c>
      <c r="C25" s="452">
        <f t="shared" ca="1" si="3"/>
        <v>0</v>
      </c>
      <c r="D25" s="452">
        <f t="shared" si="4"/>
        <v>4.1962406994455987</v>
      </c>
      <c r="E25" s="452">
        <f t="shared" si="5"/>
        <v>1.4745621804885685E-2</v>
      </c>
      <c r="F25" s="452">
        <f t="shared" si="6"/>
        <v>4.7509138596896427</v>
      </c>
      <c r="G25" s="452">
        <f t="shared" si="7"/>
        <v>0</v>
      </c>
      <c r="H25" s="452">
        <f t="shared" si="8"/>
        <v>0</v>
      </c>
      <c r="I25" s="452">
        <f t="shared" si="9"/>
        <v>0</v>
      </c>
      <c r="J25" s="452">
        <f t="shared" si="10"/>
        <v>0.38061846198102689</v>
      </c>
      <c r="K25" s="452">
        <f t="shared" si="11"/>
        <v>0</v>
      </c>
      <c r="L25" s="452">
        <f t="shared" si="12"/>
        <v>0</v>
      </c>
      <c r="M25" s="452">
        <f t="shared" si="13"/>
        <v>0</v>
      </c>
      <c r="N25" s="452">
        <f t="shared" si="14"/>
        <v>0</v>
      </c>
      <c r="O25" s="452">
        <f t="shared" si="15"/>
        <v>0</v>
      </c>
      <c r="P25" s="453">
        <f t="shared" si="16"/>
        <v>0</v>
      </c>
      <c r="Q25" s="451">
        <f t="shared" ca="1" si="17"/>
        <v>10.703307045050359</v>
      </c>
    </row>
    <row r="26" spans="1:17">
      <c r="A26" s="451" t="s">
        <v>649</v>
      </c>
      <c r="B26" s="452">
        <f t="shared" ca="1" si="2"/>
        <v>1235.6679605164172</v>
      </c>
      <c r="C26" s="452">
        <f t="shared" ca="1" si="3"/>
        <v>0</v>
      </c>
      <c r="D26" s="452">
        <f t="shared" si="4"/>
        <v>898.52692485681996</v>
      </c>
      <c r="E26" s="452">
        <f t="shared" si="5"/>
        <v>106.41035763974124</v>
      </c>
      <c r="F26" s="452">
        <f t="shared" si="6"/>
        <v>693.71568115647642</v>
      </c>
      <c r="G26" s="452">
        <f t="shared" si="7"/>
        <v>0</v>
      </c>
      <c r="H26" s="452">
        <f t="shared" si="8"/>
        <v>0</v>
      </c>
      <c r="I26" s="452">
        <f t="shared" si="9"/>
        <v>0</v>
      </c>
      <c r="J26" s="452">
        <f t="shared" si="10"/>
        <v>9.6566673683575157</v>
      </c>
      <c r="K26" s="452">
        <f t="shared" si="11"/>
        <v>0</v>
      </c>
      <c r="L26" s="452">
        <f t="shared" si="12"/>
        <v>0</v>
      </c>
      <c r="M26" s="452">
        <f t="shared" si="13"/>
        <v>0</v>
      </c>
      <c r="N26" s="452">
        <f t="shared" si="14"/>
        <v>0</v>
      </c>
      <c r="O26" s="452">
        <f t="shared" si="15"/>
        <v>0</v>
      </c>
      <c r="P26" s="453">
        <f t="shared" si="16"/>
        <v>0</v>
      </c>
      <c r="Q26" s="451">
        <f t="shared" ca="1" si="17"/>
        <v>2943.9775915378123</v>
      </c>
    </row>
    <row r="27" spans="1:17" s="457" customFormat="1">
      <c r="A27" s="455" t="s">
        <v>570</v>
      </c>
      <c r="B27" s="755">
        <f t="shared" ca="1" si="2"/>
        <v>3.0216606420917143</v>
      </c>
      <c r="C27" s="456">
        <f t="shared" ca="1" si="3"/>
        <v>0</v>
      </c>
      <c r="D27" s="456">
        <f t="shared" si="4"/>
        <v>5.9245085057658837</v>
      </c>
      <c r="E27" s="456">
        <f t="shared" si="5"/>
        <v>68.771033025290393</v>
      </c>
      <c r="F27" s="456">
        <f t="shared" si="6"/>
        <v>0</v>
      </c>
      <c r="G27" s="456">
        <f t="shared" si="7"/>
        <v>27050.671228337906</v>
      </c>
      <c r="H27" s="456">
        <f t="shared" si="8"/>
        <v>4509.5289855942428</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31637.917416105298</v>
      </c>
    </row>
    <row r="28" spans="1:17">
      <c r="A28" s="451" t="s">
        <v>560</v>
      </c>
      <c r="B28" s="452">
        <f t="shared" ca="1" si="2"/>
        <v>0</v>
      </c>
      <c r="C28" s="452">
        <f t="shared" ca="1" si="3"/>
        <v>0</v>
      </c>
      <c r="D28" s="452">
        <f t="shared" si="4"/>
        <v>0</v>
      </c>
      <c r="E28" s="452">
        <f t="shared" si="5"/>
        <v>0</v>
      </c>
      <c r="F28" s="452">
        <f t="shared" si="6"/>
        <v>0</v>
      </c>
      <c r="G28" s="452">
        <f t="shared" si="7"/>
        <v>542.17665959304952</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542.17665959304952</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253.80303655359646</v>
      </c>
      <c r="C32" s="452">
        <f t="shared" ca="1" si="3"/>
        <v>0</v>
      </c>
      <c r="D32" s="452">
        <f t="shared" si="4"/>
        <v>1005.2290869308551</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1259.0321234844516</v>
      </c>
    </row>
    <row r="33" spans="1:17" s="461" customFormat="1">
      <c r="A33" s="1017" t="s">
        <v>564</v>
      </c>
      <c r="B33" s="957">
        <f ca="1">SUM(B22:B32)</f>
        <v>11159.346702417892</v>
      </c>
      <c r="C33" s="957">
        <f t="shared" ref="C33:Q33" ca="1" si="18">SUM(C22:C32)</f>
        <v>0</v>
      </c>
      <c r="D33" s="957">
        <f t="shared" ca="1" si="18"/>
        <v>21998.904259116356</v>
      </c>
      <c r="E33" s="957">
        <f t="shared" si="18"/>
        <v>768.02359499078295</v>
      </c>
      <c r="F33" s="957">
        <f t="shared" ca="1" si="18"/>
        <v>1554.1134177191293</v>
      </c>
      <c r="G33" s="957">
        <f t="shared" si="18"/>
        <v>27592.847887930955</v>
      </c>
      <c r="H33" s="957">
        <f t="shared" si="18"/>
        <v>4509.5289855942428</v>
      </c>
      <c r="I33" s="957">
        <f t="shared" si="18"/>
        <v>0</v>
      </c>
      <c r="J33" s="957">
        <f t="shared" si="18"/>
        <v>10.037285830338543</v>
      </c>
      <c r="K33" s="957">
        <f t="shared" si="18"/>
        <v>0</v>
      </c>
      <c r="L33" s="957">
        <f t="shared" ca="1" si="18"/>
        <v>0</v>
      </c>
      <c r="M33" s="957">
        <f t="shared" si="18"/>
        <v>0</v>
      </c>
      <c r="N33" s="957">
        <f t="shared" ca="1" si="18"/>
        <v>0</v>
      </c>
      <c r="O33" s="957">
        <f t="shared" si="18"/>
        <v>0</v>
      </c>
      <c r="P33" s="957">
        <f t="shared" si="18"/>
        <v>0</v>
      </c>
      <c r="Q33" s="957">
        <f t="shared" ca="1" si="18"/>
        <v>67592.802133599689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7017.552131588347</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7017.552131588347</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0.1940339750752629</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62" t="s">
        <v>873</v>
      </c>
      <c r="B22" s="761" t="s">
        <v>867</v>
      </c>
      <c r="C22" s="76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0.1940339750752629</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0</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0</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0.1940339750752629</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0.1940339750752629</v>
      </c>
      <c r="C29" s="500">
        <f ca="1">'EF ele_warmte'!B22</f>
        <v>0</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7277</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48</v>
      </c>
      <c r="C14" s="330"/>
      <c r="D14" s="330"/>
      <c r="E14" s="330"/>
      <c r="F14" s="330"/>
    </row>
    <row r="15" spans="1:6">
      <c r="A15" s="1305" t="s">
        <v>183</v>
      </c>
      <c r="B15" s="1306">
        <v>0</v>
      </c>
      <c r="C15" s="330"/>
      <c r="D15" s="330"/>
      <c r="E15" s="330"/>
      <c r="F15" s="330"/>
    </row>
    <row r="16" spans="1:6">
      <c r="A16" s="1305" t="s">
        <v>6</v>
      </c>
      <c r="B16" s="1306">
        <v>0</v>
      </c>
      <c r="C16" s="330"/>
      <c r="D16" s="330"/>
      <c r="E16" s="330"/>
      <c r="F16" s="330"/>
    </row>
    <row r="17" spans="1:6">
      <c r="A17" s="1305" t="s">
        <v>7</v>
      </c>
      <c r="B17" s="1306">
        <v>0</v>
      </c>
      <c r="C17" s="330"/>
      <c r="D17" s="330"/>
      <c r="E17" s="330"/>
      <c r="F17" s="330"/>
    </row>
    <row r="18" spans="1:6">
      <c r="A18" s="1305" t="s">
        <v>8</v>
      </c>
      <c r="B18" s="1306">
        <v>0</v>
      </c>
      <c r="C18" s="330"/>
      <c r="D18" s="330"/>
      <c r="E18" s="330"/>
      <c r="F18" s="330"/>
    </row>
    <row r="19" spans="1:6">
      <c r="A19" s="1305" t="s">
        <v>9</v>
      </c>
      <c r="B19" s="1306">
        <v>0</v>
      </c>
      <c r="C19" s="330"/>
      <c r="D19" s="330"/>
      <c r="E19" s="330"/>
      <c r="F19" s="330"/>
    </row>
    <row r="20" spans="1:6">
      <c r="A20" s="1305" t="s">
        <v>10</v>
      </c>
      <c r="B20" s="1306">
        <v>0</v>
      </c>
      <c r="C20" s="330"/>
      <c r="D20" s="330"/>
      <c r="E20" s="330"/>
      <c r="F20" s="330"/>
    </row>
    <row r="21" spans="1:6">
      <c r="A21" s="1305" t="s">
        <v>11</v>
      </c>
      <c r="B21" s="1306">
        <v>0</v>
      </c>
      <c r="C21" s="330"/>
      <c r="D21" s="330"/>
      <c r="E21" s="330"/>
      <c r="F21" s="330"/>
    </row>
    <row r="22" spans="1:6">
      <c r="A22" s="1305" t="s">
        <v>12</v>
      </c>
      <c r="B22" s="1306">
        <v>0</v>
      </c>
      <c r="C22" s="330"/>
      <c r="D22" s="330"/>
      <c r="E22" s="330"/>
      <c r="F22" s="330"/>
    </row>
    <row r="23" spans="1:6">
      <c r="A23" s="1305" t="s">
        <v>13</v>
      </c>
      <c r="B23" s="1306">
        <v>0</v>
      </c>
      <c r="C23" s="330"/>
      <c r="D23" s="330"/>
      <c r="E23" s="330"/>
      <c r="F23" s="330"/>
    </row>
    <row r="24" spans="1:6">
      <c r="A24" s="1305" t="s">
        <v>14</v>
      </c>
      <c r="B24" s="1306">
        <v>0</v>
      </c>
      <c r="C24" s="330"/>
      <c r="D24" s="330"/>
      <c r="E24" s="330"/>
      <c r="F24" s="330"/>
    </row>
    <row r="25" spans="1:6">
      <c r="A25" s="1305" t="s">
        <v>15</v>
      </c>
      <c r="B25" s="1306">
        <v>0</v>
      </c>
      <c r="C25" s="330"/>
      <c r="D25" s="330"/>
      <c r="E25" s="330"/>
      <c r="F25" s="330"/>
    </row>
    <row r="26" spans="1:6">
      <c r="A26" s="1305" t="s">
        <v>16</v>
      </c>
      <c r="B26" s="1306">
        <v>0</v>
      </c>
      <c r="C26" s="330"/>
      <c r="D26" s="330"/>
      <c r="E26" s="330"/>
      <c r="F26" s="330"/>
    </row>
    <row r="27" spans="1:6">
      <c r="A27" s="1305" t="s">
        <v>17</v>
      </c>
      <c r="B27" s="1306">
        <v>0</v>
      </c>
      <c r="C27" s="330"/>
      <c r="D27" s="330"/>
      <c r="E27" s="330"/>
      <c r="F27" s="330"/>
    </row>
    <row r="28" spans="1:6" s="43" customFormat="1">
      <c r="A28" s="1307" t="s">
        <v>18</v>
      </c>
      <c r="B28" s="1308">
        <v>0</v>
      </c>
      <c r="C28" s="336"/>
      <c r="D28" s="336"/>
      <c r="E28" s="336"/>
      <c r="F28" s="336"/>
    </row>
    <row r="29" spans="1:6">
      <c r="A29" s="1307" t="s">
        <v>909</v>
      </c>
      <c r="B29" s="1308">
        <v>44</v>
      </c>
      <c r="C29" s="336"/>
      <c r="D29" s="336"/>
      <c r="E29" s="336"/>
      <c r="F29" s="336"/>
    </row>
    <row r="30" spans="1:6">
      <c r="A30" s="1300" t="s">
        <v>910</v>
      </c>
      <c r="B30" s="1309">
        <v>11</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0</v>
      </c>
      <c r="D36" s="1306">
        <v>0</v>
      </c>
      <c r="E36" s="1306">
        <v>5</v>
      </c>
      <c r="F36" s="1306">
        <v>20966.82</v>
      </c>
    </row>
    <row r="37" spans="1:6">
      <c r="A37" s="1305" t="s">
        <v>24</v>
      </c>
      <c r="B37" s="1305" t="s">
        <v>27</v>
      </c>
      <c r="C37" s="1306">
        <v>0</v>
      </c>
      <c r="D37" s="1306">
        <v>0</v>
      </c>
      <c r="E37" s="1306">
        <v>0</v>
      </c>
      <c r="F37" s="1306">
        <v>0</v>
      </c>
    </row>
    <row r="38" spans="1:6">
      <c r="A38" s="1305" t="s">
        <v>24</v>
      </c>
      <c r="B38" s="1305" t="s">
        <v>28</v>
      </c>
      <c r="C38" s="1306">
        <v>0</v>
      </c>
      <c r="D38" s="1306">
        <v>0</v>
      </c>
      <c r="E38" s="1306">
        <v>3</v>
      </c>
      <c r="F38" s="1306">
        <v>21494.92</v>
      </c>
    </row>
    <row r="39" spans="1:6">
      <c r="A39" s="1305" t="s">
        <v>29</v>
      </c>
      <c r="B39" s="1305" t="s">
        <v>30</v>
      </c>
      <c r="C39" s="1306">
        <v>6110</v>
      </c>
      <c r="D39" s="1306">
        <v>78720484.432064503</v>
      </c>
      <c r="E39" s="1306">
        <v>7554</v>
      </c>
      <c r="F39" s="1306">
        <v>26412312</v>
      </c>
    </row>
    <row r="40" spans="1:6">
      <c r="A40" s="1305" t="s">
        <v>29</v>
      </c>
      <c r="B40" s="1305" t="s">
        <v>28</v>
      </c>
      <c r="C40" s="1306">
        <v>0</v>
      </c>
      <c r="D40" s="1306">
        <v>0</v>
      </c>
      <c r="E40" s="1306">
        <v>0</v>
      </c>
      <c r="F40" s="1306">
        <v>0</v>
      </c>
    </row>
    <row r="41" spans="1:6">
      <c r="A41" s="1305" t="s">
        <v>31</v>
      </c>
      <c r="B41" s="1305" t="s">
        <v>32</v>
      </c>
      <c r="C41" s="1306">
        <v>72</v>
      </c>
      <c r="D41" s="1306">
        <v>1540399.8333459799</v>
      </c>
      <c r="E41" s="1306">
        <v>130</v>
      </c>
      <c r="F41" s="1306">
        <v>809049.8</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3</v>
      </c>
      <c r="D44" s="1306">
        <v>253946.62868135501</v>
      </c>
      <c r="E44" s="1306">
        <v>14</v>
      </c>
      <c r="F44" s="1306">
        <v>821950.5</v>
      </c>
    </row>
    <row r="45" spans="1:6">
      <c r="A45" s="1305" t="s">
        <v>31</v>
      </c>
      <c r="B45" s="1305" t="s">
        <v>36</v>
      </c>
      <c r="C45" s="1306">
        <v>0</v>
      </c>
      <c r="D45" s="1306">
        <v>0</v>
      </c>
      <c r="E45" s="1306">
        <v>0</v>
      </c>
      <c r="F45" s="1306">
        <v>0</v>
      </c>
    </row>
    <row r="46" spans="1:6">
      <c r="A46" s="1305" t="s">
        <v>31</v>
      </c>
      <c r="B46" s="1305" t="s">
        <v>37</v>
      </c>
      <c r="C46" s="1306">
        <v>0</v>
      </c>
      <c r="D46" s="1306">
        <v>0</v>
      </c>
      <c r="E46" s="1306">
        <v>0</v>
      </c>
      <c r="F46" s="1306">
        <v>0</v>
      </c>
    </row>
    <row r="47" spans="1:6">
      <c r="A47" s="1305" t="s">
        <v>31</v>
      </c>
      <c r="B47" s="1305" t="s">
        <v>38</v>
      </c>
      <c r="C47" s="1306">
        <v>0</v>
      </c>
      <c r="D47" s="1306">
        <v>0</v>
      </c>
      <c r="E47" s="1306">
        <v>0</v>
      </c>
      <c r="F47" s="1306">
        <v>0</v>
      </c>
    </row>
    <row r="48" spans="1:6">
      <c r="A48" s="1305" t="s">
        <v>31</v>
      </c>
      <c r="B48" s="1305" t="s">
        <v>28</v>
      </c>
      <c r="C48" s="1306">
        <v>27</v>
      </c>
      <c r="D48" s="1306">
        <v>2739669.7962227599</v>
      </c>
      <c r="E48" s="1306">
        <v>43</v>
      </c>
      <c r="F48" s="1306">
        <v>4362184</v>
      </c>
    </row>
    <row r="49" spans="1:6">
      <c r="A49" s="1305" t="s">
        <v>31</v>
      </c>
      <c r="B49" s="1305" t="s">
        <v>39</v>
      </c>
      <c r="C49" s="1306">
        <v>0</v>
      </c>
      <c r="D49" s="1306">
        <v>0</v>
      </c>
      <c r="E49" s="1306">
        <v>0</v>
      </c>
      <c r="F49" s="1306">
        <v>0</v>
      </c>
    </row>
    <row r="50" spans="1:6">
      <c r="A50" s="1305" t="s">
        <v>31</v>
      </c>
      <c r="B50" s="1305" t="s">
        <v>40</v>
      </c>
      <c r="C50" s="1306">
        <v>9</v>
      </c>
      <c r="D50" s="1306">
        <v>397417.32639579597</v>
      </c>
      <c r="E50" s="1306">
        <v>14</v>
      </c>
      <c r="F50" s="1306">
        <v>375122.9</v>
      </c>
    </row>
    <row r="51" spans="1:6">
      <c r="A51" s="1305" t="s">
        <v>41</v>
      </c>
      <c r="B51" s="1305" t="s">
        <v>42</v>
      </c>
      <c r="C51" s="1306">
        <v>0</v>
      </c>
      <c r="D51" s="1306">
        <v>0</v>
      </c>
      <c r="E51" s="1306">
        <v>0</v>
      </c>
      <c r="F51" s="1306">
        <v>0</v>
      </c>
    </row>
    <row r="52" spans="1:6">
      <c r="A52" s="1305" t="s">
        <v>41</v>
      </c>
      <c r="B52" s="1305" t="s">
        <v>28</v>
      </c>
      <c r="C52" s="1306">
        <v>2</v>
      </c>
      <c r="D52" s="1306">
        <v>23030.4532252069</v>
      </c>
      <c r="E52" s="1306">
        <v>2</v>
      </c>
      <c r="F52" s="1306">
        <v>7013.1450000000004</v>
      </c>
    </row>
    <row r="53" spans="1:6">
      <c r="A53" s="1305" t="s">
        <v>43</v>
      </c>
      <c r="B53" s="1305" t="s">
        <v>44</v>
      </c>
      <c r="C53" s="1306">
        <v>166</v>
      </c>
      <c r="D53" s="1306">
        <v>4976381.6184695801</v>
      </c>
      <c r="E53" s="1306">
        <v>325</v>
      </c>
      <c r="F53" s="1306">
        <v>1308034</v>
      </c>
    </row>
    <row r="54" spans="1:6">
      <c r="A54" s="1305" t="s">
        <v>45</v>
      </c>
      <c r="B54" s="1305" t="s">
        <v>46</v>
      </c>
      <c r="C54" s="1306">
        <v>0</v>
      </c>
      <c r="D54" s="1306">
        <v>0</v>
      </c>
      <c r="E54" s="1306">
        <v>1</v>
      </c>
      <c r="F54" s="1306">
        <v>985964</v>
      </c>
    </row>
    <row r="55" spans="1:6">
      <c r="A55" s="1305" t="s">
        <v>45</v>
      </c>
      <c r="B55" s="1305" t="s">
        <v>28</v>
      </c>
      <c r="C55" s="1306">
        <v>0</v>
      </c>
      <c r="D55" s="1306">
        <v>0</v>
      </c>
      <c r="E55" s="1306">
        <v>0</v>
      </c>
      <c r="F55" s="1306">
        <v>0</v>
      </c>
    </row>
    <row r="56" spans="1:6">
      <c r="A56" s="1305" t="s">
        <v>47</v>
      </c>
      <c r="B56" s="1305" t="s">
        <v>28</v>
      </c>
      <c r="C56" s="1306">
        <v>0</v>
      </c>
      <c r="D56" s="1306">
        <v>0</v>
      </c>
      <c r="E56" s="1306">
        <v>0</v>
      </c>
      <c r="F56" s="1306">
        <v>0</v>
      </c>
    </row>
    <row r="57" spans="1:6">
      <c r="A57" s="1305" t="s">
        <v>48</v>
      </c>
      <c r="B57" s="1305" t="s">
        <v>49</v>
      </c>
      <c r="C57" s="1306">
        <v>36</v>
      </c>
      <c r="D57" s="1306">
        <v>2351749.3702756399</v>
      </c>
      <c r="E57" s="1306">
        <v>84</v>
      </c>
      <c r="F57" s="1306">
        <v>1398609</v>
      </c>
    </row>
    <row r="58" spans="1:6">
      <c r="A58" s="1305" t="s">
        <v>48</v>
      </c>
      <c r="B58" s="1305" t="s">
        <v>50</v>
      </c>
      <c r="C58" s="1306">
        <v>26</v>
      </c>
      <c r="D58" s="1306">
        <v>944331.44164012803</v>
      </c>
      <c r="E58" s="1306">
        <v>44</v>
      </c>
      <c r="F58" s="1306">
        <v>597021</v>
      </c>
    </row>
    <row r="59" spans="1:6">
      <c r="A59" s="1305" t="s">
        <v>48</v>
      </c>
      <c r="B59" s="1305" t="s">
        <v>51</v>
      </c>
      <c r="C59" s="1306">
        <v>64</v>
      </c>
      <c r="D59" s="1306">
        <v>3776181.8704740601</v>
      </c>
      <c r="E59" s="1306">
        <v>144</v>
      </c>
      <c r="F59" s="1306">
        <v>5344240</v>
      </c>
    </row>
    <row r="60" spans="1:6">
      <c r="A60" s="1305" t="s">
        <v>48</v>
      </c>
      <c r="B60" s="1305" t="s">
        <v>52</v>
      </c>
      <c r="C60" s="1306">
        <v>74</v>
      </c>
      <c r="D60" s="1306">
        <v>4832205.8366188603</v>
      </c>
      <c r="E60" s="1306">
        <v>142</v>
      </c>
      <c r="F60" s="1306">
        <v>2416425</v>
      </c>
    </row>
    <row r="61" spans="1:6">
      <c r="A61" s="1305" t="s">
        <v>48</v>
      </c>
      <c r="B61" s="1305" t="s">
        <v>53</v>
      </c>
      <c r="C61" s="1306">
        <v>239</v>
      </c>
      <c r="D61" s="1306">
        <v>12931591.2420839</v>
      </c>
      <c r="E61" s="1306">
        <v>473</v>
      </c>
      <c r="F61" s="1306">
        <v>7060566</v>
      </c>
    </row>
    <row r="62" spans="1:6">
      <c r="A62" s="1305" t="s">
        <v>48</v>
      </c>
      <c r="B62" s="1305" t="s">
        <v>54</v>
      </c>
      <c r="C62" s="1306">
        <v>9</v>
      </c>
      <c r="D62" s="1306">
        <v>1553847.1413509999</v>
      </c>
      <c r="E62" s="1306">
        <v>24</v>
      </c>
      <c r="F62" s="1306">
        <v>1213049</v>
      </c>
    </row>
    <row r="63" spans="1:6">
      <c r="A63" s="1305" t="s">
        <v>48</v>
      </c>
      <c r="B63" s="1305" t="s">
        <v>28</v>
      </c>
      <c r="C63" s="1306">
        <v>96</v>
      </c>
      <c r="D63" s="1306">
        <v>5123343.9189631101</v>
      </c>
      <c r="E63" s="1306">
        <v>97</v>
      </c>
      <c r="F63" s="1306">
        <v>3337571</v>
      </c>
    </row>
    <row r="64" spans="1:6">
      <c r="A64" s="1305" t="s">
        <v>55</v>
      </c>
      <c r="B64" s="1305" t="s">
        <v>56</v>
      </c>
      <c r="C64" s="1306">
        <v>0</v>
      </c>
      <c r="D64" s="1306">
        <v>0</v>
      </c>
      <c r="E64" s="1306">
        <v>0</v>
      </c>
      <c r="F64" s="1306">
        <v>0</v>
      </c>
    </row>
    <row r="65" spans="1:6">
      <c r="A65" s="1305" t="s">
        <v>55</v>
      </c>
      <c r="B65" s="1305" t="s">
        <v>28</v>
      </c>
      <c r="C65" s="1306">
        <v>2</v>
      </c>
      <c r="D65" s="1306">
        <v>136538.184131004</v>
      </c>
      <c r="E65" s="1306">
        <v>1</v>
      </c>
      <c r="F65" s="1306">
        <v>1053.095</v>
      </c>
    </row>
    <row r="66" spans="1:6">
      <c r="A66" s="1305" t="s">
        <v>55</v>
      </c>
      <c r="B66" s="1305" t="s">
        <v>57</v>
      </c>
      <c r="C66" s="1306">
        <v>0</v>
      </c>
      <c r="D66" s="1306">
        <v>0</v>
      </c>
      <c r="E66" s="1306">
        <v>8</v>
      </c>
      <c r="F66" s="1306">
        <v>290313</v>
      </c>
    </row>
    <row r="67" spans="1:6">
      <c r="A67" s="1307" t="s">
        <v>55</v>
      </c>
      <c r="B67" s="1307" t="s">
        <v>58</v>
      </c>
      <c r="C67" s="1306">
        <v>0</v>
      </c>
      <c r="D67" s="1306">
        <v>0</v>
      </c>
      <c r="E67" s="1306">
        <v>0</v>
      </c>
      <c r="F67" s="1306">
        <v>0</v>
      </c>
    </row>
    <row r="68" spans="1:6">
      <c r="A68" s="1300" t="s">
        <v>55</v>
      </c>
      <c r="B68" s="1300" t="s">
        <v>59</v>
      </c>
      <c r="C68" s="1309">
        <v>4</v>
      </c>
      <c r="D68" s="1309">
        <v>83716.996074338094</v>
      </c>
      <c r="E68" s="1309">
        <v>4</v>
      </c>
      <c r="F68" s="1309">
        <v>43064.36</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78279513</v>
      </c>
      <c r="E73" s="450"/>
      <c r="F73" s="330"/>
    </row>
    <row r="74" spans="1:6">
      <c r="A74" s="1305" t="s">
        <v>63</v>
      </c>
      <c r="B74" s="1305" t="s">
        <v>710</v>
      </c>
      <c r="C74" s="1319" t="s">
        <v>712</v>
      </c>
      <c r="D74" s="1320">
        <v>7143355.7770895995</v>
      </c>
      <c r="E74" s="450"/>
      <c r="F74" s="330"/>
    </row>
    <row r="75" spans="1:6">
      <c r="A75" s="1305" t="s">
        <v>64</v>
      </c>
      <c r="B75" s="1305" t="s">
        <v>709</v>
      </c>
      <c r="C75" s="1319" t="s">
        <v>713</v>
      </c>
      <c r="D75" s="1320">
        <v>14531834</v>
      </c>
      <c r="E75" s="450"/>
      <c r="F75" s="330"/>
    </row>
    <row r="76" spans="1:6">
      <c r="A76" s="1305" t="s">
        <v>64</v>
      </c>
      <c r="B76" s="1305" t="s">
        <v>710</v>
      </c>
      <c r="C76" s="1319" t="s">
        <v>714</v>
      </c>
      <c r="D76" s="1320">
        <v>864321.77708959952</v>
      </c>
      <c r="E76" s="450"/>
      <c r="F76" s="330"/>
    </row>
    <row r="77" spans="1:6">
      <c r="A77" s="1305" t="s">
        <v>65</v>
      </c>
      <c r="B77" s="1305" t="s">
        <v>709</v>
      </c>
      <c r="C77" s="1319" t="s">
        <v>715</v>
      </c>
      <c r="D77" s="1320">
        <v>44828646</v>
      </c>
      <c r="E77" s="450"/>
      <c r="F77" s="330"/>
    </row>
    <row r="78" spans="1:6">
      <c r="A78" s="1300" t="s">
        <v>65</v>
      </c>
      <c r="B78" s="1300" t="s">
        <v>710</v>
      </c>
      <c r="C78" s="1300" t="s">
        <v>716</v>
      </c>
      <c r="D78" s="1321">
        <v>4773975</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576386.44582080096</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0</v>
      </c>
      <c r="C90" s="330"/>
      <c r="D90" s="330"/>
      <c r="E90" s="330"/>
      <c r="F90" s="330"/>
    </row>
    <row r="91" spans="1:6">
      <c r="A91" s="1305" t="s">
        <v>67</v>
      </c>
      <c r="B91" s="1306">
        <v>1047.6494024331582</v>
      </c>
      <c r="C91" s="330"/>
      <c r="D91" s="330"/>
      <c r="E91" s="330"/>
      <c r="F91" s="330"/>
    </row>
    <row r="92" spans="1:6">
      <c r="A92" s="1300" t="s">
        <v>68</v>
      </c>
      <c r="B92" s="1301">
        <v>5969.9027291551884</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4674</v>
      </c>
      <c r="C97" s="330"/>
      <c r="D97" s="330"/>
      <c r="E97" s="330"/>
      <c r="F97" s="330"/>
    </row>
    <row r="98" spans="1:6">
      <c r="A98" s="1305" t="s">
        <v>71</v>
      </c>
      <c r="B98" s="1306">
        <v>13</v>
      </c>
      <c r="C98" s="330"/>
      <c r="D98" s="330"/>
      <c r="E98" s="330"/>
      <c r="F98" s="330"/>
    </row>
    <row r="99" spans="1:6">
      <c r="A99" s="1305" t="s">
        <v>72</v>
      </c>
      <c r="B99" s="1306">
        <v>21</v>
      </c>
      <c r="C99" s="330"/>
      <c r="D99" s="330"/>
      <c r="E99" s="330"/>
      <c r="F99" s="330"/>
    </row>
    <row r="100" spans="1:6">
      <c r="A100" s="1305" t="s">
        <v>73</v>
      </c>
      <c r="B100" s="1306">
        <v>762</v>
      </c>
      <c r="C100" s="330"/>
      <c r="D100" s="330"/>
      <c r="E100" s="330"/>
      <c r="F100" s="330"/>
    </row>
    <row r="101" spans="1:6">
      <c r="A101" s="1305" t="s">
        <v>74</v>
      </c>
      <c r="B101" s="1306">
        <v>30</v>
      </c>
      <c r="C101" s="330"/>
      <c r="D101" s="330"/>
      <c r="E101" s="330"/>
      <c r="F101" s="330"/>
    </row>
    <row r="102" spans="1:6">
      <c r="A102" s="1305" t="s">
        <v>75</v>
      </c>
      <c r="B102" s="1306">
        <v>150</v>
      </c>
      <c r="C102" s="330"/>
      <c r="D102" s="330"/>
      <c r="E102" s="330"/>
      <c r="F102" s="330"/>
    </row>
    <row r="103" spans="1:6">
      <c r="A103" s="1305" t="s">
        <v>76</v>
      </c>
      <c r="B103" s="1306">
        <v>71</v>
      </c>
      <c r="C103" s="330"/>
      <c r="D103" s="330"/>
      <c r="E103" s="330"/>
      <c r="F103" s="330"/>
    </row>
    <row r="104" spans="1:6">
      <c r="A104" s="1305" t="s">
        <v>77</v>
      </c>
      <c r="B104" s="1306">
        <v>811</v>
      </c>
      <c r="C104" s="330"/>
      <c r="D104" s="330"/>
      <c r="E104" s="330"/>
      <c r="F104" s="330"/>
    </row>
    <row r="105" spans="1:6">
      <c r="A105" s="1300" t="s">
        <v>78</v>
      </c>
      <c r="B105" s="1309">
        <v>3</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0</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1</v>
      </c>
      <c r="C123" s="1306">
        <v>4</v>
      </c>
      <c r="D123" s="330"/>
      <c r="E123" s="330"/>
      <c r="F123" s="330"/>
    </row>
    <row r="124" spans="1:6" s="43" customFormat="1">
      <c r="A124" s="1307" t="s">
        <v>88</v>
      </c>
      <c r="B124" s="1328">
        <v>0</v>
      </c>
      <c r="C124" s="1328">
        <v>1</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23</v>
      </c>
      <c r="C129" s="330"/>
      <c r="D129" s="330"/>
      <c r="E129" s="330"/>
      <c r="F129" s="330"/>
    </row>
    <row r="130" spans="1:6">
      <c r="A130" s="1305" t="s">
        <v>294</v>
      </c>
      <c r="B130" s="1306">
        <v>1</v>
      </c>
      <c r="C130" s="330"/>
      <c r="D130" s="330"/>
      <c r="E130" s="330"/>
      <c r="F130" s="330"/>
    </row>
    <row r="131" spans="1:6">
      <c r="A131" s="1305" t="s">
        <v>295</v>
      </c>
      <c r="B131" s="1306">
        <v>0</v>
      </c>
      <c r="C131" s="330"/>
      <c r="D131" s="330"/>
      <c r="E131" s="330"/>
      <c r="F131" s="330"/>
    </row>
    <row r="132" spans="1:6">
      <c r="A132" s="1300" t="s">
        <v>296</v>
      </c>
      <c r="B132" s="1301">
        <v>4</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57512.333590492832</v>
      </c>
      <c r="C3" s="43" t="s">
        <v>169</v>
      </c>
      <c r="D3" s="43"/>
      <c r="E3" s="154"/>
      <c r="F3" s="43"/>
      <c r="G3" s="43"/>
      <c r="H3" s="43"/>
      <c r="I3" s="43"/>
      <c r="J3" s="43"/>
      <c r="K3" s="96"/>
    </row>
    <row r="4" spans="1:11">
      <c r="A4" s="359" t="s">
        <v>170</v>
      </c>
      <c r="B4" s="49">
        <f>IF(ISERROR('SEAP template'!B78+'SEAP template'!C78),0,'SEAP template'!B78+'SEAP template'!C78)</f>
        <v>7017.552131588347</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0</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0.1940339750752629</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0</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0</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985.96400000000006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985.96400000000006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0.1940339750752629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191.31051420110651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26412.312000000002</v>
      </c>
      <c r="C5" s="17">
        <f>IF(ISERROR('Eigen informatie GS &amp; warmtenet'!B57),0,'Eigen informatie GS &amp; warmtenet'!B57)</f>
        <v>0</v>
      </c>
      <c r="D5" s="30">
        <f>(SUM(HH_hh_gas_kWh,HH_rest_gas_kWh)/1000)*0.902</f>
        <v>71005.876957722183</v>
      </c>
      <c r="E5" s="17">
        <f>B46*B57</f>
        <v>2396.0004582455481</v>
      </c>
      <c r="F5" s="17">
        <f>B51*B62</f>
        <v>0</v>
      </c>
      <c r="G5" s="18"/>
      <c r="H5" s="17"/>
      <c r="I5" s="17"/>
      <c r="J5" s="17">
        <f>B50*B61+C50*C61</f>
        <v>0</v>
      </c>
      <c r="K5" s="17"/>
      <c r="L5" s="17"/>
      <c r="M5" s="17"/>
      <c r="N5" s="17">
        <f>B48*B59+C48*C59</f>
        <v>2468.302156625879</v>
      </c>
      <c r="O5" s="17">
        <f>B69*B70*B71</f>
        <v>43.773333333333341</v>
      </c>
      <c r="P5" s="17">
        <f>B77*B78*B79/1000-B77*B78*B79/1000/B80</f>
        <v>95.333333333333343</v>
      </c>
    </row>
    <row r="6" spans="1:16">
      <c r="A6" s="16" t="s">
        <v>630</v>
      </c>
      <c r="B6" s="763">
        <f>kWh_PV_kleiner_dan_10kW</f>
        <v>1047.6494024331582</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27459.96140243316</v>
      </c>
      <c r="C8" s="21">
        <f>C5</f>
        <v>0</v>
      </c>
      <c r="D8" s="21">
        <f>D5</f>
        <v>71005.876957722183</v>
      </c>
      <c r="E8" s="21">
        <f>E5</f>
        <v>2396.0004582455481</v>
      </c>
      <c r="F8" s="21">
        <f>F5</f>
        <v>0</v>
      </c>
      <c r="G8" s="21"/>
      <c r="H8" s="21"/>
      <c r="I8" s="21"/>
      <c r="J8" s="21">
        <f>J5</f>
        <v>0</v>
      </c>
      <c r="K8" s="21"/>
      <c r="L8" s="21">
        <f>L5</f>
        <v>0</v>
      </c>
      <c r="M8" s="21">
        <f>M5</f>
        <v>0</v>
      </c>
      <c r="N8" s="21">
        <f>N5</f>
        <v>2468.302156625879</v>
      </c>
      <c r="O8" s="21">
        <f>O5</f>
        <v>43.773333333333341</v>
      </c>
      <c r="P8" s="21">
        <f>P5</f>
        <v>95.333333333333343</v>
      </c>
    </row>
    <row r="9" spans="1:16">
      <c r="B9" s="19"/>
      <c r="C9" s="19"/>
      <c r="D9" s="258"/>
      <c r="E9" s="19"/>
      <c r="F9" s="19"/>
      <c r="G9" s="19"/>
      <c r="H9" s="19"/>
      <c r="I9" s="19"/>
      <c r="J9" s="19"/>
      <c r="K9" s="19"/>
      <c r="L9" s="19"/>
      <c r="M9" s="19"/>
      <c r="N9" s="19"/>
      <c r="O9" s="19"/>
      <c r="P9" s="19"/>
    </row>
    <row r="10" spans="1:16">
      <c r="A10" s="24" t="s">
        <v>213</v>
      </c>
      <c r="B10" s="25">
        <f ca="1">'EF ele_warmte'!B12</f>
        <v>0.1940339750752629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5328.1654663273976</v>
      </c>
      <c r="C12" s="23">
        <f ca="1">C10*C8</f>
        <v>0</v>
      </c>
      <c r="D12" s="23">
        <f>D8*D10</f>
        <v>14343.187145459882</v>
      </c>
      <c r="E12" s="23">
        <f>E10*E8</f>
        <v>543.89210402173944</v>
      </c>
      <c r="F12" s="23">
        <f>F10*F8</f>
        <v>0</v>
      </c>
      <c r="G12" s="23"/>
      <c r="H12" s="23"/>
      <c r="I12" s="23"/>
      <c r="J12" s="23">
        <f>J10*J8</f>
        <v>0</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4674</v>
      </c>
      <c r="C18" s="166" t="s">
        <v>110</v>
      </c>
      <c r="D18" s="228"/>
      <c r="E18" s="15"/>
    </row>
    <row r="19" spans="1:7">
      <c r="A19" s="171" t="s">
        <v>71</v>
      </c>
      <c r="B19" s="37">
        <f>aantalw2001_ander</f>
        <v>13</v>
      </c>
      <c r="C19" s="166" t="s">
        <v>110</v>
      </c>
      <c r="D19" s="229"/>
      <c r="E19" s="15"/>
    </row>
    <row r="20" spans="1:7">
      <c r="A20" s="171" t="s">
        <v>72</v>
      </c>
      <c r="B20" s="37">
        <f>aantalw2001_propaan</f>
        <v>21</v>
      </c>
      <c r="C20" s="167">
        <f>IF(ISERROR(B20/SUM($B$20,$B$21,$B$22)*100),0,B20/SUM($B$20,$B$21,$B$22)*100)</f>
        <v>2.5830258302583027</v>
      </c>
      <c r="D20" s="229"/>
      <c r="E20" s="15"/>
    </row>
    <row r="21" spans="1:7">
      <c r="A21" s="171" t="s">
        <v>73</v>
      </c>
      <c r="B21" s="37">
        <f>aantalw2001_elektriciteit</f>
        <v>762</v>
      </c>
      <c r="C21" s="167">
        <f>IF(ISERROR(B21/SUM($B$20,$B$21,$B$22)*100),0,B21/SUM($B$20,$B$21,$B$22)*100)</f>
        <v>93.726937269372684</v>
      </c>
      <c r="D21" s="229"/>
      <c r="E21" s="15"/>
    </row>
    <row r="22" spans="1:7">
      <c r="A22" s="171" t="s">
        <v>74</v>
      </c>
      <c r="B22" s="37">
        <f>aantalw2001_hout</f>
        <v>30</v>
      </c>
      <c r="C22" s="167">
        <f>IF(ISERROR(B22/SUM($B$20,$B$21,$B$22)*100),0,B22/SUM($B$20,$B$21,$B$22)*100)</f>
        <v>3.6900369003690034</v>
      </c>
      <c r="D22" s="229"/>
      <c r="E22" s="15"/>
    </row>
    <row r="23" spans="1:7">
      <c r="A23" s="171" t="s">
        <v>75</v>
      </c>
      <c r="B23" s="37">
        <f>aantalw2001_niet_gespec</f>
        <v>150</v>
      </c>
      <c r="C23" s="166" t="s">
        <v>110</v>
      </c>
      <c r="D23" s="228"/>
      <c r="E23" s="15"/>
    </row>
    <row r="24" spans="1:7">
      <c r="A24" s="171" t="s">
        <v>76</v>
      </c>
      <c r="B24" s="37">
        <f>aantalw2001_steenkool</f>
        <v>71</v>
      </c>
      <c r="C24" s="166" t="s">
        <v>110</v>
      </c>
      <c r="D24" s="229"/>
      <c r="E24" s="15"/>
    </row>
    <row r="25" spans="1:7">
      <c r="A25" s="171" t="s">
        <v>77</v>
      </c>
      <c r="B25" s="37">
        <f>aantalw2001_stookolie</f>
        <v>811</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736</v>
      </c>
      <c r="B28" s="37">
        <f>aantalHuishoudens</f>
        <v>7277</v>
      </c>
      <c r="C28" s="36"/>
      <c r="D28" s="228"/>
    </row>
    <row r="29" spans="1:7" s="15" customFormat="1">
      <c r="A29" s="230" t="s">
        <v>737</v>
      </c>
      <c r="B29" s="37">
        <f>SUM(HH_hh_gas_aantal,HH_rest_gas_aantal)</f>
        <v>6110</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6110</v>
      </c>
      <c r="C32" s="167">
        <f>IF(ISERROR(B32/SUM($B$32,$B$34,$B$35,$B$36,$B$38,$B$39)*100),0,B32/SUM($B$32,$B$34,$B$35,$B$36,$B$38,$B$39)*100)</f>
        <v>84.02090209020902</v>
      </c>
      <c r="D32" s="233"/>
      <c r="G32" s="15"/>
    </row>
    <row r="33" spans="1:7">
      <c r="A33" s="171" t="s">
        <v>71</v>
      </c>
      <c r="B33" s="34" t="s">
        <v>110</v>
      </c>
      <c r="C33" s="167"/>
      <c r="D33" s="233"/>
      <c r="G33" s="15"/>
    </row>
    <row r="34" spans="1:7">
      <c r="A34" s="171" t="s">
        <v>72</v>
      </c>
      <c r="B34" s="33">
        <f>IF((($B$28-$B$32-$B$39-$B$77-$B$38)*C20/100)&lt;0,0,($B$28-$B$32-$B$39-$B$77-$B$38)*C20/100)</f>
        <v>30.014760147601478</v>
      </c>
      <c r="C34" s="167">
        <f>IF(ISERROR(B34/SUM($B$32,$B$34,$B$35,$B$36,$B$38,$B$39)*100),0,B34/SUM($B$32,$B$34,$B$35,$B$36,$B$38,$B$39)*100)</f>
        <v>0.41274422645216557</v>
      </c>
      <c r="D34" s="233"/>
      <c r="G34" s="15"/>
    </row>
    <row r="35" spans="1:7">
      <c r="A35" s="171" t="s">
        <v>73</v>
      </c>
      <c r="B35" s="33">
        <f>IF((($B$28-$B$32-$B$39-$B$77-$B$38)*C21/100)&lt;0,0,($B$28-$B$32-$B$39-$B$77-$B$38)*C21/100)</f>
        <v>1089.1070110701105</v>
      </c>
      <c r="C35" s="167">
        <f>IF(ISERROR(B35/SUM($B$32,$B$34,$B$35,$B$36,$B$38,$B$39)*100),0,B35/SUM($B$32,$B$34,$B$35,$B$36,$B$38,$B$39)*100)</f>
        <v>14.97671907412143</v>
      </c>
      <c r="D35" s="233"/>
      <c r="G35" s="15"/>
    </row>
    <row r="36" spans="1:7">
      <c r="A36" s="171" t="s">
        <v>74</v>
      </c>
      <c r="B36" s="33">
        <f>IF((($B$28-$B$32-$B$39-$B$77-$B$38)*C22/100)&lt;0,0,($B$28-$B$32-$B$39-$B$77-$B$38)*C22/100)</f>
        <v>42.878228782287827</v>
      </c>
      <c r="C36" s="167">
        <f>IF(ISERROR(B36/SUM($B$32,$B$34,$B$35,$B$36,$B$38,$B$39)*100),0,B36/SUM($B$32,$B$34,$B$35,$B$36,$B$38,$B$39)*100)</f>
        <v>0.58963460921737942</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6110</v>
      </c>
      <c r="C44" s="34" t="s">
        <v>110</v>
      </c>
      <c r="D44" s="174"/>
    </row>
    <row r="45" spans="1:7">
      <c r="A45" s="171" t="s">
        <v>71</v>
      </c>
      <c r="B45" s="33" t="str">
        <f t="shared" si="0"/>
        <v>-</v>
      </c>
      <c r="C45" s="34" t="s">
        <v>110</v>
      </c>
      <c r="D45" s="174"/>
    </row>
    <row r="46" spans="1:7">
      <c r="A46" s="171" t="s">
        <v>72</v>
      </c>
      <c r="B46" s="33">
        <f t="shared" si="0"/>
        <v>30.014760147601478</v>
      </c>
      <c r="C46" s="34" t="s">
        <v>110</v>
      </c>
      <c r="D46" s="174"/>
    </row>
    <row r="47" spans="1:7">
      <c r="A47" s="171" t="s">
        <v>73</v>
      </c>
      <c r="B47" s="33">
        <f t="shared" si="0"/>
        <v>1089.1070110701105</v>
      </c>
      <c r="C47" s="34" t="s">
        <v>110</v>
      </c>
      <c r="D47" s="174"/>
    </row>
    <row r="48" spans="1:7">
      <c r="A48" s="171" t="s">
        <v>74</v>
      </c>
      <c r="B48" s="33">
        <f t="shared" si="0"/>
        <v>42.878228782287827</v>
      </c>
      <c r="C48" s="33">
        <f>B48*10</f>
        <v>428.78228782287829</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28</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5</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21367.481</v>
      </c>
      <c r="C5" s="17">
        <f>IF(ISERROR('Eigen informatie GS &amp; warmtenet'!B58),0,'Eigen informatie GS &amp; warmtenet'!B58)</f>
        <v>0</v>
      </c>
      <c r="D5" s="30">
        <f>SUM(D6:D12)</f>
        <v>28424.952240908842</v>
      </c>
      <c r="E5" s="17">
        <f>SUM(E6:E12)</f>
        <v>215.57424970135204</v>
      </c>
      <c r="F5" s="17">
        <f>SUM(F6:F12)</f>
        <v>3204.6697479511736</v>
      </c>
      <c r="G5" s="18"/>
      <c r="H5" s="17"/>
      <c r="I5" s="17"/>
      <c r="J5" s="17">
        <f>SUM(J6:J12)</f>
        <v>0</v>
      </c>
      <c r="K5" s="17"/>
      <c r="L5" s="17"/>
      <c r="M5" s="17"/>
      <c r="N5" s="17">
        <f>SUM(N6:N12)</f>
        <v>1390.5145668845955</v>
      </c>
      <c r="O5" s="17">
        <f>B38*B39*B40</f>
        <v>1.5633333333333335</v>
      </c>
      <c r="P5" s="17">
        <f>B46*B47*B48/1000-B46*B47*B48/1000/B49</f>
        <v>0</v>
      </c>
      <c r="R5" s="32"/>
    </row>
    <row r="6" spans="1:18">
      <c r="A6" s="32" t="s">
        <v>53</v>
      </c>
      <c r="B6" s="37">
        <f>B26</f>
        <v>7060.5659999999998</v>
      </c>
      <c r="C6" s="33"/>
      <c r="D6" s="37">
        <f>IF(ISERROR(TER_kantoor_gas_kWh/1000),0,TER_kantoor_gas_kWh/1000)*0.902</f>
        <v>11664.295300359678</v>
      </c>
      <c r="E6" s="33">
        <f>$C$26*'E Balans VL '!I12/100/3.6*1000000</f>
        <v>20.455495633919675</v>
      </c>
      <c r="F6" s="33">
        <f>$C$26*('E Balans VL '!L12+'E Balans VL '!N12)/100/3.6*1000000</f>
        <v>799.10051487037299</v>
      </c>
      <c r="G6" s="34"/>
      <c r="H6" s="33"/>
      <c r="I6" s="33"/>
      <c r="J6" s="33">
        <f>$C$26*('E Balans VL '!D12+'E Balans VL '!E12)/100/3.6*1000000</f>
        <v>0</v>
      </c>
      <c r="K6" s="33"/>
      <c r="L6" s="33"/>
      <c r="M6" s="33"/>
      <c r="N6" s="33">
        <f>$C$26*'E Balans VL '!Y12/100/3.6*1000000</f>
        <v>70.671063202687876</v>
      </c>
      <c r="O6" s="33"/>
      <c r="P6" s="33"/>
      <c r="R6" s="32"/>
    </row>
    <row r="7" spans="1:18">
      <c r="A7" s="32" t="s">
        <v>52</v>
      </c>
      <c r="B7" s="37">
        <f t="shared" ref="B7:B12" si="0">B27</f>
        <v>2416.4250000000002</v>
      </c>
      <c r="C7" s="33"/>
      <c r="D7" s="37">
        <f>IF(ISERROR(TER_horeca_gas_kWh/1000),0,TER_horeca_gas_kWh/1000)*0.902</f>
        <v>4358.6496646302121</v>
      </c>
      <c r="E7" s="33">
        <f>$C$27*'E Balans VL '!I9/100/3.6*1000000</f>
        <v>101.43477014198271</v>
      </c>
      <c r="F7" s="33">
        <f>$C$27*('E Balans VL '!L9+'E Balans VL '!N9)/100/3.6*1000000</f>
        <v>519.21846471171614</v>
      </c>
      <c r="G7" s="34"/>
      <c r="H7" s="33"/>
      <c r="I7" s="33"/>
      <c r="J7" s="33">
        <f>$C$27*('E Balans VL '!D9+'E Balans VL '!E9)/100/3.6*1000000</f>
        <v>0</v>
      </c>
      <c r="K7" s="33"/>
      <c r="L7" s="33"/>
      <c r="M7" s="33"/>
      <c r="N7" s="33">
        <f>$C$27*'E Balans VL '!Y9/100/3.6*1000000</f>
        <v>0.62269159009674835</v>
      </c>
      <c r="O7" s="33"/>
      <c r="P7" s="33"/>
      <c r="R7" s="32"/>
    </row>
    <row r="8" spans="1:18">
      <c r="A8" s="6" t="s">
        <v>51</v>
      </c>
      <c r="B8" s="37">
        <f t="shared" si="0"/>
        <v>5344.24</v>
      </c>
      <c r="C8" s="33"/>
      <c r="D8" s="37">
        <f>IF(ISERROR(TER_handel_gas_kWh/1000),0,TER_handel_gas_kWh/1000)*0.902</f>
        <v>3406.1160471676021</v>
      </c>
      <c r="E8" s="33">
        <f>$C$28*'E Balans VL '!I13/100/3.6*1000000</f>
        <v>57.401585484513802</v>
      </c>
      <c r="F8" s="33">
        <f>$C$28*('E Balans VL '!L13+'E Balans VL '!N13)/100/3.6*1000000</f>
        <v>691.85599982415158</v>
      </c>
      <c r="G8" s="34"/>
      <c r="H8" s="33"/>
      <c r="I8" s="33"/>
      <c r="J8" s="33">
        <f>$C$28*('E Balans VL '!D13+'E Balans VL '!E13)/100/3.6*1000000</f>
        <v>0</v>
      </c>
      <c r="K8" s="33"/>
      <c r="L8" s="33"/>
      <c r="M8" s="33"/>
      <c r="N8" s="33">
        <f>$C$28*'E Balans VL '!Y13/100/3.6*1000000</f>
        <v>43.352766688191679</v>
      </c>
      <c r="O8" s="33"/>
      <c r="P8" s="33"/>
      <c r="R8" s="32"/>
    </row>
    <row r="9" spans="1:18">
      <c r="A9" s="32" t="s">
        <v>50</v>
      </c>
      <c r="B9" s="37">
        <f t="shared" si="0"/>
        <v>597.02099999999996</v>
      </c>
      <c r="C9" s="33"/>
      <c r="D9" s="37">
        <f>IF(ISERROR(TER_gezond_gas_kWh/1000),0,TER_gezond_gas_kWh/1000)*0.902</f>
        <v>851.78696035939549</v>
      </c>
      <c r="E9" s="33">
        <f>$C$29*'E Balans VL '!I10/100/3.6*1000000</f>
        <v>0.47526733028377266</v>
      </c>
      <c r="F9" s="33">
        <f>$C$29*('E Balans VL '!L10+'E Balans VL '!N10)/100/3.6*1000000</f>
        <v>72.576530280553158</v>
      </c>
      <c r="G9" s="34"/>
      <c r="H9" s="33"/>
      <c r="I9" s="33"/>
      <c r="J9" s="33">
        <f>$C$29*('E Balans VL '!D10+'E Balans VL '!E10)/100/3.6*1000000</f>
        <v>0</v>
      </c>
      <c r="K9" s="33"/>
      <c r="L9" s="33"/>
      <c r="M9" s="33"/>
      <c r="N9" s="33">
        <f>$C$29*'E Balans VL '!Y10/100/3.6*1000000</f>
        <v>4.8225774676784248</v>
      </c>
      <c r="O9" s="33"/>
      <c r="P9" s="33"/>
      <c r="R9" s="32"/>
    </row>
    <row r="10" spans="1:18">
      <c r="A10" s="32" t="s">
        <v>49</v>
      </c>
      <c r="B10" s="37">
        <f t="shared" si="0"/>
        <v>1398.6089999999999</v>
      </c>
      <c r="C10" s="33"/>
      <c r="D10" s="37">
        <f>IF(ISERROR(TER_ander_gas_kWh/1000),0,TER_ander_gas_kWh/1000)*0.902</f>
        <v>2121.2779319886276</v>
      </c>
      <c r="E10" s="33">
        <f>$C$30*'E Balans VL '!I14/100/3.6*1000000</f>
        <v>4.7931065164985895</v>
      </c>
      <c r="F10" s="33">
        <f>$C$30*('E Balans VL '!L14+'E Balans VL '!N14)/100/3.6*1000000</f>
        <v>312.39241782494213</v>
      </c>
      <c r="G10" s="34"/>
      <c r="H10" s="33"/>
      <c r="I10" s="33"/>
      <c r="J10" s="33">
        <f>$C$30*('E Balans VL '!D14+'E Balans VL '!E14)/100/3.6*1000000</f>
        <v>0</v>
      </c>
      <c r="K10" s="33"/>
      <c r="L10" s="33"/>
      <c r="M10" s="33"/>
      <c r="N10" s="33">
        <f>$C$30*'E Balans VL '!Y14/100/3.6*1000000</f>
        <v>985.18782005161688</v>
      </c>
      <c r="O10" s="33"/>
      <c r="P10" s="33"/>
      <c r="R10" s="32"/>
    </row>
    <row r="11" spans="1:18">
      <c r="A11" s="32" t="s">
        <v>54</v>
      </c>
      <c r="B11" s="37">
        <f t="shared" si="0"/>
        <v>1213.049</v>
      </c>
      <c r="C11" s="33"/>
      <c r="D11" s="37">
        <f>IF(ISERROR(TER_onderwijs_gas_kWh/1000),0,TER_onderwijs_gas_kWh/1000)*0.902</f>
        <v>1401.570121498602</v>
      </c>
      <c r="E11" s="33">
        <f>$C$31*'E Balans VL '!I11/100/3.6*1000000</f>
        <v>0.83854341473099736</v>
      </c>
      <c r="F11" s="33">
        <f>$C$31*('E Balans VL '!L11+'E Balans VL '!N11)/100/3.6*1000000</f>
        <v>317.54099151741633</v>
      </c>
      <c r="G11" s="34"/>
      <c r="H11" s="33"/>
      <c r="I11" s="33"/>
      <c r="J11" s="33">
        <f>$C$31*('E Balans VL '!D11+'E Balans VL '!E11)/100/3.6*1000000</f>
        <v>0</v>
      </c>
      <c r="K11" s="33"/>
      <c r="L11" s="33"/>
      <c r="M11" s="33"/>
      <c r="N11" s="33">
        <f>$C$31*'E Balans VL '!Y11/100/3.6*1000000</f>
        <v>1.2074869600459512</v>
      </c>
      <c r="O11" s="33"/>
      <c r="P11" s="33"/>
      <c r="R11" s="32"/>
    </row>
    <row r="12" spans="1:18">
      <c r="A12" s="32" t="s">
        <v>259</v>
      </c>
      <c r="B12" s="37">
        <f t="shared" si="0"/>
        <v>3337.5709999999999</v>
      </c>
      <c r="C12" s="33"/>
      <c r="D12" s="37">
        <f>IF(ISERROR(TER_rest_gas_kWh/1000),0,TER_rest_gas_kWh/1000)*0.902</f>
        <v>4621.2562149047253</v>
      </c>
      <c r="E12" s="33">
        <f>$C$32*'E Balans VL '!I8/100/3.6*1000000</f>
        <v>30.175481179422494</v>
      </c>
      <c r="F12" s="33">
        <f>$C$32*('E Balans VL '!L8+'E Balans VL '!N8)/100/3.6*1000000</f>
        <v>491.98482892202128</v>
      </c>
      <c r="G12" s="34"/>
      <c r="H12" s="33"/>
      <c r="I12" s="33"/>
      <c r="J12" s="33">
        <f>$C$32*('E Balans VL '!D8+'E Balans VL '!E8)/100/3.6*1000000</f>
        <v>0</v>
      </c>
      <c r="K12" s="33"/>
      <c r="L12" s="33"/>
      <c r="M12" s="33"/>
      <c r="N12" s="33">
        <f>$C$32*'E Balans VL '!Y8/100/3.6*1000000</f>
        <v>284.650160924278</v>
      </c>
      <c r="O12" s="33"/>
      <c r="P12" s="33"/>
      <c r="R12" s="32"/>
    </row>
    <row r="13" spans="1:18">
      <c r="A13" s="16" t="s">
        <v>493</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21367.481</v>
      </c>
      <c r="C16" s="21">
        <f t="shared" ca="1" si="1"/>
        <v>0</v>
      </c>
      <c r="D16" s="21">
        <f t="shared" ca="1" si="1"/>
        <v>28424.952240908842</v>
      </c>
      <c r="E16" s="21">
        <f t="shared" si="1"/>
        <v>215.57424970135204</v>
      </c>
      <c r="F16" s="21">
        <f t="shared" ca="1" si="1"/>
        <v>3204.6697479511736</v>
      </c>
      <c r="G16" s="21">
        <f t="shared" si="1"/>
        <v>0</v>
      </c>
      <c r="H16" s="21">
        <f t="shared" si="1"/>
        <v>0</v>
      </c>
      <c r="I16" s="21">
        <f t="shared" si="1"/>
        <v>0</v>
      </c>
      <c r="J16" s="21">
        <f t="shared" si="1"/>
        <v>0</v>
      </c>
      <c r="K16" s="21">
        <f t="shared" si="1"/>
        <v>0</v>
      </c>
      <c r="L16" s="21">
        <f t="shared" ca="1" si="1"/>
        <v>0</v>
      </c>
      <c r="M16" s="21">
        <f t="shared" si="1"/>
        <v>0</v>
      </c>
      <c r="N16" s="21">
        <f t="shared" ca="1" si="1"/>
        <v>1390.5145668845955</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0.1940339750752629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4146.0172757751534</v>
      </c>
      <c r="C20" s="23">
        <f t="shared" ref="C20:P20" ca="1" si="2">C16*C18</f>
        <v>0</v>
      </c>
      <c r="D20" s="23">
        <f t="shared" ca="1" si="2"/>
        <v>5741.8403526635866</v>
      </c>
      <c r="E20" s="23">
        <f t="shared" si="2"/>
        <v>48.935354682206913</v>
      </c>
      <c r="F20" s="23">
        <f t="shared" ca="1" si="2"/>
        <v>855.64682270296339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7060.5659999999998</v>
      </c>
      <c r="C26" s="39">
        <f>IF(ISERROR(B26*3.6/1000000/'E Balans VL '!Z12*100),0,B26*3.6/1000000/'E Balans VL '!Z12*100)</f>
        <v>0.15509349502169945</v>
      </c>
      <c r="D26" s="237" t="s">
        <v>691</v>
      </c>
      <c r="F26" s="6"/>
    </row>
    <row r="27" spans="1:18">
      <c r="A27" s="231" t="s">
        <v>52</v>
      </c>
      <c r="B27" s="33">
        <f>IF(ISERROR(TER_horeca_ele_kWh/1000),0,TER_horeca_ele_kWh/1000)</f>
        <v>2416.4250000000002</v>
      </c>
      <c r="C27" s="39">
        <f>IF(ISERROR(B27*3.6/1000000/'E Balans VL '!Z9*100),0,B27*3.6/1000000/'E Balans VL '!Z9*100)</f>
        <v>0.19418383595889596</v>
      </c>
      <c r="D27" s="237" t="s">
        <v>691</v>
      </c>
      <c r="F27" s="6"/>
    </row>
    <row r="28" spans="1:18">
      <c r="A28" s="171" t="s">
        <v>51</v>
      </c>
      <c r="B28" s="33">
        <f>IF(ISERROR(TER_handel_ele_kWh/1000),0,TER_handel_ele_kWh/1000)</f>
        <v>5344.24</v>
      </c>
      <c r="C28" s="39">
        <f>IF(ISERROR(B28*3.6/1000000/'E Balans VL '!Z13*100),0,B28*3.6/1000000/'E Balans VL '!Z13*100)</f>
        <v>0.15802544323554393</v>
      </c>
      <c r="D28" s="237" t="s">
        <v>691</v>
      </c>
      <c r="F28" s="6"/>
    </row>
    <row r="29" spans="1:18">
      <c r="A29" s="231" t="s">
        <v>50</v>
      </c>
      <c r="B29" s="33">
        <f>IF(ISERROR(TER_gezond_ele_kWh/1000),0,TER_gezond_ele_kWh/1000)</f>
        <v>597.02099999999996</v>
      </c>
      <c r="C29" s="39">
        <f>IF(ISERROR(B29*3.6/1000000/'E Balans VL '!Z10*100),0,B29*3.6/1000000/'E Balans VL '!Z10*100)</f>
        <v>6.7268852976503146E-2</v>
      </c>
      <c r="D29" s="237" t="s">
        <v>691</v>
      </c>
      <c r="F29" s="6"/>
    </row>
    <row r="30" spans="1:18">
      <c r="A30" s="231" t="s">
        <v>49</v>
      </c>
      <c r="B30" s="33">
        <f>IF(ISERROR(TER_ander_ele_kWh/1000),0,TER_ander_ele_kWh/1000)</f>
        <v>1398.6089999999999</v>
      </c>
      <c r="C30" s="39">
        <f>IF(ISERROR(B30*3.6/1000000/'E Balans VL '!Z14*100),0,B30*3.6/1000000/'E Balans VL '!Z14*100)</f>
        <v>0.10577440785590772</v>
      </c>
      <c r="D30" s="237" t="s">
        <v>691</v>
      </c>
      <c r="F30" s="6"/>
    </row>
    <row r="31" spans="1:18">
      <c r="A31" s="231" t="s">
        <v>54</v>
      </c>
      <c r="B31" s="33">
        <f>IF(ISERROR(TER_onderwijs_ele_kWh/1000),0,TER_onderwijs_ele_kWh/1000)</f>
        <v>1213.049</v>
      </c>
      <c r="C31" s="39">
        <f>IF(ISERROR(B31*3.6/1000000/'E Balans VL '!Z11*100),0,B31*3.6/1000000/'E Balans VL '!Z11*100)</f>
        <v>0.25180081267637394</v>
      </c>
      <c r="D31" s="237" t="s">
        <v>691</v>
      </c>
    </row>
    <row r="32" spans="1:18">
      <c r="A32" s="231" t="s">
        <v>259</v>
      </c>
      <c r="B32" s="33">
        <f>IF(ISERROR(TER_rest_ele_kWh/1000),0,TER_rest_ele_kWh/1000)</f>
        <v>3337.5709999999999</v>
      </c>
      <c r="C32" s="39">
        <f>IF(ISERROR(B32*3.6/1000000/'E Balans VL '!Z8*100),0,B32*3.6/1000000/'E Balans VL '!Z8*100)</f>
        <v>2.8117072248471438E-2</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0</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6368.3072000000002</v>
      </c>
      <c r="C5" s="17">
        <f>IF(ISERROR('Eigen informatie GS &amp; warmtenet'!B59),0,'Eigen informatie GS &amp; warmtenet'!B59)</f>
        <v>0</v>
      </c>
      <c r="D5" s="30">
        <f>SUM(D6:D15)</f>
        <v>4448.1530933505937</v>
      </c>
      <c r="E5" s="17">
        <f>SUM(E6:E15)</f>
        <v>468.76809532925654</v>
      </c>
      <c r="F5" s="17">
        <f>SUM(F6:F15)</f>
        <v>2598.1860717471027</v>
      </c>
      <c r="G5" s="18"/>
      <c r="H5" s="17"/>
      <c r="I5" s="17"/>
      <c r="J5" s="17">
        <f>SUM(J6:J15)</f>
        <v>27.278721379541004</v>
      </c>
      <c r="K5" s="17"/>
      <c r="L5" s="17"/>
      <c r="M5" s="17"/>
      <c r="N5" s="17">
        <f>SUM(N6:N15)</f>
        <v>521.19875271031651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821.95050000000003</v>
      </c>
      <c r="C8" s="33"/>
      <c r="D8" s="37">
        <f>IF( ISERROR(IND_metaal_Gas_kWH/1000),0,IND_metaal_Gas_kWH/1000)*0.902</f>
        <v>229.05985907058223</v>
      </c>
      <c r="E8" s="33">
        <f>C30*'E Balans VL '!I18/100/3.6*1000000</f>
        <v>20.570544249880673</v>
      </c>
      <c r="F8" s="33">
        <f>C30*'E Balans VL '!L18/100/3.6*1000000+C30*'E Balans VL '!N18/100/3.6*1000000</f>
        <v>257.60337529205492</v>
      </c>
      <c r="G8" s="34"/>
      <c r="H8" s="33"/>
      <c r="I8" s="33"/>
      <c r="J8" s="40">
        <f>C30*'E Balans VL '!D18/100/3.6*1000000+C30*'E Balans VL '!E18/100/3.6*1000000</f>
        <v>0</v>
      </c>
      <c r="K8" s="33"/>
      <c r="L8" s="33"/>
      <c r="M8" s="33"/>
      <c r="N8" s="33">
        <f>C30*'E Balans VL '!Y18/100/3.6*1000000</f>
        <v>20.649529707559399</v>
      </c>
      <c r="O8" s="33"/>
      <c r="P8" s="33"/>
      <c r="R8" s="32"/>
    </row>
    <row r="9" spans="1:18">
      <c r="A9" s="6" t="s">
        <v>32</v>
      </c>
      <c r="B9" s="37">
        <f t="shared" si="0"/>
        <v>809.0498</v>
      </c>
      <c r="C9" s="33"/>
      <c r="D9" s="37">
        <f>IF( ISERROR(IND_andere_gas_kWh/1000),0,IND_andere_gas_kWh/1000)*0.902</f>
        <v>1389.4406496780739</v>
      </c>
      <c r="E9" s="33">
        <f>C31*'E Balans VL '!I19/100/3.6*1000000</f>
        <v>222.45551177747456</v>
      </c>
      <c r="F9" s="33">
        <f>C31*'E Balans VL '!L19/100/3.6*1000000+C31*'E Balans VL '!N19/100/3.6*1000000</f>
        <v>637.67202717325949</v>
      </c>
      <c r="G9" s="34"/>
      <c r="H9" s="33"/>
      <c r="I9" s="33"/>
      <c r="J9" s="40">
        <f>C31*'E Balans VL '!D19/100/3.6*1000000+C31*'E Balans VL '!E19/100/3.6*1000000</f>
        <v>0</v>
      </c>
      <c r="K9" s="33"/>
      <c r="L9" s="33"/>
      <c r="M9" s="33"/>
      <c r="N9" s="33">
        <f>C31*'E Balans VL '!Y19/100/3.6*1000000</f>
        <v>65.177561715159484</v>
      </c>
      <c r="O9" s="33"/>
      <c r="P9" s="33"/>
      <c r="R9" s="32"/>
    </row>
    <row r="10" spans="1:18">
      <c r="A10" s="6" t="s">
        <v>40</v>
      </c>
      <c r="B10" s="37">
        <f t="shared" si="0"/>
        <v>375.12290000000002</v>
      </c>
      <c r="C10" s="33"/>
      <c r="D10" s="37">
        <f>IF( ISERROR(IND_voed_gas_kWh/1000),0,IND_voed_gas_kWh/1000)*0.902</f>
        <v>358.47042840900798</v>
      </c>
      <c r="E10" s="33">
        <f>C32*'E Balans VL '!I20/100/3.6*1000000</f>
        <v>3.8241713091152039</v>
      </c>
      <c r="F10" s="33">
        <f>C32*'E Balans VL '!L20/100/3.6*1000000+C32*'E Balans VL '!N20/100/3.6*1000000</f>
        <v>708.60481193273836</v>
      </c>
      <c r="G10" s="34"/>
      <c r="H10" s="33"/>
      <c r="I10" s="33"/>
      <c r="J10" s="40">
        <f>C32*'E Balans VL '!D20/100/3.6*1000000+C32*'E Balans VL '!E20/100/3.6*1000000</f>
        <v>8.977918404685763</v>
      </c>
      <c r="K10" s="33"/>
      <c r="L10" s="33"/>
      <c r="M10" s="33"/>
      <c r="N10" s="33">
        <f>C32*'E Balans VL '!Y20/100/3.6*1000000</f>
        <v>197.73297715965555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4362.1840000000002</v>
      </c>
      <c r="C15" s="33"/>
      <c r="D15" s="37">
        <f>IF( ISERROR(IND_rest_gas_kWh/1000),0,IND_rest_gas_kWh/1000)*0.902</f>
        <v>2471.1821561929296</v>
      </c>
      <c r="E15" s="33">
        <f>C37*'E Balans VL '!I15/100/3.6*1000000</f>
        <v>221.91786799278611</v>
      </c>
      <c r="F15" s="33">
        <f>C37*'E Balans VL '!L15/100/3.6*1000000+C37*'E Balans VL '!N15/100/3.6*1000000</f>
        <v>994.3058573490498</v>
      </c>
      <c r="G15" s="34"/>
      <c r="H15" s="33"/>
      <c r="I15" s="33"/>
      <c r="J15" s="40">
        <f>C37*'E Balans VL '!D15/100/3.6*1000000+C37*'E Balans VL '!E15/100/3.6*1000000</f>
        <v>18.300802974855241</v>
      </c>
      <c r="K15" s="33"/>
      <c r="L15" s="33"/>
      <c r="M15" s="33"/>
      <c r="N15" s="33">
        <f>C37*'E Balans VL '!Y15/100/3.6*1000000</f>
        <v>237.63868412794213</v>
      </c>
      <c r="O15" s="33"/>
      <c r="P15" s="33"/>
      <c r="R15" s="32"/>
    </row>
    <row r="16" spans="1:18">
      <c r="A16" s="16" t="s">
        <v>493</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6368.3072000000002</v>
      </c>
      <c r="C18" s="21">
        <f>C5+C16</f>
        <v>0</v>
      </c>
      <c r="D18" s="21">
        <f>MAX((D5+D16),0)</f>
        <v>4448.1530933505937</v>
      </c>
      <c r="E18" s="21">
        <f>MAX((E5+E16),0)</f>
        <v>468.76809532925654</v>
      </c>
      <c r="F18" s="21">
        <f>MAX((F5+F16),0)</f>
        <v>2598.1860717471027</v>
      </c>
      <c r="G18" s="21"/>
      <c r="H18" s="21"/>
      <c r="I18" s="21"/>
      <c r="J18" s="21">
        <f>MAX((J5+J16),0)</f>
        <v>27.278721379541004</v>
      </c>
      <c r="K18" s="21"/>
      <c r="L18" s="21">
        <f>MAX((L5+L16),0)</f>
        <v>0</v>
      </c>
      <c r="M18" s="21"/>
      <c r="N18" s="21">
        <f>MAX((N5+N16),0)</f>
        <v>521.19875271031651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0.1940339750752629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1235.6679605164172</v>
      </c>
      <c r="C22" s="23">
        <f ca="1">C18*C20</f>
        <v>0</v>
      </c>
      <c r="D22" s="23">
        <f>D18*D20</f>
        <v>898.52692485681996</v>
      </c>
      <c r="E22" s="23">
        <f>E18*E20</f>
        <v>106.41035763974124</v>
      </c>
      <c r="F22" s="23">
        <f>F18*F20</f>
        <v>693.71568115647642</v>
      </c>
      <c r="G22" s="23"/>
      <c r="H22" s="23"/>
      <c r="I22" s="23"/>
      <c r="J22" s="23">
        <f>J18*J20</f>
        <v>9.6566673683575157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821.95050000000003</v>
      </c>
      <c r="C30" s="39">
        <f>IF(ISERROR(B30*3.6/1000000/'E Balans VL '!Z18*100),0,B30*3.6/1000000/'E Balans VL '!Z18*100)</f>
        <v>0.11504567819698187</v>
      </c>
      <c r="D30" s="237" t="s">
        <v>691</v>
      </c>
    </row>
    <row r="31" spans="1:18">
      <c r="A31" s="6" t="s">
        <v>32</v>
      </c>
      <c r="B31" s="37">
        <f>IF( ISERROR(IND_ander_ele_kWh/1000),0,IND_ander_ele_kWh/1000)</f>
        <v>809.0498</v>
      </c>
      <c r="C31" s="39">
        <f>IF(ISERROR(B31*3.6/1000000/'E Balans VL '!Z19*100),0,B31*3.6/1000000/'E Balans VL '!Z19*100)</f>
        <v>3.541197849947568E-2</v>
      </c>
      <c r="D31" s="237" t="s">
        <v>691</v>
      </c>
    </row>
    <row r="32" spans="1:18">
      <c r="A32" s="171" t="s">
        <v>40</v>
      </c>
      <c r="B32" s="37">
        <f>IF( ISERROR(IND_voed_ele_kWh/1000),0,IND_voed_ele_kWh/1000)</f>
        <v>375.12290000000002</v>
      </c>
      <c r="C32" s="39">
        <f>IF(ISERROR(B32*3.6/1000000/'E Balans VL '!Z20*100),0,B32*3.6/1000000/'E Balans VL '!Z20*100)</f>
        <v>9.2867972822949216E-2</v>
      </c>
      <c r="D32" s="237" t="s">
        <v>691</v>
      </c>
    </row>
    <row r="33" spans="1:5">
      <c r="A33" s="171" t="s">
        <v>39</v>
      </c>
      <c r="B33" s="37">
        <f>IF( ISERROR(IND_textiel_ele_kWh/1000),0,IND_textiel_ele_kWh/1000)</f>
        <v>0</v>
      </c>
      <c r="C33" s="39">
        <f>IF(ISERROR(B33*3.6/1000000/'E Balans VL '!Z21*100),0,B33*3.6/1000000/'E Balans VL '!Z21*100)</f>
        <v>0</v>
      </c>
      <c r="D33" s="237" t="s">
        <v>691</v>
      </c>
    </row>
    <row r="34" spans="1:5">
      <c r="A34" s="171" t="s">
        <v>36</v>
      </c>
      <c r="B34" s="37">
        <f>IF( ISERROR(IND_min_ele_kWh/1000),0,IND_min_ele_kWh/1000)</f>
        <v>0</v>
      </c>
      <c r="C34" s="39">
        <f>IF(ISERROR(B34*3.6/1000000/'E Balans VL '!Z22*100),0,B34*3.6/1000000/'E Balans VL '!Z22*100)</f>
        <v>0</v>
      </c>
      <c r="D34" s="237" t="s">
        <v>691</v>
      </c>
    </row>
    <row r="35" spans="1:5">
      <c r="A35" s="171" t="s">
        <v>38</v>
      </c>
      <c r="B35" s="37">
        <f>IF( ISERROR(IND_papier_ele_kWh/1000),0,IND_papier_ele_kWh/1000)</f>
        <v>0</v>
      </c>
      <c r="C35" s="39">
        <f>IF(ISERROR(B35*3.6/1000000/'E Balans VL '!Z22*100),0,B35*3.6/1000000/'E Balans VL '!Z22*100)</f>
        <v>0</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4362.1840000000002</v>
      </c>
      <c r="C37" s="39">
        <f>IF(ISERROR(B37*3.6/1000000/'E Balans VL '!Z15*100),0,B37*3.6/1000000/'E Balans VL '!Z15*100)</f>
        <v>3.2344847522495696E-2</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7.0131450000000006</v>
      </c>
      <c r="C5" s="17">
        <f>'Eigen informatie GS &amp; warmtenet'!B60</f>
        <v>0</v>
      </c>
      <c r="D5" s="30">
        <f>IF(ISERROR(SUM(LB_lb_gas_kWh,LB_rest_gas_kWh)/1000),0,SUM(LB_lb_gas_kWh,LB_rest_gas_kWh)/1000)*0.902</f>
        <v>20.773468809136627</v>
      </c>
      <c r="E5" s="17">
        <f>B17*'E Balans VL '!I25/3.6*1000000/100</f>
        <v>6.4958686365135174E-2</v>
      </c>
      <c r="F5" s="17">
        <f>B17*('E Balans VL '!L25/3.6*1000000+'E Balans VL '!N25/3.6*1000000)/100</f>
        <v>17.79368486775147</v>
      </c>
      <c r="G5" s="18"/>
      <c r="H5" s="17"/>
      <c r="I5" s="17"/>
      <c r="J5" s="17">
        <f>('E Balans VL '!D25+'E Balans VL '!E25)/3.6*1000000*landbouw!B17/100</f>
        <v>1.0751933954266297</v>
      </c>
      <c r="K5" s="17"/>
      <c r="L5" s="17">
        <f>L6*(-1)</f>
        <v>0</v>
      </c>
      <c r="M5" s="17"/>
      <c r="N5" s="17">
        <f>N6*(-1)</f>
        <v>0</v>
      </c>
      <c r="O5" s="17"/>
      <c r="P5" s="17"/>
      <c r="R5" s="32"/>
    </row>
    <row r="6" spans="1:18">
      <c r="A6" s="16" t="s">
        <v>493</v>
      </c>
      <c r="B6" s="17" t="s">
        <v>210</v>
      </c>
      <c r="C6" s="17">
        <f>'lokale energieproductie'!O39+'lokale energieproductie'!O32</f>
        <v>0</v>
      </c>
      <c r="D6" s="308">
        <f>('lokale energieproductie'!P32+'lokale energieproductie'!P39)*(-1)</f>
        <v>0</v>
      </c>
      <c r="E6" s="248"/>
      <c r="F6" s="308">
        <f>('lokale energieproductie'!S32+'lokale energieproductie'!S868)*(-1)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7.0131450000000006</v>
      </c>
      <c r="C8" s="21">
        <f>C5+C6</f>
        <v>0</v>
      </c>
      <c r="D8" s="21">
        <f>MAX((D5+D6),0)</f>
        <v>20.773468809136627</v>
      </c>
      <c r="E8" s="21">
        <f>MAX((E5+E6),0)</f>
        <v>6.4958686365135174E-2</v>
      </c>
      <c r="F8" s="21">
        <f>MAX((F5+F6),0)</f>
        <v>17.79368486775147</v>
      </c>
      <c r="G8" s="21"/>
      <c r="H8" s="21"/>
      <c r="I8" s="21"/>
      <c r="J8" s="21">
        <f>MAX((J5+J6),0)</f>
        <v>1.0751933954266297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0.1940339750752629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1.3607884021292047</v>
      </c>
      <c r="C12" s="23">
        <f ca="1">C8*C10</f>
        <v>0</v>
      </c>
      <c r="D12" s="23">
        <f>D8*D10</f>
        <v>4.1962406994455987</v>
      </c>
      <c r="E12" s="23">
        <f>E8*E10</f>
        <v>1.4745621804885685E-2</v>
      </c>
      <c r="F12" s="23">
        <f>F8*F10</f>
        <v>4.7509138596896427</v>
      </c>
      <c r="G12" s="23"/>
      <c r="H12" s="23"/>
      <c r="I12" s="23"/>
      <c r="J12" s="23">
        <f>J8*J10</f>
        <v>0.38061846198102689</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9.9712051462258673E-4</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0.90200000000000002</v>
      </c>
      <c r="C26" s="247">
        <f>B26*'GWP N2O_CH4'!B5</f>
        <v>18.942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7.6999999999999999E-2</v>
      </c>
      <c r="C27" s="247">
        <f>B27*'GWP N2O_CH4'!B5</f>
        <v>1.617</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5.2448698387180942E-3</v>
      </c>
      <c r="C28" s="247">
        <f>B28*'GWP N2O_CH4'!B4</f>
        <v>1.6259096500026091</v>
      </c>
      <c r="D28" s="50"/>
    </row>
    <row r="29" spans="1:4">
      <c r="A29" s="41" t="s">
        <v>276</v>
      </c>
      <c r="B29" s="247">
        <f>B34*'ha_N2O bodem landbouw'!B4</f>
        <v>0.31774978308429014</v>
      </c>
      <c r="C29" s="247">
        <f>B29*'GWP N2O_CH4'!B4</f>
        <v>98.502432756129949</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7.1265678449258839E-5</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5.6062235014825451E-5</v>
      </c>
      <c r="C5" s="438" t="s">
        <v>210</v>
      </c>
      <c r="D5" s="423">
        <f>SUM(D6:D11)</f>
        <v>1.0558530010275832E-4</v>
      </c>
      <c r="E5" s="423">
        <f>SUM(E6:E11)</f>
        <v>1.0906419334407288E-3</v>
      </c>
      <c r="F5" s="436" t="s">
        <v>210</v>
      </c>
      <c r="G5" s="423">
        <f>SUM(G6:G11)</f>
        <v>0.36472815139332004</v>
      </c>
      <c r="H5" s="423">
        <f>SUM(H6:H11)</f>
        <v>6.5198009430278203E-2</v>
      </c>
      <c r="I5" s="438" t="s">
        <v>210</v>
      </c>
      <c r="J5" s="438" t="s">
        <v>210</v>
      </c>
      <c r="K5" s="438" t="s">
        <v>210</v>
      </c>
      <c r="L5" s="438" t="s">
        <v>210</v>
      </c>
      <c r="M5" s="423">
        <f>SUM(M6:M11)</f>
        <v>2.3134625311834432E-2</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3.1884079321713452E-5</v>
      </c>
      <c r="C6" s="424"/>
      <c r="D6" s="866">
        <f>vkm_GW_PW*SUMIFS(TableVerdeelsleutelVkm[CNG],TableVerdeelsleutelVkm[Voertuigtype],"Lichte voertuigen")*SUMIFS(TableECFTransport[EnergieConsumptieFactor (PJ per km)],TableECFTransport[Index],CONCATENATE($A6,"_CNG_CNG"))</f>
        <v>5.5637223809635466E-5</v>
      </c>
      <c r="E6" s="866">
        <f>vkm_GW_PW*SUMIFS(TableVerdeelsleutelVkm[LPG],TableVerdeelsleutelVkm[Voertuigtype],"Lichte voertuigen")*SUMIFS(TableECFTransport[EnergieConsumptieFactor (PJ per km)],TableECFTransport[Index],CONCATENATE($A6,"_LPG_LPG"))</f>
        <v>5.3887386231063884E-4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0.12664463000945642</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3.4071915240870554E-2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8.3817861448868825E-3</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6.6860659340297127E-2</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1.296640708325421E-6</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3.8764298727474804E-3</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5.9189707522320991E-6</v>
      </c>
      <c r="C8" s="424"/>
      <c r="D8" s="426">
        <f>vkm_NGW_PW*SUMIFS(TableVerdeelsleutelVkm[CNG],TableVerdeelsleutelVkm[Voertuigtype],"Lichte voertuigen")*SUMIFS(TableECFTransport[EnergieConsumptieFactor (PJ per km)],TableECFTransport[Index],CONCATENATE($A8,"_CNG_CNG"))</f>
        <v>1.7686189912492118E-5</v>
      </c>
      <c r="E8" s="426">
        <f>vkm_NGW_PW*SUMIFS(TableVerdeelsleutelVkm[LPG],TableVerdeelsleutelVkm[Voertuigtype],"Lichte voertuigen")*SUMIFS(TableECFTransport[EnergieConsumptieFactor (PJ per km)],TableECFTransport[Index],CONCATENATE($A8,"_LPG_LPG"))</f>
        <v>1.6210995465456036E-4</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3.5761748412414224E-2</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1.0457714924026879E-2</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2.3923546494462066E-3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1.0452010422411744E-2</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2.5107595800326653E-7</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6.059854104964905E-4</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1.8259184940879901E-5</v>
      </c>
      <c r="C10" s="424"/>
      <c r="D10" s="426">
        <f>vkm_SW_PW*SUMIFS(TableVerdeelsleutelVkm[CNG],TableVerdeelsleutelVkm[Voertuigtype],"Lichte voertuigen")*SUMIFS(TableECFTransport[EnergieConsumptieFactor (PJ per km)],TableECFTransport[Index],CONCATENATE($A10,"_CNG_CNG"))</f>
        <v>3.2261886380630733E-5</v>
      </c>
      <c r="E10" s="426">
        <f>vkm_SW_PW*SUMIFS(TableVerdeelsleutelVkm[LPG],TableVerdeelsleutelVkm[Voertuigtype],"Lichte voertuigen")*SUMIFS(TableECFTransport[EnergieConsumptieFactor (PJ per km)],TableECFTransport[Index],CONCATENATE($A10,"_LPG_LPG"))</f>
        <v>3.8965811647552961E-4</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8.2342975253058268E-2</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2.0665952378485578E-2</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5.4043820150275835E-3</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4.2666127955682268E-2</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8.791702288635722E-7</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2.473687219229791E-3</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15.572843059673735</v>
      </c>
      <c r="C14" s="21"/>
      <c r="D14" s="21">
        <f t="shared" ref="D14:M14" si="0">((D5)*10^9/3600)+D12</f>
        <v>29.329250028543978</v>
      </c>
      <c r="E14" s="21">
        <f t="shared" si="0"/>
        <v>302.95609262242465</v>
      </c>
      <c r="F14" s="21"/>
      <c r="G14" s="21">
        <f t="shared" si="0"/>
        <v>101313.37538703335</v>
      </c>
      <c r="H14" s="21">
        <f t="shared" si="0"/>
        <v>18110.55817507728</v>
      </c>
      <c r="I14" s="21"/>
      <c r="J14" s="21"/>
      <c r="K14" s="21"/>
      <c r="L14" s="21"/>
      <c r="M14" s="21">
        <f t="shared" si="0"/>
        <v>6426.2848088428982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0.1940339750752629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3.0216606420917143</v>
      </c>
      <c r="C18" s="23"/>
      <c r="D18" s="23">
        <f t="shared" ref="D18:M18" si="1">D14*D16</f>
        <v>5.9245085057658837</v>
      </c>
      <c r="E18" s="23">
        <f t="shared" si="1"/>
        <v>68.771033025290393</v>
      </c>
      <c r="F18" s="23"/>
      <c r="G18" s="23">
        <f t="shared" si="1"/>
        <v>27050.671228337906</v>
      </c>
      <c r="H18" s="23">
        <f t="shared" si="1"/>
        <v>4509.5289855942428</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7.3102470956366225E-3</v>
      </c>
      <c r="H50" s="319">
        <f t="shared" si="2"/>
        <v>0</v>
      </c>
      <c r="I50" s="319">
        <f t="shared" si="2"/>
        <v>0</v>
      </c>
      <c r="J50" s="319">
        <f t="shared" si="2"/>
        <v>0</v>
      </c>
      <c r="K50" s="319">
        <f t="shared" si="2"/>
        <v>0</v>
      </c>
      <c r="L50" s="319">
        <f t="shared" si="2"/>
        <v>0</v>
      </c>
      <c r="M50" s="319">
        <f t="shared" si="2"/>
        <v>4.1783147372983137E-4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7.3102470956366225E-3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4.1783147372983137E-4</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2030.6241932323951</v>
      </c>
      <c r="H54" s="21">
        <f t="shared" si="3"/>
        <v>0</v>
      </c>
      <c r="I54" s="21">
        <f t="shared" si="3"/>
        <v>0</v>
      </c>
      <c r="J54" s="21">
        <f t="shared" si="3"/>
        <v>0</v>
      </c>
      <c r="K54" s="21">
        <f t="shared" si="3"/>
        <v>0</v>
      </c>
      <c r="L54" s="21">
        <f t="shared" si="3"/>
        <v>0</v>
      </c>
      <c r="M54" s="21">
        <f t="shared" si="3"/>
        <v>116.06429825828648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0.1940339750752629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542.17665959304952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0</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7017.552131588347</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N29</f>
        <v>0</v>
      </c>
      <c r="C8" s="545">
        <f>B48</f>
        <v>0</v>
      </c>
      <c r="D8" s="1022"/>
      <c r="E8" s="1022">
        <f>E48</f>
        <v>0</v>
      </c>
      <c r="F8" s="1023"/>
      <c r="G8" s="546"/>
      <c r="H8" s="1022">
        <f>I48</f>
        <v>0</v>
      </c>
      <c r="I8" s="1022">
        <f>G48+F48</f>
        <v>0</v>
      </c>
      <c r="J8" s="1022">
        <f>H48+D48+C48</f>
        <v>0</v>
      </c>
      <c r="K8" s="1022"/>
      <c r="L8" s="1022"/>
      <c r="M8" s="1022"/>
      <c r="N8" s="547"/>
      <c r="O8" s="548">
        <f>C8*$C$12+D8*$D$12+E8*$E$12+F8*$F$12+G8*$G$12+H8*$H$12+I8*$I$12+J8*$J$12</f>
        <v>0</v>
      </c>
      <c r="P8" s="1253"/>
      <c r="Q8" s="1254"/>
      <c r="S8" s="986"/>
      <c r="T8" s="1274"/>
      <c r="U8" s="1274"/>
    </row>
    <row r="9" spans="1:21" s="534" customFormat="1" ht="17.45" customHeight="1" thickBot="1">
      <c r="A9" s="549" t="s">
        <v>247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7017.552131588347</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1025"/>
      <c r="N10" s="1025"/>
      <c r="O10" s="559">
        <f>SUM(O4:O9)</f>
        <v>0</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O29</f>
        <v>0</v>
      </c>
      <c r="C17" s="570">
        <f>B49</f>
        <v>0</v>
      </c>
      <c r="D17" s="571"/>
      <c r="E17" s="571">
        <f>E49</f>
        <v>0</v>
      </c>
      <c r="F17" s="1028"/>
      <c r="G17" s="572"/>
      <c r="H17" s="570">
        <f>I49</f>
        <v>0</v>
      </c>
      <c r="I17" s="571">
        <f>G49+F49</f>
        <v>0</v>
      </c>
      <c r="J17" s="571">
        <f>H49+D49+C49</f>
        <v>0</v>
      </c>
      <c r="K17" s="571"/>
      <c r="L17" s="571"/>
      <c r="M17" s="571"/>
      <c r="N17" s="1029"/>
      <c r="O17" s="573">
        <f>C17*$C$22+E17*$E$22+H17*$H$22+I17*$I$22+J17*$J$22+D17*$D$22+F17*$F$22+G17*$G$22+K17*$K$22+L17*$L$22</f>
        <v>0</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6">
        <f>SUM(O17:O19)</f>
        <v>0</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12.75">
      <c r="A28" s="580"/>
      <c r="B28" s="771"/>
      <c r="C28" s="771"/>
      <c r="D28" s="628"/>
      <c r="E28" s="627"/>
      <c r="F28" s="627"/>
      <c r="G28" s="627"/>
      <c r="H28" s="627"/>
      <c r="I28" s="627"/>
      <c r="J28" s="770"/>
      <c r="K28" s="770"/>
      <c r="L28" s="627"/>
      <c r="M28" s="627"/>
      <c r="N28" s="627"/>
      <c r="O28" s="627"/>
      <c r="P28" s="627"/>
      <c r="Q28" s="627"/>
      <c r="R28" s="627"/>
      <c r="S28" s="627"/>
      <c r="T28" s="627"/>
      <c r="U28" s="627"/>
      <c r="V28" s="627"/>
      <c r="W28" s="627"/>
      <c r="X28" s="627"/>
      <c r="Y28" s="627"/>
      <c r="Z28" s="629"/>
    </row>
    <row r="29" spans="1:26" s="565" customFormat="1">
      <c r="A29" s="583" t="s">
        <v>279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5" customFormat="1">
      <c r="A30" s="583" t="s">
        <v>286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5" customFormat="1">
      <c r="A31" s="583" t="s">
        <v>287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5" customFormat="1" ht="15.75" thickBot="1">
      <c r="A32" s="588" t="s">
        <v>288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4" customFormat="1" ht="15.75" thickBot="1">
      <c r="A33" s="593"/>
      <c r="B33" s="594"/>
      <c r="C33" s="594"/>
      <c r="D33" s="594"/>
      <c r="E33" s="594"/>
      <c r="F33" s="594"/>
      <c r="G33" s="594"/>
      <c r="H33" s="594"/>
      <c r="I33" s="594"/>
      <c r="J33" s="594"/>
      <c r="K33" s="594"/>
      <c r="L33" s="577"/>
      <c r="M33" s="577"/>
      <c r="N33" s="577"/>
      <c r="O33" s="578"/>
      <c r="P33" s="578"/>
    </row>
    <row r="34" spans="1:27" s="534" customFormat="1" ht="45">
      <c r="A34" s="595" t="s">
        <v>280</v>
      </c>
      <c r="B34" s="624" t="s">
        <v>89</v>
      </c>
      <c r="C34" s="624" t="s">
        <v>90</v>
      </c>
      <c r="D34" s="624" t="s">
        <v>91</v>
      </c>
      <c r="E34" s="624" t="s">
        <v>92</v>
      </c>
      <c r="F34" s="624" t="s">
        <v>93</v>
      </c>
      <c r="G34" s="624" t="s">
        <v>94</v>
      </c>
      <c r="H34" s="624" t="s">
        <v>95</v>
      </c>
      <c r="I34" s="624" t="s">
        <v>96</v>
      </c>
      <c r="J34" s="624" t="s">
        <v>97</v>
      </c>
      <c r="K34" s="624" t="s">
        <v>98</v>
      </c>
      <c r="L34" s="624" t="s">
        <v>99</v>
      </c>
      <c r="M34" s="625" t="s">
        <v>297</v>
      </c>
      <c r="N34" s="625" t="s">
        <v>100</v>
      </c>
      <c r="O34" s="625" t="s">
        <v>101</v>
      </c>
      <c r="P34" s="625" t="s">
        <v>543</v>
      </c>
      <c r="Q34" s="625" t="s">
        <v>102</v>
      </c>
      <c r="R34" s="625" t="s">
        <v>103</v>
      </c>
      <c r="S34" s="625" t="s">
        <v>104</v>
      </c>
      <c r="T34" s="625" t="s">
        <v>105</v>
      </c>
      <c r="U34" s="625" t="s">
        <v>106</v>
      </c>
      <c r="V34" s="625" t="s">
        <v>107</v>
      </c>
      <c r="W34" s="624" t="s">
        <v>108</v>
      </c>
      <c r="X34" s="624" t="s">
        <v>298</v>
      </c>
      <c r="Y34" s="624" t="s">
        <v>109</v>
      </c>
      <c r="Z34" s="626" t="s">
        <v>299</v>
      </c>
    </row>
    <row r="35" spans="1:27" s="596" customFormat="1" ht="12.75">
      <c r="A35" s="582"/>
      <c r="B35" s="771"/>
      <c r="C35" s="771"/>
      <c r="D35" s="630"/>
      <c r="E35" s="630"/>
      <c r="F35" s="630"/>
      <c r="G35" s="630"/>
      <c r="H35" s="630"/>
      <c r="I35" s="630"/>
      <c r="J35" s="770"/>
      <c r="K35" s="770"/>
      <c r="L35" s="630"/>
      <c r="M35" s="630"/>
      <c r="N35" s="630"/>
      <c r="O35" s="630"/>
      <c r="P35" s="630"/>
      <c r="Q35" s="630"/>
      <c r="R35" s="630"/>
      <c r="S35" s="630"/>
      <c r="T35" s="630"/>
      <c r="U35" s="630"/>
      <c r="V35" s="630"/>
      <c r="W35" s="630"/>
      <c r="X35" s="630"/>
      <c r="Y35" s="630"/>
      <c r="Z35" s="631"/>
    </row>
    <row r="36" spans="1:27" s="565" customFormat="1">
      <c r="A36" s="583" t="s">
        <v>279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5" customFormat="1">
      <c r="A37" s="583" t="s">
        <v>286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5" customFormat="1">
      <c r="A38" s="583" t="s">
        <v>287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5" customFormat="1" ht="15.75" thickBot="1">
      <c r="A39" s="588" t="s">
        <v>288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281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282</v>
      </c>
      <c r="C44" s="607" t="s">
        <v>283</v>
      </c>
      <c r="D44" s="607"/>
      <c r="E44" s="607"/>
      <c r="F44" s="607"/>
      <c r="G44" s="607"/>
      <c r="H44" s="607"/>
      <c r="I44" s="608"/>
      <c r="J44" s="607"/>
      <c r="K44" s="607"/>
      <c r="L44" s="607"/>
      <c r="M44" s="607"/>
      <c r="N44" s="607"/>
      <c r="O44" s="607"/>
      <c r="P44" s="602"/>
    </row>
    <row r="45" spans="1:27">
      <c r="A45" s="604" t="s">
        <v>279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543</v>
      </c>
      <c r="C47" s="617" t="s">
        <v>102</v>
      </c>
      <c r="D47" s="617" t="s">
        <v>103</v>
      </c>
      <c r="E47" s="617" t="s">
        <v>104</v>
      </c>
      <c r="F47" s="617" t="s">
        <v>105</v>
      </c>
      <c r="G47" s="617" t="s">
        <v>106</v>
      </c>
      <c r="H47" s="617" t="s">
        <v>107</v>
      </c>
      <c r="I47" s="618" t="s">
        <v>108</v>
      </c>
      <c r="J47" s="607"/>
      <c r="K47" s="607"/>
      <c r="L47" s="615"/>
      <c r="M47" s="615"/>
      <c r="N47" s="615"/>
      <c r="O47" s="602"/>
      <c r="P47" s="602"/>
    </row>
    <row r="48" spans="1:27">
      <c r="A48" s="606" t="s">
        <v>284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285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2020-06-20T16:01:11Z</dcterms:modified>
</cp:coreProperties>
</file>