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49" i="18"/>
  <c r="V49" i="18"/>
  <c r="U49" i="18"/>
  <c r="T49" i="18"/>
  <c r="S49" i="18"/>
  <c r="R49" i="18"/>
  <c r="Q49" i="18"/>
  <c r="P49" i="18"/>
  <c r="O49" i="18"/>
  <c r="N49" i="18"/>
  <c r="M49" i="18"/>
  <c r="W48" i="18"/>
  <c r="V48" i="18"/>
  <c r="U48" i="18"/>
  <c r="T48" i="18"/>
  <c r="S48" i="18"/>
  <c r="R48" i="18"/>
  <c r="Q48" i="18"/>
  <c r="P48" i="18"/>
  <c r="O48" i="18"/>
  <c r="N48" i="18"/>
  <c r="M48" i="18"/>
  <c r="W47" i="18"/>
  <c r="V47" i="18"/>
  <c r="U47" i="18"/>
  <c r="T47" i="18"/>
  <c r="S47" i="18"/>
  <c r="R47" i="18"/>
  <c r="Q47" i="18"/>
  <c r="P47" i="18"/>
  <c r="O47" i="18"/>
  <c r="N47" i="18"/>
  <c r="M47" i="18"/>
  <c r="W46" i="18"/>
  <c r="V46" i="18"/>
  <c r="U46" i="18"/>
  <c r="T46" i="18"/>
  <c r="I9" i="18" s="1"/>
  <c r="S46" i="18"/>
  <c r="E9" i="18" s="1"/>
  <c r="R46" i="18"/>
  <c r="Q46" i="18"/>
  <c r="P46" i="18"/>
  <c r="C9" i="18" s="1"/>
  <c r="O46" i="18"/>
  <c r="N46" i="18"/>
  <c r="B9" i="18" s="1"/>
  <c r="M46" i="18"/>
  <c r="W41" i="18"/>
  <c r="V41" i="18"/>
  <c r="U41" i="18"/>
  <c r="T41" i="18"/>
  <c r="S41" i="18"/>
  <c r="F6" i="17" s="1"/>
  <c r="R41" i="18"/>
  <c r="Q41" i="18"/>
  <c r="P41" i="18"/>
  <c r="O41" i="18"/>
  <c r="N41" i="18"/>
  <c r="M41" i="18"/>
  <c r="W40" i="18"/>
  <c r="V40" i="18"/>
  <c r="U40" i="18"/>
  <c r="T40" i="18"/>
  <c r="S40" i="18"/>
  <c r="F13" i="15" s="1"/>
  <c r="R40" i="18"/>
  <c r="Q40" i="18"/>
  <c r="P40" i="18"/>
  <c r="O40" i="18"/>
  <c r="C13" i="15" s="1"/>
  <c r="N40" i="18"/>
  <c r="M40" i="18"/>
  <c r="W39" i="18"/>
  <c r="V39" i="18"/>
  <c r="U39" i="18"/>
  <c r="T39" i="18"/>
  <c r="S39" i="18"/>
  <c r="R39" i="18"/>
  <c r="Q39" i="18"/>
  <c r="P39" i="18"/>
  <c r="O39" i="18"/>
  <c r="N39" i="18"/>
  <c r="M39" i="18"/>
  <c r="W38" i="18"/>
  <c r="V38" i="18"/>
  <c r="U38" i="18"/>
  <c r="T38" i="18"/>
  <c r="S38" i="18"/>
  <c r="R38" i="18"/>
  <c r="Q38" i="18"/>
  <c r="P38" i="18"/>
  <c r="O38" i="18"/>
  <c r="B17" i="18" s="1"/>
  <c r="N38" i="18"/>
  <c r="B8" i="18" s="1"/>
  <c r="M38"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D13" i="15"/>
  <c r="L6" i="17"/>
  <c r="F20" i="18"/>
  <c r="N6" i="17"/>
  <c r="E10" i="59"/>
  <c r="B55" i="18"/>
  <c r="C59" i="18" s="1"/>
  <c r="C6" i="17"/>
  <c r="J9" i="18"/>
  <c r="J77" i="14" s="1"/>
  <c r="J9" i="59" s="1"/>
  <c r="K20" i="18"/>
  <c r="L10" i="59"/>
  <c r="B16" i="16"/>
  <c r="C55" i="18"/>
  <c r="E5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59" i="18" l="1"/>
  <c r="H17" i="18" s="1"/>
  <c r="Q14" i="48"/>
  <c r="D59" i="18"/>
  <c r="H59" i="18"/>
  <c r="J17" i="18" s="1"/>
  <c r="J87" i="14" s="1"/>
  <c r="E59" i="18"/>
  <c r="E17" i="18" s="1"/>
  <c r="E20" i="18" s="1"/>
  <c r="G78" i="14"/>
  <c r="B58" i="18"/>
  <c r="C8" i="18" s="1"/>
  <c r="D76" i="14" s="1"/>
  <c r="D8" i="59" s="1"/>
  <c r="D10" i="59" s="1"/>
  <c r="H58" i="18"/>
  <c r="F58" i="18"/>
  <c r="C58" i="18"/>
  <c r="I58" i="18"/>
  <c r="H8" i="18" s="1"/>
  <c r="M76" i="14" s="1"/>
  <c r="D58" i="18"/>
  <c r="B59" i="18"/>
  <c r="C17" i="18" s="1"/>
  <c r="D87" i="14" s="1"/>
  <c r="D17" i="59" s="1"/>
  <c r="D20" i="59" s="1"/>
  <c r="F59" i="18"/>
  <c r="O9" i="18"/>
  <c r="G59" i="18"/>
  <c r="G5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P4" i="48" l="1"/>
  <c r="P22" i="48" s="1"/>
  <c r="Q11" i="14"/>
  <c r="D4" i="48"/>
  <c r="D22" i="48" s="1"/>
  <c r="E11" i="14"/>
  <c r="B4" i="48"/>
  <c r="C11" i="14"/>
  <c r="O4" i="48"/>
  <c r="O22" i="48" s="1"/>
  <c r="P11" i="14"/>
  <c r="B7" i="48"/>
  <c r="C24" i="14"/>
  <c r="C26" i="14" s="1"/>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O22" i="16" l="1"/>
  <c r="P43" i="14" s="1"/>
  <c r="O8" i="48"/>
  <c r="O26" i="48" s="1"/>
  <c r="P13" i="14"/>
  <c r="P46" i="14"/>
  <c r="P61" i="14" s="1"/>
  <c r="P63" i="14" s="1"/>
  <c r="F24" i="14"/>
  <c r="F26" i="14" s="1"/>
  <c r="E7" i="48"/>
  <c r="E25" i="48" s="1"/>
  <c r="Q63" i="14"/>
  <c r="P16" i="14"/>
  <c r="P27" i="14" s="1"/>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N22" i="14" l="1"/>
  <c r="N27" i="14" s="1"/>
  <c r="N63" i="14" s="1"/>
  <c r="H22" i="14"/>
  <c r="H27" i="14" s="1"/>
  <c r="F10" i="14"/>
  <c r="E5"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6" i="14" l="1"/>
  <c r="F27" i="14" s="1"/>
  <c r="F63" i="14" s="1"/>
  <c r="E23" i="48"/>
  <c r="E8" i="48"/>
  <c r="E26" i="48" s="1"/>
  <c r="E33" i="48" s="1"/>
  <c r="F13" i="14"/>
  <c r="J22" i="16"/>
  <c r="K43" i="14" s="1"/>
  <c r="K46" i="14" s="1"/>
  <c r="K61" i="14" s="1"/>
  <c r="K63" i="14" s="1"/>
  <c r="K13" i="14"/>
  <c r="K16" i="14" s="1"/>
  <c r="K27" i="14" s="1"/>
  <c r="J8" i="48"/>
  <c r="G33" i="48"/>
  <c r="I22" i="14"/>
  <c r="I27" i="14" s="1"/>
  <c r="I63" i="14" s="1"/>
  <c r="R20" i="14"/>
  <c r="R22" i="14" s="1"/>
  <c r="H27" i="48"/>
  <c r="H33" i="48" s="1"/>
  <c r="H15" i="48"/>
  <c r="O13" i="14"/>
  <c r="N8" i="48"/>
  <c r="N26" i="48" s="1"/>
  <c r="F8" i="48"/>
  <c r="G13" i="14"/>
  <c r="E15" i="48" l="1"/>
  <c r="J26" i="48"/>
  <c r="J33" i="48" s="1"/>
  <c r="J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<sst xmlns="http://schemas.openxmlformats.org/spreadsheetml/2006/main" count="2542" uniqueCount="956">
  <si>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</si>
  <si>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</si>
  <si>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</si>
  <si>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</si>
  <si>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</si>
  <si>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</si>
  <si>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</si>
  <si>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</si>
  <si>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</si>
  <si>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</si>
  <si>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</si>
  <si>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</si>
  <si>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</si>
  <si>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</si>
  <si>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</si>
  <si>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</si>
  <si>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</si>
  <si>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</si>
  <si>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</si>
  <si>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</si>
  <si>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</si>
  <si>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</si>
  <si>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</si>
  <si>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</si>
  <si>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</si>
  <si>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</si>
  <si>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</si>
  <si>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</si>
  <si>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</si>
  <si>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</si>
  <si>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</si>
  <si>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</si>
  <si>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</si>
  <si>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</si>
  <si>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</si>
  <si>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</si>
  <si>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</si>
  <si>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</si>
  <si>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</si>
  <si>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</si>
  <si>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</si>
  <si>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</si>
  <si>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</si>
  <si>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</si>
  <si>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</si>
  <si>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</si>
  <si>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</si>
  <si>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</si>
  <si>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</si>
  <si>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</si>
  <si>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</si>
  <si>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</si>
  <si>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</si>
  <si>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</si>
  <si>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</si>
  <si>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</si>
  <si>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</si>
  <si>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</si>
  <si>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</si>
  <si>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</si>
  <si>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</si>
  <si>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</si>
  <si>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</si>
  <si>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</si>
  <si>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</si>
  <si>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</si>
  <si>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</si>
  <si>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</si>
  <si>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</si>
  <si>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</si>
  <si>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</si>
  <si>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</si>
  <si>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</si>
  <si>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</si>
  <si>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</si>
  <si>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</si>
  <si>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</si>
  <si>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</si>
  <si>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</si>
  <si>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</si>
  <si>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</si>
  <si>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</si>
  <si>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</si>
  <si>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</si>
  <si>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</si>
  <si>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</si>
  <si>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</si>
  <si>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</si>
  <si>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</si>
  <si>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</si>
  <si>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</si>
  <si>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</si>
  <si>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</si>
  <si>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</si>
  <si>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</si>
  <si>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</si>
  <si>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</si>
  <si>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</si>
  <si>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</si>
  <si>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</si>
  <si>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</si>
  <si>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</si>
  <si>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</si>
  <si>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</si>
  <si>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</si>
  <si>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</si>
  <si>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</si>
  <si>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</si>
  <si>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</si>
  <si>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</si>
  <si>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</si>
  <si>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</si>
  <si>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</si>
  <si>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</si>
  <si>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</si>
  <si>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</si>
  <si>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</si>
  <si>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</si>
  <si>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</si>
  <si>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</si>
  <si>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</si>
  <si>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</si>
  <si>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</si>
  <si>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</si>
  <si>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</si>
  <si>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</si>
  <si>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</si>
  <si>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</si>
  <si>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</si>
  <si>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</si>
  <si>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</si>
  <si>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</si>
  <si>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</si>
  <si>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</si>
  <si>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</si>
  <si>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</si>
  <si>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</si>
  <si>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</si>
  <si>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</si>
  <si>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</si>
  <si>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</si>
  <si>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</si>
  <si>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</si>
  <si>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</si>
  <si>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</si>
  <si>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</si>
  <si>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</si>
  <si>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</si>
  <si>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</si>
  <si>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</si>
  <si>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</si>
  <si>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</si>
  <si>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</si>
  <si>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</si>
  <si>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</si>
  <si>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</si>
  <si>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</si>
  <si>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</si>
  <si>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</si>
  <si>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</si>
  <si>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</si>
  <si>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</si>
  <si>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</si>
  <si>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</si>
  <si>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</si>
  <si>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</si>
  <si>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</si>
  <si>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</si>
  <si>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</si>
  <si>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</si>
  <si>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</si>
  <si>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</si>
  <si>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</si>
  <si>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</si>
  <si>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</si>
  <si>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</si>
  <si>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</si>
  <si>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</si>
  <si>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</si>
  <si>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</si>
  <si>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</si>
  <si>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</si>
  <si>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</si>
  <si>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</si>
  <si>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</si>
  <si>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</si>
  <si>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</si>
  <si>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</si>
  <si>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</si>
  <si>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</si>
  <si>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</si>
  <si>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</si>
  <si>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</si>
  <si>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</si>
  <si>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</si>
  <si>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</si>
  <si>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</si>
  <si>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</si>
  <si>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</si>
  <si>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</si>
  <si>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</si>
  <si>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</si>
  <si>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</si>
  <si>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</si>
  <si>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</si>
  <si>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</si>
  <si>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</si>
  <si>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</si>
  <si>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</si>
  <si>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</si>
  <si>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</si>
  <si>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</si>
  <si>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</si>
  <si>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</si>
  <si>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</si>
  <si>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</si>
  <si>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</si>
  <si>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</si>
  <si>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</si>
  <si>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</si>
  <si>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</si>
  <si>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</si>
  <si>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</si>
  <si>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</si>
  <si>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</si>
  <si>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</si>
  <si>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</si>
  <si>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</si>
  <si>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</si>
  <si>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</si>
  <si>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</si>
  <si>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</si>
  <si>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</si>
  <si>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</si>
  <si>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</si>
  <si>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</si>
  <si>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</si>
  <si>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</si>
  <si>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</si>
  <si>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</si>
  <si>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</si>
  <si>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</si>
  <si>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</si>
  <si>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</si>
  <si>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</si>
  <si>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</si>
  <si>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</si>
  <si>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</si>
  <si>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</si>
  <si>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</si>
  <si>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</si>
  <si>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</si>
  <si>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</si>
  <si>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</si>
  <si>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</si>
  <si>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</si>
  <si>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</si>
  <si>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</si>
  <si>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</si>
  <si>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</si>
  <si>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</si>
  <si>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</si>
  <si>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</si>
  <si>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</si>
  <si>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</si>
  <si>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</si>
  <si>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</si>
  <si>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</si>
  <si>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</si>
  <si>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</si>
  <si>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</si>
  <si>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</si>
  <si>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</si>
  <si>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</si>
  <si>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</si>
  <si>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</si>
  <si>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</si>
  <si>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</si>
  <si>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</si>
  <si>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</si>
  <si>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</si>
  <si>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</si>
  <si>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</si>
  <si>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</si>
  <si>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</si>
  <si>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</si>
  <si>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</si>
  <si>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</si>
  <si>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</si>
  <si>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</si>
  <si>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</si>
  <si>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</si>
  <si>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</si>
  <si>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</si>
  <si>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</si>
  <si>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</si>
  <si>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</si>
  <si>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</si>
  <si>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</si>
  <si>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</si>
  <si>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</si>
  <si>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</si>
  <si>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</si>
  <si>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</si>
  <si>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</si>
  <si>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</si>
  <si>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</si>
  <si>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</si>
  <si>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</si>
  <si>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</si>
  <si>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</si>
  <si>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</si>
  <si>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</si>
  <si>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</si>
  <si>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</si>
  <si>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</si>
  <si>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</si>
  <si>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</si>
  <si>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</si>
  <si>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</si>
  <si>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</si>
  <si>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</si>
  <si>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</si>
  <si>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</si>
  <si>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</si>
  <si>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</si>
  <si>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</si>
  <si>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</si>
  <si>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</si>
  <si>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</si>
  <si>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</si>
  <si>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</si>
  <si>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</si>
  <si>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</si>
  <si>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</si>
  <si>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</si>
  <si>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</si>
  <si>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</si>
  <si>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</si>
  <si>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</si>
  <si>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</si>
  <si>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</si>
  <si>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</si>
  <si>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</si>
  <si>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</si>
  <si>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</si>
  <si>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</si>
  <si>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</si>
  <si>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</si>
  <si>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</si>
  <si>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</si>
  <si>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</si>
  <si>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</si>
  <si>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</si>
  <si>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</si>
  <si>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</si>
  <si>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</si>
  <si>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</si>
  <si>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</si>
  <si>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</si>
  <si>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</si>
  <si>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</si>
  <si>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</si>
  <si>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</si>
  <si>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</si>
  <si>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</si>
  <si>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</si>
  <si>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</si>
  <si>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</si>
  <si>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</si>
  <si>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</si>
  <si>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</si>
  <si>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</si>
  <si>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</si>
  <si>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</si>
  <si>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</si>
  <si>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</si>
  <si>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</si>
  <si>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</si>
  <si>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</si>
  <si>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</si>
  <si>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</si>
  <si>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</si>
  <si>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</si>
  <si>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</si>
  <si>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</si>
  <si>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</si>
  <si>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</si>
  <si>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</si>
  <si>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</si>
  <si>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</si>
  <si>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</si>
  <si>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</si>
  <si>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</si>
  <si>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</si>
  <si>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</si>
  <si>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</si>
  <si>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</si>
  <si>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</si>
  <si>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</si>
  <si>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</si>
  <si>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</si>
  <si>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</si>
  <si>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</si>
  <si>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</si>
  <si>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</si>
  <si>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</si>
  <si>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</si>
  <si>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</si>
  <si>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</si>
  <si>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</si>
  <si>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</si>
  <si>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</si>
  <si>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</si>
  <si>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</si>
  <si>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</si>
  <si>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</si>
  <si>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</si>
  <si>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</si>
  <si>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</si>
  <si>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</si>
  <si>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</si>
  <si>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</si>
  <si>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</si>
  <si>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</si>
  <si>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</si>
  <si>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</si>
  <si>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</si>
  <si>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</si>
  <si>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</si>
  <si>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</si>
  <si>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</si>
  <si>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</si>
  <si>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</si>
  <si>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</si>
  <si>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</si>
  <si>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</si>
  <si>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</si>
  <si>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</si>
  <si>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</si>
  <si>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</si>
  <si>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</si>
  <si>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</si>
  <si>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</si>
  <si>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</si>
  <si>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</si>
  <si>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</si>
  <si>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</si>
  <si>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</si>
  <si>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</si>
  <si>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</si>
  <si>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</si>
  <si>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</si>
  <si>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</si>
  <si>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</si>
  <si>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</si>
  <si>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</si>
  <si>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</si>
  <si>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</si>
  <si>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</si>
  <si>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</si>
  <si>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</si>
  <si>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</si>
  <si>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</si>
  <si>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</si>
  <si>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</si>
  <si>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</si>
  <si>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</si>
  <si>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</si>
  <si>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</si>
  <si>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</si>
  <si>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</si>
  <si>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</si>
  <si>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</si>
  <si>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</si>
  <si>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</si>
  <si>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</si>
  <si>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</si>
  <si>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</si>
  <si>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</si>
  <si>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</si>
  <si>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</si>
  <si>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</si>
  <si>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</si>
  <si>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</si>
  <si>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</si>
  <si>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</si>
  <si>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</si>
  <si>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</si>
  <si>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</si>
  <si>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</si>
  <si>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</si>
  <si>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</si>
  <si>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</si>
  <si>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</si>
  <si>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</si>
  <si>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</si>
  <si>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</si>
  <si>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</si>
  <si>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</si>
  <si>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</si>
  <si>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</si>
  <si>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</si>
  <si>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</si>
  <si>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</si>
  <si>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</si>
  <si>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</si>
  <si>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</si>
  <si>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</si>
  <si>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</si>
  <si>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</si>
  <si>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</si>
  <si>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</si>
  <si>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</si>
  <si>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</si>
  <si>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</si>
  <si>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</si>
  <si>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</si>
  <si>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</si>
  <si>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</si>
  <si>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</si>
  <si>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</si>
  <si>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</si>
  <si>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</si>
  <si>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</si>
  <si>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</si>
  <si>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</si>
  <si>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</si>
  <si>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</si>
  <si>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</si>
  <si>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</si>
  <si>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</si>
  <si>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</si>
  <si>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</si>
  <si>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</si>
  <si>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</si>
  <si>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</si>
  <si>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</si>
  <si>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</si>
  <si>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</si>
  <si>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</si>
  <si>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</si>
  <si>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</si>
  <si>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</si>
  <si>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</si>
  <si>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</si>
  <si>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</si>
  <si>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</si>
  <si>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</si>
  <si>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</si>
  <si>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</si>
  <si>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</si>
  <si>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</si>
  <si>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</si>
  <si>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</si>
  <si>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</si>
  <si>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</si>
  <si>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</si>
  <si>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</si>
  <si>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</si>
  <si>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</si>
  <si>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</si>
  <si>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</si>
  <si>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</si>
  <si>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</si>
  <si>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</si>
  <si>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</si>
  <si>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</si>
  <si>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</si>
  <si>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</si>
  <si>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</si>
  <si>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</si>
  <si>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</si>
  <si>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</si>
  <si>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</si>
  <si>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</si>
  <si>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</si>
  <si>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</si>
  <si>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</si>
  <si>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</si>
  <si>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</si>
  <si>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</si>
  <si>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</si>
  <si>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</si>
  <si>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</si>
  <si>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</si>
  <si>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</si>
  <si>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</si>
  <si>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</si>
  <si>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</si>
  <si>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</si>
  <si>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</si>
  <si>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</si>
  <si>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</si>
  <si>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</si>
  <si>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</si>
  <si>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</si>
  <si>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</si>
  <si>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</si>
  <si>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</si>
  <si>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</si>
  <si>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</si>
  <si>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</si>
  <si>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</si>
  <si>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</si>
  <si>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</si>
  <si>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</si>
  <si>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</si>
  <si>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</si>
  <si>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</si>
  <si>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</si>
  <si>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</si>
  <si>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</si>
  <si>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</si>
  <si>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</si>
  <si>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</si>
  <si>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</si>
  <si>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</si>
  <si>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</si>
  <si>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</si>
  <si>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</si>
  <si>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</si>
  <si>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</si>
  <si>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</si>
  <si>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</si>
  <si>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</si>
  <si>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</si>
  <si>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</si>
  <si>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</si>
  <si>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</si>
  <si>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</si>
  <si>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</si>
  <si>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</si>
  <si>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</si>
  <si>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</si>
  <si>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</si>
  <si>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</si>
  <si>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</si>
  <si>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</si>
  <si>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</si>
  <si>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</si>
  <si>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</si>
  <si>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</si>
  <si>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</si>
  <si>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</si>
  <si>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</si>
  <si>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</si>
  <si>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</si>
  <si>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</si>
  <si>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</si>
  <si>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</si>
  <si>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</si>
  <si>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</si>
  <si>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</si>
  <si>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</si>
  <si>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</si>
  <si>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</si>
  <si>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</si>
  <si>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</si>
  <si>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</si>
  <si>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</si>
  <si>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</si>
  <si>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</si>
  <si>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</si>
  <si>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</si>
  <si>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</si>
  <si>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</si>
  <si>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</si>
  <si>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</si>
  <si>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</si>
  <si>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</si>
  <si>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</si>
  <si>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</si>
  <si>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</si>
  <si>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</si>
  <si>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</si>
  <si>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</si>
  <si>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</si>
  <si>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</si>
  <si>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</si>
  <si>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</si>
  <si>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</si>
  <si>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</si>
  <si>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</si>
  <si>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</si>
  <si>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</si>
  <si>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</si>
  <si>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</si>
  <si>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</si>
  <si>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</si>
  <si>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</si>
  <si>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</si>
  <si>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</si>
  <si>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</si>
  <si>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</si>
  <si>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</si>
  <si>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</si>
  <si>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</si>
  <si>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</si>
  <si>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</si>
  <si>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</si>
  <si>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</si>
  <si>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</si>
  <si>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</si>
  <si>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</si>
  <si>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</si>
  <si>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</si>
  <si>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</si>
  <si>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</si>
  <si>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</si>
  <si>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</si>
  <si>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</si>
  <si>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</si>
  <si>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</si>
  <si>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</si>
  <si>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</si>
  <si>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</si>
  <si>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</si>
  <si>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</si>
  <si>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</si>
  <si>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</si>
  <si>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</si>
  <si>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</si>
  <si>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</si>
  <si>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</si>
  <si>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</si>
  <si>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</si>
  <si>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</si>
  <si>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</si>
  <si>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</si>
  <si>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</si>
  <si>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</si>
  <si>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</si>
  <si>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</si>
  <si>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</si>
  <si>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</si>
  <si>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</si>
  <si>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</si>
  <si>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</si>
  <si>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</si>
  <si>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</si>
  <si>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</si>
  <si>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</si>
  <si>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</si>
  <si>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</si>
  <si>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</si>
  <si>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</si>
  <si>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</si>
  <si>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</si>
  <si>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</si>
  <si>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</si>
  <si>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</si>
  <si>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</si>
  <si>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</si>
  <si>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</si>
  <si>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</si>
  <si>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</si>
  <si>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</si>
  <si>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</si>
  <si>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</si>
  <si>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</si>
  <si>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</si>
  <si>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</si>
  <si>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</si>
  <si>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</si>
  <si>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</si>
  <si>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</si>
  <si>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</si>
  <si>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</si>
  <si>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</si>
  <si>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</si>
  <si>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</si>
  <si>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</si>
  <si>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</si>
  <si>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</si>
  <si>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</si>
  <si>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</si>
  <si>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</si>
  <si>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</si>
  <si>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</si>
  <si>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</si>
  <si>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</si>
  <si>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</si>
  <si>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</si>
  <si>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</si>
  <si>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</si>
  <si>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</si>
  <si>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</si>
  <si>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</si>
  <si>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</si>
  <si>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</si>
  <si>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</si>
  <si>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</si>
  <si>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</si>
  <si>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</si>
  <si>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</si>
  <si>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</si>
  <si>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</si>
  <si>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</si>
  <si>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</si>
  <si>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</si>
  <si>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</si>
  <si>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</si>
  <si>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</si>
  <si>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</si>
  <si>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</si>
  <si>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</si>
  <si>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</si>
  <si>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</si>
  <si>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</si>
  <si>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</si>
  <si>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</si>
  <si>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</si>
  <si>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</si>
  <si>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</si>
  <si>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</si>
  <si>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</si>
  <si>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</si>
  <si>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</si>
  <si>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</si>
  <si>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</si>
  <si>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</si>
  <si>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</si>
  <si>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</si>
  <si>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</si>
  <si>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</si>
  <si>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</si>
  <si>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</si>
  <si>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</si>
  <si>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</si>
  <si>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</si>
  <si>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</si>
  <si>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</si>
  <si>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</si>
  <si>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</si>
  <si>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</si>
  <si>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</si>
  <si>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</si>
  <si>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</si>
  <si>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</si>
  <si>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</si>
  <si>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</si>
  <si>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</si>
  <si>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</si>
  <si>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</si>
  <si>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</si>
  <si>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</si>
  <si>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</si>
  <si>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</si>
  <si>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</si>
  <si>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</si>
  <si>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</si>
  <si>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</si>
  <si>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</si>
  <si>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</si>
  <si>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</si>
  <si>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</si>
  <si>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</si>
  <si>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</si>
  <si>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</si>
  <si>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</si>
  <si>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</si>
  <si>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</si>
  <si>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</si>
  <si>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</si>
  <si>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</si>
  <si>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</si>
  <si>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</si>
  <si>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</si>
  <si>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</si>
  <si>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</si>
  <si>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</si>
  <si>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</si>
  <si>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</si>
  <si>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</si>
  <si>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</si>
  <si>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</si>
  <si>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</si>
  <si>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</si>
  <si>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</si>
  <si>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</si>
  <si>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</si>
  <si>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</si>
  <si>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</si>
  <si>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</si>
  <si>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</si>
  <si>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</si>
  <si>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</si>
  <si>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</si>
  <si>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</si>
  <si>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</si>
  <si>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</si>
  <si>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</si>
  <si>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</si>
  <si>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</si>
  <si>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</si>
  <si>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</si>
  <si>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</si>
  <si>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</si>
  <si>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</si>
  <si>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</si>
  <si>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</si>
  <si>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</si>
  <si>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</si>
  <si>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</si>
  <si>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</si>
  <si>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</si>
  <si>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11002</t>
  </si>
  <si>
    <t>ANTWERPEN</t>
  </si>
  <si>
    <t>Paarden&amp;pony's 200 - 600 kg</t>
  </si>
  <si>
    <t>Paarden&amp;pony's &lt; 200 kg</t>
  </si>
  <si>
    <t>Fluvius</t>
  </si>
  <si>
    <t>referentietaak LNE (2017); Jaarverslag De Lijn</t>
  </si>
  <si>
    <t>Sint-Vincentius Ziekenhuis VZW</t>
  </si>
  <si>
    <t>Sint-Vincentiusstraat 20, 2018 Antwerpen</t>
  </si>
  <si>
    <t>WKK-0087 Sint-Vincentius</t>
  </si>
  <si>
    <t>interne verbrandingsmotor</t>
  </si>
  <si>
    <t>WKK interne verbrandinsgmotor (gas)</t>
  </si>
  <si>
    <t>IMEA</t>
  </si>
  <si>
    <t>AAK Belgium nv</t>
  </si>
  <si>
    <t>Borrewaterstraat 182 , 2170 Merksem</t>
  </si>
  <si>
    <t>WKK-0152 AAK Belgium</t>
  </si>
  <si>
    <t>Ziekenhuisnetwerk Antwerpen vzw</t>
  </si>
  <si>
    <t>Lindendreef 1 , 2020 Antwerpen</t>
  </si>
  <si>
    <t>WKK-0299 ZNA Middelheim</t>
  </si>
  <si>
    <t>AZ Monica Antwerpen</t>
  </si>
  <si>
    <t>Harmoniestraat 68 , 2018 Antwerpen</t>
  </si>
  <si>
    <t>WKK-0332 AZ Monica Antwerpen</t>
  </si>
  <si>
    <t>Stad Antwerpen</t>
  </si>
  <si>
    <t>Grote Markt 1 , 2000 Antwerpen</t>
  </si>
  <si>
    <t>WKK-0449 Zwembad Merksem</t>
  </si>
  <si>
    <t>Van Heybeeckstraat 9 , 2170 Merksem</t>
  </si>
  <si>
    <t>WKK-0448 Zwembad Ieperman</t>
  </si>
  <si>
    <t>Doornstraat 3 b, 2610 Wilrijk</t>
  </si>
  <si>
    <t>WKK-0447 Zwembad Wezenberg</t>
  </si>
  <si>
    <t>Desguinlei 17-19 , 2018 Antwerpen</t>
  </si>
  <si>
    <t>WKK-0549 Zwembad &amp; Sporthal Sorghvliedt</t>
  </si>
  <si>
    <t>Krijgsbaan 20 , 2660 Hoboken</t>
  </si>
  <si>
    <t>IVEG</t>
  </si>
  <si>
    <t>WKK-0630 Zwembad Plantin &amp; Moretus</t>
  </si>
  <si>
    <t>Plantin en Moretuslei 343 , 2140 Borgerhout</t>
  </si>
  <si>
    <t>Cuypers &amp; Q Architecten bvba</t>
  </si>
  <si>
    <t>Bogaardestraat 10-12 , 2000 Antwerpen</t>
  </si>
  <si>
    <t>WKK-0595 Cuypers &amp; Q Architecten</t>
  </si>
  <si>
    <t>Bogaardestraat 10 , 2000 Antwerpen</t>
  </si>
  <si>
    <t>Aquafin NV</t>
  </si>
  <si>
    <t>Dijkstraat 8 , 2630 Aartselaar</t>
  </si>
  <si>
    <t>BGS-0034 RWZI Antwerpen-Zuid (GSC rest)</t>
  </si>
  <si>
    <t>biogas - RWZI</t>
  </si>
  <si>
    <t>niet WKK interne verbrandingsmotor (gas)</t>
  </si>
  <si>
    <t>Kielsbroek 5 , 2020 Antwerpen</t>
  </si>
  <si>
    <t>Hooge Maey</t>
  </si>
  <si>
    <t>Moerstraat 99 Haven 550, 2030 Antwerpen</t>
  </si>
  <si>
    <t>BGS-0033 Hooge Maey Stort</t>
  </si>
  <si>
    <t>biogas - stortgas</t>
  </si>
  <si>
    <t>Moerstraat 55 Haven 550, 2030 Antwerpen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</si>
</sst>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3001294.755568645</c:v>
                </c:pt>
                <c:pt idx="1">
                  <c:v>2797589.5477863266</c:v>
                </c:pt>
                <c:pt idx="2">
                  <c:v>29431.967000000001</c:v>
                </c:pt>
                <c:pt idx="3">
                  <c:v>104228.62186412943</c:v>
                </c:pt>
                <c:pt idx="4">
                  <c:v>985752.59457424574</c:v>
                </c:pt>
                <c:pt idx="5">
                  <c:v>2965701.8021202013</c:v>
                </c:pt>
                <c:pt idx="6">
                  <c:v>84129.711682256806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3001294.755568645</c:v>
                </c:pt>
                <c:pt idx="1">
                  <c:v>2797589.5477863266</c:v>
                </c:pt>
                <c:pt idx="2">
                  <c:v>29431.967000000001</c:v>
                </c:pt>
                <c:pt idx="3">
                  <c:v>104228.62186412943</c:v>
                </c:pt>
                <c:pt idx="4">
                  <c:v>985752.59457424574</c:v>
                </c:pt>
                <c:pt idx="5">
                  <c:v>2965701.8021202013</c:v>
                </c:pt>
                <c:pt idx="6">
                  <c:v>84129.711682256806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601225.56907107262</c:v>
                </c:pt>
                <c:pt idx="2">
                  <c:v>581552.60676401516</c:v>
                </c:pt>
                <c:pt idx="3">
                  <c:v>6107.1691002042326</c:v>
                </c:pt>
                <c:pt idx="4">
                  <c:v>25464.91689025642</c:v>
                </c:pt>
                <c:pt idx="5">
                  <c:v>207180.00850895772</c:v>
                </c:pt>
                <c:pt idx="6">
                  <c:v>743924.62489095284</c:v>
                </c:pt>
                <c:pt idx="7">
                  <c:v>19737.265480383361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601225.56907107262</c:v>
                </c:pt>
                <c:pt idx="2">
                  <c:v>581552.60676401516</c:v>
                </c:pt>
                <c:pt idx="3">
                  <c:v>6107.1691002042326</c:v>
                </c:pt>
                <c:pt idx="4">
                  <c:v>25464.91689025642</c:v>
                </c:pt>
                <c:pt idx="5">
                  <c:v>207180.00850895772</c:v>
                </c:pt>
                <c:pt idx="6">
                  <c:v>743924.62489095284</c:v>
                </c:pt>
                <c:pt idx="7">
                  <c:v>19737.265480383361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11002</v>
      </c>
      <c r="B6" s="391"/>
      <c r="C6" s="392"/>
    </row>
    <row r="7" spans="1:7" s="389" customFormat="1" ht="15.75" customHeight="1">
      <c r="A7" s="393" t="str">
        <f>txtMunicipality</f>
        <v>ANTWERPEN</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0.20750122138300278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0.20750122138300278</v>
      </c>
      <c r="C29" s="500">
        <f ca="1">'EF ele_warmte'!B22</f>
        <v>0.23764705882352943</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234742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1500</v>
      </c>
      <c r="C14" s="330"/>
      <c r="D14" s="330"/>
      <c r="E14" s="330"/>
      <c r="F14" s="330"/>
    </row>
    <row r="15" spans="1:6">
      <c r="A15" s="1305" t="s">
        <v>183</v>
      </c>
      <c r="B15" s="1306">
        <v>3</v>
      </c>
      <c r="C15" s="330"/>
      <c r="D15" s="330"/>
      <c r="E15" s="330"/>
      <c r="F15" s="330"/>
    </row>
    <row r="16" spans="1:6">
      <c r="A16" s="1305" t="s">
        <v>6</v>
      </c>
      <c r="B16" s="1306">
        <v>92</v>
      </c>
      <c r="C16" s="330"/>
      <c r="D16" s="330"/>
      <c r="E16" s="330"/>
      <c r="F16" s="330"/>
    </row>
    <row r="17" spans="1:6">
      <c r="A17" s="1305" t="s">
        <v>7</v>
      </c>
      <c r="B17" s="1306">
        <v>162</v>
      </c>
      <c r="C17" s="330"/>
      <c r="D17" s="330"/>
      <c r="E17" s="330"/>
      <c r="F17" s="330"/>
    </row>
    <row r="18" spans="1:6">
      <c r="A18" s="1305" t="s">
        <v>8</v>
      </c>
      <c r="B18" s="1306">
        <v>203</v>
      </c>
      <c r="C18" s="330"/>
      <c r="D18" s="330"/>
      <c r="E18" s="330"/>
      <c r="F18" s="330"/>
    </row>
    <row r="19" spans="1:6">
      <c r="A19" s="1305" t="s">
        <v>9</v>
      </c>
      <c r="B19" s="1306">
        <v>354</v>
      </c>
      <c r="C19" s="330"/>
      <c r="D19" s="330"/>
      <c r="E19" s="330"/>
      <c r="F19" s="330"/>
    </row>
    <row r="20" spans="1:6">
      <c r="A20" s="1305" t="s">
        <v>10</v>
      </c>
      <c r="B20" s="1306">
        <v>266</v>
      </c>
      <c r="C20" s="330"/>
      <c r="D20" s="330"/>
      <c r="E20" s="330"/>
      <c r="F20" s="330"/>
    </row>
    <row r="21" spans="1:6">
      <c r="A21" s="1305" t="s">
        <v>11</v>
      </c>
      <c r="B21" s="1306">
        <v>0</v>
      </c>
      <c r="C21" s="330"/>
      <c r="D21" s="330"/>
      <c r="E21" s="330"/>
      <c r="F21" s="330"/>
    </row>
    <row r="22" spans="1:6">
      <c r="A22" s="1305" t="s">
        <v>12</v>
      </c>
      <c r="B22" s="1306">
        <v>2</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1</v>
      </c>
      <c r="C25" s="330"/>
      <c r="D25" s="330"/>
      <c r="E25" s="330"/>
      <c r="F25" s="330"/>
    </row>
    <row r="26" spans="1:6">
      <c r="A26" s="1305" t="s">
        <v>16</v>
      </c>
      <c r="B26" s="1306">
        <v>990</v>
      </c>
      <c r="C26" s="330"/>
      <c r="D26" s="330"/>
      <c r="E26" s="330"/>
      <c r="F26" s="330"/>
    </row>
    <row r="27" spans="1:6">
      <c r="A27" s="1305" t="s">
        <v>17</v>
      </c>
      <c r="B27" s="1306">
        <v>41</v>
      </c>
      <c r="C27" s="330"/>
      <c r="D27" s="330"/>
      <c r="E27" s="330"/>
      <c r="F27" s="330"/>
    </row>
    <row r="28" spans="1:6" s="43" customFormat="1">
      <c r="A28" s="1307" t="s">
        <v>18</v>
      </c>
      <c r="B28" s="1308">
        <v>64</v>
      </c>
      <c r="C28" s="336"/>
      <c r="D28" s="336"/>
      <c r="E28" s="336"/>
      <c r="F28" s="336"/>
    </row>
    <row r="29" spans="1:6">
      <c r="A29" s="1307" t="s">
        <v>909</v>
      </c>
      <c r="B29" s="1308">
        <v>126</v>
      </c>
      <c r="C29" s="336"/>
      <c r="D29" s="336"/>
      <c r="E29" s="336"/>
      <c r="F29" s="336"/>
    </row>
    <row r="30" spans="1:6">
      <c r="A30" s="1300" t="s">
        <v>910</v>
      </c>
      <c r="B30" s="1309">
        <v>38</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3</v>
      </c>
      <c r="D35" s="1306">
        <v>1038642</v>
      </c>
      <c r="E35" s="1306">
        <v>17</v>
      </c>
      <c r="F35" s="1306">
        <v>834078</v>
      </c>
    </row>
    <row r="36" spans="1:6">
      <c r="A36" s="1305" t="s">
        <v>24</v>
      </c>
      <c r="B36" s="1305" t="s">
        <v>26</v>
      </c>
      <c r="C36" s="1306">
        <v>58</v>
      </c>
      <c r="D36" s="1306">
        <v>17134676.485884901</v>
      </c>
      <c r="E36" s="1306">
        <v>133</v>
      </c>
      <c r="F36" s="1306">
        <v>12027386</v>
      </c>
    </row>
    <row r="37" spans="1:6">
      <c r="A37" s="1305" t="s">
        <v>24</v>
      </c>
      <c r="B37" s="1305" t="s">
        <v>27</v>
      </c>
      <c r="C37" s="1306">
        <v>0</v>
      </c>
      <c r="D37" s="1306">
        <v>0</v>
      </c>
      <c r="E37" s="1306">
        <v>10</v>
      </c>
      <c r="F37" s="1306">
        <v>20148699</v>
      </c>
    </row>
    <row r="38" spans="1:6">
      <c r="A38" s="1305" t="s">
        <v>24</v>
      </c>
      <c r="B38" s="1305" t="s">
        <v>28</v>
      </c>
      <c r="C38" s="1306">
        <v>24</v>
      </c>
      <c r="D38" s="1306">
        <v>197077416.756825</v>
      </c>
      <c r="E38" s="1306">
        <v>23</v>
      </c>
      <c r="F38" s="1306">
        <v>817063.4</v>
      </c>
    </row>
    <row r="39" spans="1:6">
      <c r="A39" s="1305" t="s">
        <v>29</v>
      </c>
      <c r="B39" s="1305" t="s">
        <v>30</v>
      </c>
      <c r="C39" s="1306">
        <v>178728</v>
      </c>
      <c r="D39" s="1306">
        <v>2145648529.35584</v>
      </c>
      <c r="E39" s="1306">
        <v>235050</v>
      </c>
      <c r="F39" s="1306">
        <v>659229213.39999998</v>
      </c>
    </row>
    <row r="40" spans="1:6">
      <c r="A40" s="1305" t="s">
        <v>29</v>
      </c>
      <c r="B40" s="1305" t="s">
        <v>28</v>
      </c>
      <c r="C40" s="1306">
        <v>6</v>
      </c>
      <c r="D40" s="1306">
        <v>517908.64200532401</v>
      </c>
      <c r="E40" s="1306">
        <v>6</v>
      </c>
      <c r="F40" s="1306">
        <v>132313.4</v>
      </c>
    </row>
    <row r="41" spans="1:6">
      <c r="A41" s="1305" t="s">
        <v>31</v>
      </c>
      <c r="B41" s="1305" t="s">
        <v>32</v>
      </c>
      <c r="C41" s="1306">
        <v>1286</v>
      </c>
      <c r="D41" s="1306">
        <v>37050961.893766999</v>
      </c>
      <c r="E41" s="1306">
        <v>2711</v>
      </c>
      <c r="F41" s="1306">
        <v>44758232</v>
      </c>
    </row>
    <row r="42" spans="1:6">
      <c r="A42" s="1305" t="s">
        <v>31</v>
      </c>
      <c r="B42" s="1305" t="s">
        <v>33</v>
      </c>
      <c r="C42" s="1306">
        <v>9</v>
      </c>
      <c r="D42" s="1306">
        <v>262277.23715696699</v>
      </c>
      <c r="E42" s="1306">
        <v>29</v>
      </c>
      <c r="F42" s="1306">
        <v>738995.5</v>
      </c>
    </row>
    <row r="43" spans="1:6">
      <c r="A43" s="1305" t="s">
        <v>31</v>
      </c>
      <c r="B43" s="1305" t="s">
        <v>34</v>
      </c>
      <c r="C43" s="1306">
        <v>0</v>
      </c>
      <c r="D43" s="1306">
        <v>0</v>
      </c>
      <c r="E43" s="1306">
        <v>0</v>
      </c>
      <c r="F43" s="1306">
        <v>0</v>
      </c>
    </row>
    <row r="44" spans="1:6">
      <c r="A44" s="1305" t="s">
        <v>31</v>
      </c>
      <c r="B44" s="1305" t="s">
        <v>35</v>
      </c>
      <c r="C44" s="1306">
        <v>72</v>
      </c>
      <c r="D44" s="1306">
        <v>4506197.0060724597</v>
      </c>
      <c r="E44" s="1306">
        <v>341</v>
      </c>
      <c r="F44" s="1306">
        <v>104634596</v>
      </c>
    </row>
    <row r="45" spans="1:6">
      <c r="A45" s="1305" t="s">
        <v>31</v>
      </c>
      <c r="B45" s="1305" t="s">
        <v>36</v>
      </c>
      <c r="C45" s="1306">
        <v>0</v>
      </c>
      <c r="D45" s="1306">
        <v>0</v>
      </c>
      <c r="E45" s="1306">
        <v>27</v>
      </c>
      <c r="F45" s="1306">
        <v>8714744.5999999996</v>
      </c>
    </row>
    <row r="46" spans="1:6">
      <c r="A46" s="1305" t="s">
        <v>31</v>
      </c>
      <c r="B46" s="1305" t="s">
        <v>37</v>
      </c>
      <c r="C46" s="1306">
        <v>0</v>
      </c>
      <c r="D46" s="1306">
        <v>0</v>
      </c>
      <c r="E46" s="1306">
        <v>3</v>
      </c>
      <c r="F46" s="1306">
        <v>10553.84</v>
      </c>
    </row>
    <row r="47" spans="1:6">
      <c r="A47" s="1305" t="s">
        <v>31</v>
      </c>
      <c r="B47" s="1305" t="s">
        <v>38</v>
      </c>
      <c r="C47" s="1306">
        <v>74</v>
      </c>
      <c r="D47" s="1306">
        <v>2136025.6154950899</v>
      </c>
      <c r="E47" s="1306">
        <v>107</v>
      </c>
      <c r="F47" s="1306">
        <v>4728776</v>
      </c>
    </row>
    <row r="48" spans="1:6">
      <c r="A48" s="1305" t="s">
        <v>31</v>
      </c>
      <c r="B48" s="1305" t="s">
        <v>28</v>
      </c>
      <c r="C48" s="1306">
        <v>396</v>
      </c>
      <c r="D48" s="1306">
        <v>240690160.65309799</v>
      </c>
      <c r="E48" s="1306">
        <v>415</v>
      </c>
      <c r="F48" s="1306">
        <v>55602804</v>
      </c>
    </row>
    <row r="49" spans="1:6">
      <c r="A49" s="1305" t="s">
        <v>31</v>
      </c>
      <c r="B49" s="1305" t="s">
        <v>39</v>
      </c>
      <c r="C49" s="1306">
        <v>34</v>
      </c>
      <c r="D49" s="1306">
        <v>1336660.6715534101</v>
      </c>
      <c r="E49" s="1306">
        <v>81</v>
      </c>
      <c r="F49" s="1306">
        <v>1800187</v>
      </c>
    </row>
    <row r="50" spans="1:6">
      <c r="A50" s="1305" t="s">
        <v>31</v>
      </c>
      <c r="B50" s="1305" t="s">
        <v>40</v>
      </c>
      <c r="C50" s="1306">
        <v>227</v>
      </c>
      <c r="D50" s="1306">
        <v>23216677.322298199</v>
      </c>
      <c r="E50" s="1306">
        <v>329</v>
      </c>
      <c r="F50" s="1306">
        <v>109716883</v>
      </c>
    </row>
    <row r="51" spans="1:6">
      <c r="A51" s="1305" t="s">
        <v>41</v>
      </c>
      <c r="B51" s="1305" t="s">
        <v>42</v>
      </c>
      <c r="C51" s="1306">
        <v>80</v>
      </c>
      <c r="D51" s="1306">
        <v>21641311.590090301</v>
      </c>
      <c r="E51" s="1306">
        <v>150</v>
      </c>
      <c r="F51" s="1306">
        <v>22392949</v>
      </c>
    </row>
    <row r="52" spans="1:6">
      <c r="A52" s="1305" t="s">
        <v>41</v>
      </c>
      <c r="B52" s="1305" t="s">
        <v>28</v>
      </c>
      <c r="C52" s="1306">
        <v>27</v>
      </c>
      <c r="D52" s="1306">
        <v>633113.12073767197</v>
      </c>
      <c r="E52" s="1306">
        <v>41</v>
      </c>
      <c r="F52" s="1306">
        <v>348255.3</v>
      </c>
    </row>
    <row r="53" spans="1:6">
      <c r="A53" s="1305" t="s">
        <v>43</v>
      </c>
      <c r="B53" s="1305" t="s">
        <v>44</v>
      </c>
      <c r="C53" s="1306">
        <v>6576</v>
      </c>
      <c r="D53" s="1306">
        <v>131152466.58969</v>
      </c>
      <c r="E53" s="1306">
        <v>12050</v>
      </c>
      <c r="F53" s="1306">
        <v>43043802</v>
      </c>
    </row>
    <row r="54" spans="1:6">
      <c r="A54" s="1305" t="s">
        <v>45</v>
      </c>
      <c r="B54" s="1305" t="s">
        <v>46</v>
      </c>
      <c r="C54" s="1306">
        <v>0</v>
      </c>
      <c r="D54" s="1306">
        <v>0</v>
      </c>
      <c r="E54" s="1306">
        <v>72</v>
      </c>
      <c r="F54" s="1306">
        <v>29431967</v>
      </c>
    </row>
    <row r="55" spans="1:6">
      <c r="A55" s="1305" t="s">
        <v>45</v>
      </c>
      <c r="B55" s="1305" t="s">
        <v>28</v>
      </c>
      <c r="C55" s="1306">
        <v>0</v>
      </c>
      <c r="D55" s="1306">
        <v>0</v>
      </c>
      <c r="E55" s="1306">
        <v>0</v>
      </c>
      <c r="F55" s="1306">
        <v>0</v>
      </c>
    </row>
    <row r="56" spans="1:6">
      <c r="A56" s="1305" t="s">
        <v>47</v>
      </c>
      <c r="B56" s="1305" t="s">
        <v>28</v>
      </c>
      <c r="C56" s="1306">
        <v>374</v>
      </c>
      <c r="D56" s="1306">
        <v>8421218</v>
      </c>
      <c r="E56" s="1306">
        <v>632</v>
      </c>
      <c r="F56" s="1306">
        <v>2989126</v>
      </c>
    </row>
    <row r="57" spans="1:6">
      <c r="A57" s="1305" t="s">
        <v>48</v>
      </c>
      <c r="B57" s="1305" t="s">
        <v>49</v>
      </c>
      <c r="C57" s="1306">
        <v>1662</v>
      </c>
      <c r="D57" s="1306">
        <v>85186212.819343001</v>
      </c>
      <c r="E57" s="1306">
        <v>2578</v>
      </c>
      <c r="F57" s="1306">
        <v>69330424.388140157</v>
      </c>
    </row>
    <row r="58" spans="1:6">
      <c r="A58" s="1305" t="s">
        <v>48</v>
      </c>
      <c r="B58" s="1305" t="s">
        <v>50</v>
      </c>
      <c r="C58" s="1306">
        <v>970</v>
      </c>
      <c r="D58" s="1306">
        <v>109850065.6021056</v>
      </c>
      <c r="E58" s="1306">
        <v>1434</v>
      </c>
      <c r="F58" s="1306">
        <v>59845712</v>
      </c>
    </row>
    <row r="59" spans="1:6">
      <c r="A59" s="1305" t="s">
        <v>48</v>
      </c>
      <c r="B59" s="1305" t="s">
        <v>51</v>
      </c>
      <c r="C59" s="1306">
        <v>3784</v>
      </c>
      <c r="D59" s="1306">
        <v>159330944.66297799</v>
      </c>
      <c r="E59" s="1306">
        <v>7793</v>
      </c>
      <c r="F59" s="1306">
        <v>242378340.34842911</v>
      </c>
    </row>
    <row r="60" spans="1:6">
      <c r="A60" s="1305" t="s">
        <v>48</v>
      </c>
      <c r="B60" s="1305" t="s">
        <v>52</v>
      </c>
      <c r="C60" s="1306">
        <v>2428</v>
      </c>
      <c r="D60" s="1306">
        <v>116796381.055858</v>
      </c>
      <c r="E60" s="1306">
        <v>3070</v>
      </c>
      <c r="F60" s="1306">
        <v>94757898</v>
      </c>
    </row>
    <row r="61" spans="1:6">
      <c r="A61" s="1305" t="s">
        <v>48</v>
      </c>
      <c r="B61" s="1305" t="s">
        <v>53</v>
      </c>
      <c r="C61" s="1306">
        <v>8794</v>
      </c>
      <c r="D61" s="1306">
        <v>772019354.91862404</v>
      </c>
      <c r="E61" s="1306">
        <v>19703</v>
      </c>
      <c r="F61" s="1306">
        <v>579822507.73883164</v>
      </c>
    </row>
    <row r="62" spans="1:6">
      <c r="A62" s="1305" t="s">
        <v>48</v>
      </c>
      <c r="B62" s="1305" t="s">
        <v>54</v>
      </c>
      <c r="C62" s="1306">
        <v>787</v>
      </c>
      <c r="D62" s="1306">
        <v>169841183.496663</v>
      </c>
      <c r="E62" s="1306">
        <v>884</v>
      </c>
      <c r="F62" s="1306">
        <v>56800761.899760194</v>
      </c>
    </row>
    <row r="63" spans="1:6">
      <c r="A63" s="1305" t="s">
        <v>48</v>
      </c>
      <c r="B63" s="1305" t="s">
        <v>28</v>
      </c>
      <c r="C63" s="1306">
        <v>1138</v>
      </c>
      <c r="D63" s="1306">
        <v>168285926.25113201</v>
      </c>
      <c r="E63" s="1306">
        <v>1075</v>
      </c>
      <c r="F63" s="1306">
        <v>69721033</v>
      </c>
    </row>
    <row r="64" spans="1:6">
      <c r="A64" s="1305" t="s">
        <v>55</v>
      </c>
      <c r="B64" s="1305" t="s">
        <v>56</v>
      </c>
      <c r="C64" s="1306">
        <v>0</v>
      </c>
      <c r="D64" s="1306">
        <v>0</v>
      </c>
      <c r="E64" s="1306">
        <v>0</v>
      </c>
      <c r="F64" s="1306">
        <v>0</v>
      </c>
    </row>
    <row r="65" spans="1:6">
      <c r="A65" s="1305" t="s">
        <v>55</v>
      </c>
      <c r="B65" s="1305" t="s">
        <v>28</v>
      </c>
      <c r="C65" s="1306">
        <v>54</v>
      </c>
      <c r="D65" s="1306">
        <v>16717850.368957501</v>
      </c>
      <c r="E65" s="1306">
        <v>40</v>
      </c>
      <c r="F65" s="1306">
        <v>583369.6</v>
      </c>
    </row>
    <row r="66" spans="1:6">
      <c r="A66" s="1305" t="s">
        <v>55</v>
      </c>
      <c r="B66" s="1305" t="s">
        <v>57</v>
      </c>
      <c r="C66" s="1306">
        <v>11</v>
      </c>
      <c r="D66" s="1306">
        <v>1278490.1169454199</v>
      </c>
      <c r="E66" s="1306">
        <v>280</v>
      </c>
      <c r="F66" s="1306">
        <v>16373370</v>
      </c>
    </row>
    <row r="67" spans="1:6">
      <c r="A67" s="1307" t="s">
        <v>55</v>
      </c>
      <c r="B67" s="1307" t="s">
        <v>58</v>
      </c>
      <c r="C67" s="1306">
        <v>0</v>
      </c>
      <c r="D67" s="1306">
        <v>0</v>
      </c>
      <c r="E67" s="1306">
        <v>11</v>
      </c>
      <c r="F67" s="1306">
        <v>3188874.9</v>
      </c>
    </row>
    <row r="68" spans="1:6">
      <c r="A68" s="1300" t="s">
        <v>55</v>
      </c>
      <c r="B68" s="1300" t="s">
        <v>59</v>
      </c>
      <c r="C68" s="1309">
        <v>69</v>
      </c>
      <c r="D68" s="1309">
        <v>9672882.4202160798</v>
      </c>
      <c r="E68" s="1309">
        <v>242</v>
      </c>
      <c r="F68" s="1309">
        <v>69191743</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873073805</v>
      </c>
      <c r="E73" s="450"/>
      <c r="F73" s="330"/>
    </row>
    <row r="74" spans="1:6">
      <c r="A74" s="1305" t="s">
        <v>63</v>
      </c>
      <c r="B74" s="1305" t="s">
        <v>710</v>
      </c>
      <c r="C74" s="1319" t="s">
        <v>712</v>
      </c>
      <c r="D74" s="1320">
        <v>50833922.727516636</v>
      </c>
      <c r="E74" s="450"/>
      <c r="F74" s="330"/>
    </row>
    <row r="75" spans="1:6">
      <c r="A75" s="1305" t="s">
        <v>64</v>
      </c>
      <c r="B75" s="1305" t="s">
        <v>709</v>
      </c>
      <c r="C75" s="1319" t="s">
        <v>713</v>
      </c>
      <c r="D75" s="1320">
        <v>391623665</v>
      </c>
      <c r="E75" s="450"/>
      <c r="F75" s="330"/>
    </row>
    <row r="76" spans="1:6">
      <c r="A76" s="1305" t="s">
        <v>64</v>
      </c>
      <c r="B76" s="1305" t="s">
        <v>710</v>
      </c>
      <c r="C76" s="1319" t="s">
        <v>714</v>
      </c>
      <c r="D76" s="1320">
        <v>12169943.727516638</v>
      </c>
      <c r="E76" s="450"/>
      <c r="F76" s="330"/>
    </row>
    <row r="77" spans="1:6">
      <c r="A77" s="1305" t="s">
        <v>65</v>
      </c>
      <c r="B77" s="1305" t="s">
        <v>709</v>
      </c>
      <c r="C77" s="1319" t="s">
        <v>715</v>
      </c>
      <c r="D77" s="1320">
        <v>1603728555</v>
      </c>
      <c r="E77" s="450"/>
      <c r="F77" s="330"/>
    </row>
    <row r="78" spans="1:6">
      <c r="A78" s="1300" t="s">
        <v>65</v>
      </c>
      <c r="B78" s="1300" t="s">
        <v>710</v>
      </c>
      <c r="C78" s="1300" t="s">
        <v>716</v>
      </c>
      <c r="D78" s="1321">
        <v>308303245</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13586476.544966724</v>
      </c>
      <c r="C83" s="450"/>
      <c r="D83" s="330"/>
      <c r="E83" s="330"/>
      <c r="F83" s="330"/>
    </row>
    <row r="84" spans="1:6">
      <c r="A84" s="1300" t="s">
        <v>336</v>
      </c>
      <c r="B84" s="1321">
        <v>9511591.6915882509</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65610.176517411266</v>
      </c>
      <c r="C90" s="330"/>
      <c r="D90" s="330"/>
      <c r="E90" s="330"/>
      <c r="F90" s="330"/>
    </row>
    <row r="91" spans="1:6">
      <c r="A91" s="1305" t="s">
        <v>67</v>
      </c>
      <c r="B91" s="1306">
        <v>12955.025468064341</v>
      </c>
      <c r="C91" s="330"/>
      <c r="D91" s="330"/>
      <c r="E91" s="330"/>
      <c r="F91" s="330"/>
    </row>
    <row r="92" spans="1:6">
      <c r="A92" s="1300" t="s">
        <v>68</v>
      </c>
      <c r="B92" s="1301">
        <v>45307.104816343701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142544</v>
      </c>
      <c r="C97" s="330"/>
      <c r="D97" s="330"/>
      <c r="E97" s="330"/>
      <c r="F97" s="330"/>
    </row>
    <row r="98" spans="1:6">
      <c r="A98" s="1305" t="s">
        <v>71</v>
      </c>
      <c r="B98" s="1306">
        <v>436</v>
      </c>
      <c r="C98" s="330"/>
      <c r="D98" s="330"/>
      <c r="E98" s="330"/>
      <c r="F98" s="330"/>
    </row>
    <row r="99" spans="1:6">
      <c r="A99" s="1305" t="s">
        <v>72</v>
      </c>
      <c r="B99" s="1306">
        <v>504</v>
      </c>
      <c r="C99" s="330"/>
      <c r="D99" s="330"/>
      <c r="E99" s="330"/>
      <c r="F99" s="330"/>
    </row>
    <row r="100" spans="1:6">
      <c r="A100" s="1305" t="s">
        <v>73</v>
      </c>
      <c r="B100" s="1306">
        <v>12353</v>
      </c>
      <c r="C100" s="330"/>
      <c r="D100" s="330"/>
      <c r="E100" s="330"/>
      <c r="F100" s="330"/>
    </row>
    <row r="101" spans="1:6">
      <c r="A101" s="1305" t="s">
        <v>74</v>
      </c>
      <c r="B101" s="1306">
        <v>483</v>
      </c>
      <c r="C101" s="330"/>
      <c r="D101" s="330"/>
      <c r="E101" s="330"/>
      <c r="F101" s="330"/>
    </row>
    <row r="102" spans="1:6">
      <c r="A102" s="1305" t="s">
        <v>75</v>
      </c>
      <c r="B102" s="1306">
        <v>6918</v>
      </c>
      <c r="C102" s="330"/>
      <c r="D102" s="330"/>
      <c r="E102" s="330"/>
      <c r="F102" s="330"/>
    </row>
    <row r="103" spans="1:6">
      <c r="A103" s="1305" t="s">
        <v>76</v>
      </c>
      <c r="B103" s="1306">
        <v>1961</v>
      </c>
      <c r="C103" s="330"/>
      <c r="D103" s="330"/>
      <c r="E103" s="330"/>
      <c r="F103" s="330"/>
    </row>
    <row r="104" spans="1:6">
      <c r="A104" s="1305" t="s">
        <v>77</v>
      </c>
      <c r="B104" s="1306">
        <v>38687</v>
      </c>
      <c r="C104" s="330"/>
      <c r="D104" s="330"/>
      <c r="E104" s="330"/>
      <c r="F104" s="330"/>
    </row>
    <row r="105" spans="1:6">
      <c r="A105" s="1300" t="s">
        <v>78</v>
      </c>
      <c r="B105" s="1309">
        <v>225</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1</v>
      </c>
      <c r="C110" s="330"/>
      <c r="D110" s="330"/>
      <c r="E110" s="330"/>
      <c r="F110" s="330"/>
    </row>
    <row r="111" spans="1:6">
      <c r="A111" s="1326" t="s">
        <v>662</v>
      </c>
      <c r="B111" s="1327">
        <v>1</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16</v>
      </c>
      <c r="C123" s="1306">
        <v>60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578</v>
      </c>
      <c r="C129" s="330"/>
      <c r="D129" s="330"/>
      <c r="E129" s="330"/>
      <c r="F129" s="330"/>
    </row>
    <row r="130" spans="1:6">
      <c r="A130" s="1305" t="s">
        <v>294</v>
      </c>
      <c r="B130" s="1306">
        <v>14</v>
      </c>
      <c r="C130" s="330"/>
      <c r="D130" s="330"/>
      <c r="E130" s="330"/>
      <c r="F130" s="330"/>
    </row>
    <row r="131" spans="1:6">
      <c r="A131" s="1305" t="s">
        <v>295</v>
      </c>
      <c r="B131" s="1306">
        <v>40</v>
      </c>
      <c r="C131" s="330"/>
      <c r="D131" s="330"/>
      <c r="E131" s="330"/>
      <c r="F131" s="330"/>
    </row>
    <row r="132" spans="1:6">
      <c r="A132" s="1300" t="s">
        <v>296</v>
      </c>
      <c r="B132" s="1301">
        <v>38</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2338324.6881151632</v>
      </c>
      <c r="C3" s="43" t="s">
        <v>169</v>
      </c>
      <c r="D3" s="43"/>
      <c r="E3" s="154"/>
      <c r="F3" s="43"/>
      <c r="G3" s="43"/>
      <c r="H3" s="43"/>
      <c r="I3" s="43"/>
      <c r="J3" s="43"/>
      <c r="K3" s="96"/>
    </row>
    <row r="4" spans="1:11">
      <c r="A4" s="359" t="s">
        <v>170</v>
      </c>
      <c r="B4" s="49">
        <f>IF(ISERROR('SEAP template'!B78+'SEAP template'!C78),0,'SEAP template'!B78+'SEAP template'!C78)</f>
        <v>154458.9943018193</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2570.9104411764706</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0.20750122138300278</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3672.7292016806728</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15454.553571428572</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0.23764705882352943</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29431.967000000001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29431.967000000001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0.20750122138300278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6107.1691002042326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659361.52679999999</v>
      </c>
      <c r="C5" s="17">
        <f>IF(ISERROR('Eigen informatie GS &amp; warmtenet'!B57),0,'Eigen informatie GS &amp; warmtenet'!B57)</f>
        <v>0</v>
      </c>
      <c r="D5" s="30">
        <f>(SUM(HH_hh_gas_kWh,HH_rest_gas_kWh)/1000)*0.902</f>
        <v>1935842.1270740563</v>
      </c>
      <c r="E5" s="17">
        <f>B46*B57</f>
        <v>150309.81220610876</v>
      </c>
      <c r="F5" s="17">
        <f>B51*B62</f>
        <v>136923.69393143721</v>
      </c>
      <c r="G5" s="18"/>
      <c r="H5" s="17"/>
      <c r="I5" s="17"/>
      <c r="J5" s="17">
        <f>B50*B61+C50*C61</f>
        <v>0</v>
      </c>
      <c r="K5" s="17"/>
      <c r="L5" s="17"/>
      <c r="M5" s="17"/>
      <c r="N5" s="17">
        <f>B48*B59+C48*C59</f>
        <v>103875.5634223114</v>
      </c>
      <c r="O5" s="17">
        <f>B69*B70*B71</f>
        <v>997.40666666666664</v>
      </c>
      <c r="P5" s="17">
        <f>B77*B78*B79/1000-B77*B78*B79/1000/B80</f>
        <v>1029.5999999999999</v>
      </c>
    </row>
    <row r="6" spans="1:16">
      <c r="A6" s="16" t="s">
        <v>630</v>
      </c>
      <c r="B6" s="763">
        <f>kWh_PV_kleiner_dan_10kW</f>
        <v>12955.025468064341</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672316.55226806435</v>
      </c>
      <c r="C8" s="21">
        <f>C5</f>
        <v>0</v>
      </c>
      <c r="D8" s="21">
        <f>D5</f>
        <v>1935842.1270740563</v>
      </c>
      <c r="E8" s="21">
        <f>E5</f>
        <v>150309.81220610876</v>
      </c>
      <c r="F8" s="21">
        <f>F5</f>
        <v>136923.69393143721</v>
      </c>
      <c r="G8" s="21"/>
      <c r="H8" s="21"/>
      <c r="I8" s="21"/>
      <c r="J8" s="21">
        <f>J5</f>
        <v>0</v>
      </c>
      <c r="K8" s="21"/>
      <c r="L8" s="21">
        <f>L5</f>
        <v>0</v>
      </c>
      <c r="M8" s="21">
        <f>M5</f>
        <v>0</v>
      </c>
      <c r="N8" s="21">
        <f>N5</f>
        <v>103875.5634223114</v>
      </c>
      <c r="O8" s="21">
        <f>O5</f>
        <v>997.40666666666664</v>
      </c>
      <c r="P8" s="21">
        <f>P5</f>
        <v>1029.5999999999999</v>
      </c>
    </row>
    <row r="9" spans="1:16">
      <c r="B9" s="19"/>
      <c r="C9" s="19"/>
      <c r="D9" s="258"/>
      <c r="E9" s="19"/>
      <c r="F9" s="19"/>
      <c r="G9" s="19"/>
      <c r="H9" s="19"/>
      <c r="I9" s="19"/>
      <c r="J9" s="19"/>
      <c r="K9" s="19"/>
      <c r="L9" s="19"/>
      <c r="M9" s="19"/>
      <c r="N9" s="19"/>
      <c r="O9" s="19"/>
      <c r="P9" s="19"/>
    </row>
    <row r="10" spans="1:16">
      <c r="A10" s="24" t="s">
        <v>213</v>
      </c>
      <c r="B10" s="25">
        <f ca="1">'EF ele_warmte'!B12</f>
        <v>0.20750122138300278</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139506.50575163279</v>
      </c>
      <c r="C12" s="23">
        <f ca="1">C10*C8</f>
        <v>0</v>
      </c>
      <c r="D12" s="23">
        <f>D8*D10</f>
        <v>391040.1096689594</v>
      </c>
      <c r="E12" s="23">
        <f>E10*E8</f>
        <v>34120.32737078669</v>
      </c>
      <c r="F12" s="23">
        <f>F10*F8</f>
        <v>36558.626279693737</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142544</v>
      </c>
      <c r="C18" s="166" t="s">
        <v>110</v>
      </c>
      <c r="D18" s="228"/>
      <c r="E18" s="15"/>
    </row>
    <row r="19" spans="1:7">
      <c r="A19" s="171" t="s">
        <v>71</v>
      </c>
      <c r="B19" s="37">
        <f>aantalw2001_ander</f>
        <v>436</v>
      </c>
      <c r="C19" s="166" t="s">
        <v>110</v>
      </c>
      <c r="D19" s="229"/>
      <c r="E19" s="15"/>
    </row>
    <row r="20" spans="1:7">
      <c r="A20" s="171" t="s">
        <v>72</v>
      </c>
      <c r="B20" s="37">
        <f>aantalw2001_propaan</f>
        <v>504</v>
      </c>
      <c r="C20" s="167">
        <f>IF(ISERROR(B20/SUM($B$20,$B$21,$B$22)*100),0,B20/SUM($B$20,$B$21,$B$22)*100)</f>
        <v>3.7781109445277363</v>
      </c>
      <c r="D20" s="229"/>
      <c r="E20" s="15"/>
    </row>
    <row r="21" spans="1:7">
      <c r="A21" s="171" t="s">
        <v>73</v>
      </c>
      <c r="B21" s="37">
        <f>aantalw2001_elektriciteit</f>
        <v>12353</v>
      </c>
      <c r="C21" s="167">
        <f>IF(ISERROR(B21/SUM($B$20,$B$21,$B$22)*100),0,B21/SUM($B$20,$B$21,$B$22)*100)</f>
        <v>92.601199400299848</v>
      </c>
      <c r="D21" s="229"/>
      <c r="E21" s="15"/>
    </row>
    <row r="22" spans="1:7">
      <c r="A22" s="171" t="s">
        <v>74</v>
      </c>
      <c r="B22" s="37">
        <f>aantalw2001_hout</f>
        <v>483</v>
      </c>
      <c r="C22" s="167">
        <f>IF(ISERROR(B22/SUM($B$20,$B$21,$B$22)*100),0,B22/SUM($B$20,$B$21,$B$22)*100)</f>
        <v>3.6206896551724141</v>
      </c>
      <c r="D22" s="229"/>
      <c r="E22" s="15"/>
    </row>
    <row r="23" spans="1:7">
      <c r="A23" s="171" t="s">
        <v>75</v>
      </c>
      <c r="B23" s="37">
        <f>aantalw2001_niet_gespec</f>
        <v>6918</v>
      </c>
      <c r="C23" s="166" t="s">
        <v>110</v>
      </c>
      <c r="D23" s="228"/>
      <c r="E23" s="15"/>
    </row>
    <row r="24" spans="1:7">
      <c r="A24" s="171" t="s">
        <v>76</v>
      </c>
      <c r="B24" s="37">
        <f>aantalw2001_steenkool</f>
        <v>1961</v>
      </c>
      <c r="C24" s="166" t="s">
        <v>110</v>
      </c>
      <c r="D24" s="229"/>
      <c r="E24" s="15"/>
    </row>
    <row r="25" spans="1:7">
      <c r="A25" s="171" t="s">
        <v>77</v>
      </c>
      <c r="B25" s="37">
        <f>aantalw2001_stookolie</f>
        <v>38687</v>
      </c>
      <c r="C25" s="166" t="s">
        <v>110</v>
      </c>
      <c r="D25" s="228"/>
      <c r="E25" s="52"/>
    </row>
    <row r="26" spans="1:7">
      <c r="A26" s="171" t="s">
        <v>78</v>
      </c>
      <c r="B26" s="37">
        <f>aantalw2001_WP</f>
        <v>225</v>
      </c>
      <c r="C26" s="166" t="s">
        <v>110</v>
      </c>
      <c r="D26" s="228"/>
      <c r="E26" s="15"/>
    </row>
    <row r="27" spans="1:7" s="15" customFormat="1">
      <c r="A27" s="171"/>
      <c r="B27" s="29"/>
      <c r="C27" s="36"/>
      <c r="D27" s="228"/>
    </row>
    <row r="28" spans="1:7" s="15" customFormat="1">
      <c r="A28" s="230" t="s">
        <v>736</v>
      </c>
      <c r="B28" s="37">
        <f>aantalHuishoudens</f>
        <v>234742</v>
      </c>
      <c r="C28" s="36"/>
      <c r="D28" s="228"/>
    </row>
    <row r="29" spans="1:7" s="15" customFormat="1">
      <c r="A29" s="230" t="s">
        <v>737</v>
      </c>
      <c r="B29" s="37">
        <f>SUM(HH_hh_gas_aantal,HH_rest_gas_aantal)</f>
        <v>178734</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178734</v>
      </c>
      <c r="C32" s="167">
        <f>IF(ISERROR(B32/SUM($B$32,$B$34,$B$35,$B$36,$B$38,$B$39)*100),0,B32/SUM($B$32,$B$34,$B$35,$B$36,$B$38,$B$39)*100)</f>
        <v>76.158133351513499</v>
      </c>
      <c r="D32" s="233"/>
      <c r="G32" s="15"/>
    </row>
    <row r="33" spans="1:7">
      <c r="A33" s="171" t="s">
        <v>71</v>
      </c>
      <c r="B33" s="34" t="s">
        <v>110</v>
      </c>
      <c r="C33" s="167"/>
      <c r="D33" s="233"/>
      <c r="G33" s="15"/>
    </row>
    <row r="34" spans="1:7">
      <c r="A34" s="171" t="s">
        <v>72</v>
      </c>
      <c r="B34" s="33">
        <f>IF((($B$28-$B$32-$B$39-$B$77-$B$38)*C20/100)&lt;0,0,($B$28-$B$32-$B$39-$B$77-$B$38)*C20/100)</f>
        <v>1882.9349325337334</v>
      </c>
      <c r="C34" s="167">
        <f>IF(ISERROR(B34/SUM($B$32,$B$34,$B$35,$B$36,$B$38,$B$39)*100),0,B34/SUM($B$32,$B$34,$B$35,$B$36,$B$38,$B$39)*100)</f>
        <v>0.8023141074676734</v>
      </c>
      <c r="D34" s="233"/>
      <c r="G34" s="15"/>
    </row>
    <row r="35" spans="1:7">
      <c r="A35" s="171" t="s">
        <v>73</v>
      </c>
      <c r="B35" s="33">
        <f>IF((($B$28-$B$32-$B$39-$B$77-$B$38)*C21/100)&lt;0,0,($B$28-$B$32-$B$39-$B$77-$B$38)*C21/100)</f>
        <v>46150.585757121436</v>
      </c>
      <c r="C35" s="167">
        <f>IF(ISERROR(B35/SUM($B$32,$B$34,$B$35,$B$36,$B$38,$B$39)*100),0,B35/SUM($B$32,$B$34,$B$35,$B$36,$B$38,$B$39)*100)</f>
        <v>19.664655098309858</v>
      </c>
      <c r="D35" s="233"/>
      <c r="G35" s="15"/>
    </row>
    <row r="36" spans="1:7">
      <c r="A36" s="171" t="s">
        <v>74</v>
      </c>
      <c r="B36" s="33">
        <f>IF((($B$28-$B$32-$B$39-$B$77-$B$38)*C22/100)&lt;0,0,($B$28-$B$32-$B$39-$B$77-$B$38)*C22/100)</f>
        <v>1804.4793103448278</v>
      </c>
      <c r="C36" s="167">
        <f>IF(ISERROR(B36/SUM($B$32,$B$34,$B$35,$B$36,$B$38,$B$39)*100),0,B36/SUM($B$32,$B$34,$B$35,$B$36,$B$38,$B$39)*100)</f>
        <v>0.76888435298985369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6116</v>
      </c>
      <c r="C39" s="167">
        <f>IF(ISERROR(B39/SUM($B$32,$B$34,$B$35,$B$36,$B$38,$B$39)*100),0,B39/SUM($B$32,$B$34,$B$35,$B$36,$B$38,$B$39)*100)</f>
        <v>2.6060130897191165</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178734</v>
      </c>
      <c r="C44" s="34" t="s">
        <v>110</v>
      </c>
      <c r="D44" s="174"/>
    </row>
    <row r="45" spans="1:7">
      <c r="A45" s="171" t="s">
        <v>71</v>
      </c>
      <c r="B45" s="33" t="str">
        <f t="shared" si="0"/>
        <v>-</v>
      </c>
      <c r="C45" s="34" t="s">
        <v>110</v>
      </c>
      <c r="D45" s="174"/>
    </row>
    <row r="46" spans="1:7">
      <c r="A46" s="171" t="s">
        <v>72</v>
      </c>
      <c r="B46" s="33">
        <f t="shared" si="0"/>
        <v>1882.9349325337334</v>
      </c>
      <c r="C46" s="34" t="s">
        <v>110</v>
      </c>
      <c r="D46" s="174"/>
    </row>
    <row r="47" spans="1:7">
      <c r="A47" s="171" t="s">
        <v>73</v>
      </c>
      <c r="B47" s="33">
        <f t="shared" si="0"/>
        <v>46150.585757121436</v>
      </c>
      <c r="C47" s="34" t="s">
        <v>110</v>
      </c>
      <c r="D47" s="174"/>
    </row>
    <row r="48" spans="1:7">
      <c r="A48" s="171" t="s">
        <v>74</v>
      </c>
      <c r="B48" s="33">
        <f t="shared" si="0"/>
        <v>1804.4793103448278</v>
      </c>
      <c r="C48" s="33">
        <f>B48*10</f>
        <v>18044.793103448279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6116</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638</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54</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1172656.6773751613</v>
      </c>
      <c r="C5" s="17">
        <f>IF(ISERROR('Eigen informatie GS &amp; warmtenet'!B58),0,'Eigen informatie GS &amp; warmtenet'!B58)</f>
        <v>0</v>
      </c>
      <c r="D5" s="30">
        <f>SUM(D6:D12)</f>
        <v>1426341.6820636468</v>
      </c>
      <c r="E5" s="17">
        <f>SUM(E6:E12)</f>
        <v>9215.7108102972506</v>
      </c>
      <c r="F5" s="17">
        <f>SUM(F6:F12)</f>
        <v>165268.6302974179</v>
      </c>
      <c r="G5" s="18"/>
      <c r="H5" s="17"/>
      <c r="I5" s="17"/>
      <c r="J5" s="17">
        <f>SUM(J6:J12)</f>
        <v>0</v>
      </c>
      <c r="K5" s="17"/>
      <c r="L5" s="17"/>
      <c r="M5" s="17"/>
      <c r="N5" s="17">
        <f>SUM(N6:N12)</f>
        <v>63117.159977898998</v>
      </c>
      <c r="O5" s="17">
        <f>B38*B39*B40</f>
        <v>21.88666666666667</v>
      </c>
      <c r="P5" s="17">
        <f>B46*B47*B48/1000-B46*B47*B48/1000/B49</f>
        <v>762.66666666666674</v>
      </c>
      <c r="R5" s="32"/>
    </row>
    <row r="6" spans="1:18">
      <c r="A6" s="32" t="s">
        <v>53</v>
      </c>
      <c r="B6" s="37">
        <f>B26</f>
        <v>579822.50773883169</v>
      </c>
      <c r="C6" s="33"/>
      <c r="D6" s="37">
        <f>IF(ISERROR(TER_kantoor_gas_kWh/1000),0,TER_kantoor_gas_kWh/1000)*0.902</f>
        <v>696361.45813659893</v>
      </c>
      <c r="E6" s="33">
        <f>$C$26*'E Balans VL '!I12/100/3.6*1000000</f>
        <v>1679.8308769438638</v>
      </c>
      <c r="F6" s="33">
        <f>$C$26*('E Balans VL '!L12+'E Balans VL '!N12)/100/3.6*1000000</f>
        <v>65623.133395754849</v>
      </c>
      <c r="G6" s="34"/>
      <c r="H6" s="33"/>
      <c r="I6" s="33"/>
      <c r="J6" s="33">
        <f>$C$26*('E Balans VL '!D12+'E Balans VL '!E12)/100/3.6*1000000</f>
        <v>0</v>
      </c>
      <c r="K6" s="33"/>
      <c r="L6" s="33"/>
      <c r="M6" s="33"/>
      <c r="N6" s="33">
        <f>$C$26*'E Balans VL '!Y12/100/3.6*1000000</f>
        <v>5803.5960701666072</v>
      </c>
      <c r="O6" s="33"/>
      <c r="P6" s="33"/>
      <c r="R6" s="32"/>
    </row>
    <row r="7" spans="1:18">
      <c r="A7" s="32" t="s">
        <v>52</v>
      </c>
      <c r="B7" s="37">
        <f t="shared" ref="B7:B12" si="0">B27</f>
        <v>94757.898000000001</v>
      </c>
      <c r="C7" s="33"/>
      <c r="D7" s="37">
        <f>IF(ISERROR(TER_horeca_gas_kWh/1000),0,TER_horeca_gas_kWh/1000)*0.902</f>
        <v>105350.33571238392</v>
      </c>
      <c r="E7" s="33">
        <f>$C$27*'E Balans VL '!I9/100/3.6*1000000</f>
        <v>3977.67180970543</v>
      </c>
      <c r="F7" s="33">
        <f>$C$27*('E Balans VL '!L9+'E Balans VL '!N9)/100/3.6*1000000</f>
        <v>20360.677579014202</v>
      </c>
      <c r="G7" s="34"/>
      <c r="H7" s="33"/>
      <c r="I7" s="33"/>
      <c r="J7" s="33">
        <f>$C$27*('E Balans VL '!D9+'E Balans VL '!E9)/100/3.6*1000000</f>
        <v>0</v>
      </c>
      <c r="K7" s="33"/>
      <c r="L7" s="33"/>
      <c r="M7" s="33"/>
      <c r="N7" s="33">
        <f>$C$27*'E Balans VL '!Y9/100/3.6*1000000</f>
        <v>24.418281626719423</v>
      </c>
      <c r="O7" s="33"/>
      <c r="P7" s="33"/>
      <c r="R7" s="32"/>
    </row>
    <row r="8" spans="1:18">
      <c r="A8" s="6" t="s">
        <v>51</v>
      </c>
      <c r="B8" s="37">
        <f t="shared" si="0"/>
        <v>242378.3403484291</v>
      </c>
      <c r="C8" s="33"/>
      <c r="D8" s="37">
        <f>IF(ISERROR(TER_handel_gas_kWh/1000),0,TER_handel_gas_kWh/1000)*0.902</f>
        <v>143716.51208600617</v>
      </c>
      <c r="E8" s="33">
        <f>$C$28*'E Balans VL '!I13/100/3.6*1000000</f>
        <v>2603.3451011004249</v>
      </c>
      <c r="F8" s="33">
        <f>$C$28*('E Balans VL '!L13+'E Balans VL '!N13)/100/3.6*1000000</f>
        <v>31377.877677177839</v>
      </c>
      <c r="G8" s="34"/>
      <c r="H8" s="33"/>
      <c r="I8" s="33"/>
      <c r="J8" s="33">
        <f>$C$28*('E Balans VL '!D13+'E Balans VL '!E13)/100/3.6*1000000</f>
        <v>0</v>
      </c>
      <c r="K8" s="33"/>
      <c r="L8" s="33"/>
      <c r="M8" s="33"/>
      <c r="N8" s="33">
        <f>$C$28*'E Balans VL '!Y13/100/3.6*1000000</f>
        <v>1966.1863313392669</v>
      </c>
      <c r="O8" s="33"/>
      <c r="P8" s="33"/>
      <c r="R8" s="32"/>
    </row>
    <row r="9" spans="1:18">
      <c r="A9" s="32" t="s">
        <v>50</v>
      </c>
      <c r="B9" s="37">
        <f t="shared" si="0"/>
        <v>59845.712</v>
      </c>
      <c r="C9" s="33"/>
      <c r="D9" s="37">
        <f>IF(ISERROR(TER_gezond_gas_kWh/1000),0,TER_gezond_gas_kWh/1000)*0.902</f>
        <v>99084.759173099257</v>
      </c>
      <c r="E9" s="33">
        <f>$C$29*'E Balans VL '!I10/100/3.6*1000000</f>
        <v>47.641057468952589</v>
      </c>
      <c r="F9" s="33">
        <f>$C$29*('E Balans VL '!L10+'E Balans VL '!N10)/100/3.6*1000000</f>
        <v>7275.1111420356492</v>
      </c>
      <c r="G9" s="34"/>
      <c r="H9" s="33"/>
      <c r="I9" s="33"/>
      <c r="J9" s="33">
        <f>$C$29*('E Balans VL '!D10+'E Balans VL '!E10)/100/3.6*1000000</f>
        <v>0</v>
      </c>
      <c r="K9" s="33"/>
      <c r="L9" s="33"/>
      <c r="M9" s="33"/>
      <c r="N9" s="33">
        <f>$C$29*'E Balans VL '!Y10/100/3.6*1000000</f>
        <v>483.4178064563431</v>
      </c>
      <c r="O9" s="33"/>
      <c r="P9" s="33"/>
      <c r="R9" s="32"/>
    </row>
    <row r="10" spans="1:18">
      <c r="A10" s="32" t="s">
        <v>49</v>
      </c>
      <c r="B10" s="37">
        <f t="shared" si="0"/>
        <v>69330.424388140164</v>
      </c>
      <c r="C10" s="33"/>
      <c r="D10" s="37">
        <f>IF(ISERROR(TER_ander_gas_kWh/1000),0,TER_ander_gas_kWh/1000)*0.902</f>
        <v>76837.963963047383</v>
      </c>
      <c r="E10" s="33">
        <f>$C$30*'E Balans VL '!I14/100/3.6*1000000</f>
        <v>237.59900653178076</v>
      </c>
      <c r="F10" s="33">
        <f>$C$30*('E Balans VL '!L14+'E Balans VL '!N14)/100/3.6*1000000</f>
        <v>15485.599551726349</v>
      </c>
      <c r="G10" s="34"/>
      <c r="H10" s="33"/>
      <c r="I10" s="33"/>
      <c r="J10" s="33">
        <f>$C$30*('E Balans VL '!D14+'E Balans VL '!E14)/100/3.6*1000000</f>
        <v>0</v>
      </c>
      <c r="K10" s="33"/>
      <c r="L10" s="33"/>
      <c r="M10" s="33"/>
      <c r="N10" s="33">
        <f>$C$30*'E Balans VL '!Y14/100/3.6*1000000</f>
        <v>48836.729683710939</v>
      </c>
      <c r="O10" s="33"/>
      <c r="P10" s="33"/>
      <c r="R10" s="32"/>
    </row>
    <row r="11" spans="1:18">
      <c r="A11" s="32" t="s">
        <v>54</v>
      </c>
      <c r="B11" s="37">
        <f t="shared" si="0"/>
        <v>56800.761899760197</v>
      </c>
      <c r="C11" s="33"/>
      <c r="D11" s="37">
        <f>IF(ISERROR(TER_onderwijs_gas_kWh/1000),0,TER_onderwijs_gas_kWh/1000)*0.902</f>
        <v>153196.74751399003</v>
      </c>
      <c r="E11" s="33">
        <f>$C$31*'E Balans VL '!I11/100/3.6*1000000</f>
        <v>39.264617375511833</v>
      </c>
      <c r="F11" s="33">
        <f>$C$31*('E Balans VL '!L11+'E Balans VL '!N11)/100/3.6*1000000</f>
        <v>14868.789515175842</v>
      </c>
      <c r="G11" s="34"/>
      <c r="H11" s="33"/>
      <c r="I11" s="33"/>
      <c r="J11" s="33">
        <f>$C$31*('E Balans VL '!D11+'E Balans VL '!E11)/100/3.6*1000000</f>
        <v>0</v>
      </c>
      <c r="K11" s="33"/>
      <c r="L11" s="33"/>
      <c r="M11" s="33"/>
      <c r="N11" s="33">
        <f>$C$31*'E Balans VL '!Y11/100/3.6*1000000</f>
        <v>56.54032055970972</v>
      </c>
      <c r="O11" s="33"/>
      <c r="P11" s="33"/>
      <c r="R11" s="32"/>
    </row>
    <row r="12" spans="1:18">
      <c r="A12" s="32" t="s">
        <v>259</v>
      </c>
      <c r="B12" s="37">
        <f t="shared" si="0"/>
        <v>69721.032999999996</v>
      </c>
      <c r="C12" s="33"/>
      <c r="D12" s="37">
        <f>IF(ISERROR(TER_rest_gas_kWh/1000),0,TER_rest_gas_kWh/1000)*0.902</f>
        <v>151793.90547852108</v>
      </c>
      <c r="E12" s="33">
        <f>$C$32*'E Balans VL '!I8/100/3.6*1000000</f>
        <v>630.35834117128741</v>
      </c>
      <c r="F12" s="33">
        <f>$C$32*('E Balans VL '!L8+'E Balans VL '!N8)/100/3.6*1000000</f>
        <v>10277.441436533216</v>
      </c>
      <c r="G12" s="34"/>
      <c r="H12" s="33"/>
      <c r="I12" s="33"/>
      <c r="J12" s="33">
        <f>$C$32*('E Balans VL '!D8+'E Balans VL '!E8)/100/3.6*1000000</f>
        <v>0</v>
      </c>
      <c r="K12" s="33"/>
      <c r="L12" s="33"/>
      <c r="M12" s="33"/>
      <c r="N12" s="33">
        <f>$C$32*'E Balans VL '!Y8/100/3.6*1000000</f>
        <v>5946.2714840394092</v>
      </c>
      <c r="O12" s="33"/>
      <c r="P12" s="33"/>
      <c r="R12" s="32"/>
    </row>
    <row r="13" spans="1:18">
      <c r="A13" s="16" t="s">
        <v>493</v>
      </c>
      <c r="B13" s="247">
        <f ca="1">'lokale energieproductie'!N48+'lokale energieproductie'!N40</f>
        <v>26959.6875</v>
      </c>
      <c r="C13" s="247">
        <f ca="1">'lokale energieproductie'!O48+'lokale energieproductie'!O40</f>
        <v>10273.125</v>
      </c>
      <c r="D13" s="308">
        <f ca="1">('lokale energieproductie'!P40+'lokale energieproductie'!P48)*(-1)</f>
        <v>-20546.25</v>
      </c>
      <c r="E13" s="248"/>
      <c r="F13" s="308">
        <f ca="1">('lokale energieproductie'!S40+'lokale energieproductie'!S48)*(-1)</f>
        <v>0</v>
      </c>
      <c r="G13" s="249"/>
      <c r="H13" s="248"/>
      <c r="I13" s="248"/>
      <c r="J13" s="248"/>
      <c r="K13" s="248"/>
      <c r="L13" s="308">
        <f ca="1">('lokale energieproductie'!U40+'lokale energieproductie'!T40+'lokale energieproductie'!U48+'lokale energieproductie'!T48)*(-1)</f>
        <v>0</v>
      </c>
      <c r="M13" s="248"/>
      <c r="N13" s="308">
        <f ca="1">('lokale energieproductie'!Q40+'lokale energieproductie'!R40+'lokale energieproductie'!V40+'lokale energieproductie'!Q48+'lokale energieproductie'!R48+'lokale energieproductie'!V48)*(-1)</f>
        <v>-56481.428571428572</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1199616.3648751613</v>
      </c>
      <c r="C16" s="21">
        <f t="shared" ca="1" si="1"/>
        <v>10273.125</v>
      </c>
      <c r="D16" s="21">
        <f t="shared" ca="1" si="1"/>
        <v>1405795.4320636468</v>
      </c>
      <c r="E16" s="21">
        <f t="shared" si="1"/>
        <v>9215.7108102972506</v>
      </c>
      <c r="F16" s="21">
        <f t="shared" ca="1" si="1"/>
        <v>165268.6302974179</v>
      </c>
      <c r="G16" s="21">
        <f t="shared" si="1"/>
        <v>0</v>
      </c>
      <c r="H16" s="21">
        <f t="shared" si="1"/>
        <v>0</v>
      </c>
      <c r="I16" s="21">
        <f t="shared" si="1"/>
        <v>0</v>
      </c>
      <c r="J16" s="21">
        <f t="shared" si="1"/>
        <v>0</v>
      </c>
      <c r="K16" s="21">
        <f t="shared" si="1"/>
        <v>0</v>
      </c>
      <c r="L16" s="21">
        <f t="shared" ca="1" si="1"/>
        <v>0</v>
      </c>
      <c r="M16" s="21">
        <f t="shared" si="1"/>
        <v>0</v>
      </c>
      <c r="N16" s="21">
        <f t="shared" ca="1" si="1"/>
        <v>6635.731406470426</v>
      </c>
      <c r="O16" s="21">
        <f>O5</f>
        <v>21.88666666666667</v>
      </c>
      <c r="P16" s="21">
        <f>P5</f>
        <v>762.66666666666674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0.20750122138300278</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248921.8609026339</v>
      </c>
      <c r="C20" s="23">
        <f t="shared" ref="C20:P20" ca="1" si="2">C16*C18</f>
        <v>2441.3779411764708</v>
      </c>
      <c r="D20" s="23">
        <f t="shared" ca="1" si="2"/>
        <v>283970.67727685667</v>
      </c>
      <c r="E20" s="23">
        <f t="shared" si="2"/>
        <v>2091.966353937476</v>
      </c>
      <c r="F20" s="23">
        <f t="shared" ca="1" si="2"/>
        <v>44126.72428941058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579822.50773883169</v>
      </c>
      <c r="C26" s="39">
        <f>IF(ISERROR(B26*3.6/1000000/'E Balans VL '!Z12*100),0,B26*3.6/1000000/'E Balans VL '!Z12*100)</f>
        <v>12.736471724428577</v>
      </c>
      <c r="D26" s="237" t="s">
        <v>691</v>
      </c>
      <c r="F26" s="6"/>
    </row>
    <row r="27" spans="1:18">
      <c r="A27" s="231" t="s">
        <v>52</v>
      </c>
      <c r="B27" s="33">
        <f>IF(ISERROR(TER_horeca_ele_kWh/1000),0,TER_horeca_ele_kWh/1000)</f>
        <v>94757.898000000001</v>
      </c>
      <c r="C27" s="39">
        <f>IF(ISERROR(B27*3.6/1000000/'E Balans VL '!Z9*100),0,B27*3.6/1000000/'E Balans VL '!Z9*100)</f>
        <v>7.614741662183512</v>
      </c>
      <c r="D27" s="237" t="s">
        <v>691</v>
      </c>
      <c r="F27" s="6"/>
    </row>
    <row r="28" spans="1:18">
      <c r="A28" s="171" t="s">
        <v>51</v>
      </c>
      <c r="B28" s="33">
        <f>IF(ISERROR(TER_handel_ele_kWh/1000),0,TER_handel_ele_kWh/1000)</f>
        <v>242378.3403484291</v>
      </c>
      <c r="C28" s="39">
        <f>IF(ISERROR(B28*3.6/1000000/'E Balans VL '!Z13*100),0,B28*3.6/1000000/'E Balans VL '!Z13*100)</f>
        <v>7.1669581950391512</v>
      </c>
      <c r="D28" s="237" t="s">
        <v>691</v>
      </c>
      <c r="F28" s="6"/>
    </row>
    <row r="29" spans="1:18">
      <c r="A29" s="231" t="s">
        <v>50</v>
      </c>
      <c r="B29" s="33">
        <f>IF(ISERROR(TER_gezond_ele_kWh/1000),0,TER_gezond_ele_kWh/1000)</f>
        <v>59845.712</v>
      </c>
      <c r="C29" s="39">
        <f>IF(ISERROR(B29*3.6/1000000/'E Balans VL '!Z10*100),0,B29*3.6/1000000/'E Balans VL '!Z10*100)</f>
        <v>6.7430666623153144</v>
      </c>
      <c r="D29" s="237" t="s">
        <v>691</v>
      </c>
      <c r="F29" s="6"/>
    </row>
    <row r="30" spans="1:18">
      <c r="A30" s="231" t="s">
        <v>49</v>
      </c>
      <c r="B30" s="33">
        <f>IF(ISERROR(TER_ander_ele_kWh/1000),0,TER_ander_ele_kWh/1000)</f>
        <v>69330.424388140164</v>
      </c>
      <c r="C30" s="39">
        <f>IF(ISERROR(B30*3.6/1000000/'E Balans VL '!Z14*100),0,B30*3.6/1000000/'E Balans VL '!Z14*100)</f>
        <v>5.2433414814678798</v>
      </c>
      <c r="D30" s="237" t="s">
        <v>691</v>
      </c>
      <c r="F30" s="6"/>
    </row>
    <row r="31" spans="1:18">
      <c r="A31" s="231" t="s">
        <v>54</v>
      </c>
      <c r="B31" s="33">
        <f>IF(ISERROR(TER_onderwijs_ele_kWh/1000),0,TER_onderwijs_ele_kWh/1000)</f>
        <v>56800.761899760197</v>
      </c>
      <c r="C31" s="39">
        <f>IF(ISERROR(B31*3.6/1000000/'E Balans VL '!Z11*100),0,B31*3.6/1000000/'E Balans VL '!Z11*100)</f>
        <v>11.790519597309617</v>
      </c>
      <c r="D31" s="237" t="s">
        <v>691</v>
      </c>
    </row>
    <row r="32" spans="1:18">
      <c r="A32" s="231" t="s">
        <v>259</v>
      </c>
      <c r="B32" s="33">
        <f>IF(ISERROR(TER_rest_ele_kWh/1000),0,TER_rest_ele_kWh/1000)</f>
        <v>69721.032999999996</v>
      </c>
      <c r="C32" s="39">
        <f>IF(ISERROR(B32*3.6/1000000/'E Balans VL '!Z8*100),0,B32*3.6/1000000/'E Balans VL '!Z8*100)</f>
        <v>0.58735868753026121</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14</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40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330705.77194000001</v>
      </c>
      <c r="C5" s="17">
        <f>IF(ISERROR('Eigen informatie GS &amp; warmtenet'!B59),0,'Eigen informatie GS &amp; warmtenet'!B59)</f>
        <v>0</v>
      </c>
      <c r="D5" s="30">
        <f>SUM(D6:D15)</f>
        <v>278897.46228029591</v>
      </c>
      <c r="E5" s="17">
        <f>SUM(E6:E15)</f>
        <v>18916.280409622934</v>
      </c>
      <c r="F5" s="17">
        <f>SUM(F6:F15)</f>
        <v>288455.96829229902</v>
      </c>
      <c r="G5" s="18"/>
      <c r="H5" s="17"/>
      <c r="I5" s="17"/>
      <c r="J5" s="17">
        <f>SUM(J6:J15)</f>
        <v>2877.0319145416179</v>
      </c>
      <c r="K5" s="17"/>
      <c r="L5" s="17"/>
      <c r="M5" s="17"/>
      <c r="N5" s="17">
        <f>SUM(N6:N15)</f>
        <v>67454.508308914941</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10.553840000000001</v>
      </c>
      <c r="C7" s="33"/>
      <c r="D7" s="37">
        <f>IF( ISERROR(IND_nonf_gas_kWhh/1000),0,IND_nonf_gas_kWh/1000)*0.902</f>
        <v>0</v>
      </c>
      <c r="E7" s="33">
        <f>C29*'E Balans VL '!I17/100/3.6*1000000</f>
        <v>4.5258620483979238E-2</v>
      </c>
      <c r="F7" s="33">
        <f>C29*'E Balans VL '!L17/100/3.6*1000000+C29*'E Balans VL '!N17/100/3.6*1000000</f>
        <v>2.0926275811473332</v>
      </c>
      <c r="G7" s="34"/>
      <c r="H7" s="33"/>
      <c r="I7" s="33"/>
      <c r="J7" s="40">
        <f>C29*'E Balans VL '!D17/100/3.6*1000000+C29*'E Balans VL '!E17/100/3.6*1000000</f>
        <v>4.9537456468262873</v>
      </c>
      <c r="K7" s="33"/>
      <c r="L7" s="33"/>
      <c r="M7" s="33"/>
      <c r="N7" s="33">
        <f>C29*'E Balans VL '!Y17/100/3.6*1000000</f>
        <v>0</v>
      </c>
      <c r="O7" s="33"/>
      <c r="P7" s="33"/>
      <c r="R7" s="32"/>
    </row>
    <row r="8" spans="1:18">
      <c r="A8" s="6" t="s">
        <v>35</v>
      </c>
      <c r="B8" s="37">
        <f t="shared" si="0"/>
        <v>104634.59600000001</v>
      </c>
      <c r="C8" s="33"/>
      <c r="D8" s="37">
        <f>IF( ISERROR(IND_metaal_Gas_kWH/1000),0,IND_metaal_Gas_kWH/1000)*0.902</f>
        <v>4064.5896994773589</v>
      </c>
      <c r="E8" s="33">
        <f>C30*'E Balans VL '!I18/100/3.6*1000000</f>
        <v>2618.6377246396069</v>
      </c>
      <c r="F8" s="33">
        <f>C30*'E Balans VL '!L18/100/3.6*1000000+C30*'E Balans VL '!N18/100/3.6*1000000</f>
        <v>32793.002865647693</v>
      </c>
      <c r="G8" s="34"/>
      <c r="H8" s="33"/>
      <c r="I8" s="33"/>
      <c r="J8" s="40">
        <f>C30*'E Balans VL '!D18/100/3.6*1000000+C30*'E Balans VL '!E18/100/3.6*1000000</f>
        <v>0</v>
      </c>
      <c r="K8" s="33"/>
      <c r="L8" s="33"/>
      <c r="M8" s="33"/>
      <c r="N8" s="33">
        <f>C30*'E Balans VL '!Y18/100/3.6*1000000</f>
        <v>2628.6926019760022</v>
      </c>
      <c r="O8" s="33"/>
      <c r="P8" s="33"/>
      <c r="R8" s="32"/>
    </row>
    <row r="9" spans="1:18">
      <c r="A9" s="6" t="s">
        <v>32</v>
      </c>
      <c r="B9" s="37">
        <f t="shared" si="0"/>
        <v>44758.232000000004</v>
      </c>
      <c r="C9" s="33"/>
      <c r="D9" s="37">
        <f>IF( ISERROR(IND_andere_gas_kWh/1000),0,IND_andere_gas_kWh/1000)*0.902</f>
        <v>33419.967628177837</v>
      </c>
      <c r="E9" s="33">
        <f>C31*'E Balans VL '!I19/100/3.6*1000000</f>
        <v>12306.678038626222</v>
      </c>
      <c r="F9" s="33">
        <f>C31*'E Balans VL '!L19/100/3.6*1000000+C31*'E Balans VL '!N19/100/3.6*1000000</f>
        <v>35277.275307565811</v>
      </c>
      <c r="G9" s="34"/>
      <c r="H9" s="33"/>
      <c r="I9" s="33"/>
      <c r="J9" s="40">
        <f>C31*'E Balans VL '!D19/100/3.6*1000000+C31*'E Balans VL '!E19/100/3.6*1000000</f>
        <v>0</v>
      </c>
      <c r="K9" s="33"/>
      <c r="L9" s="33"/>
      <c r="M9" s="33"/>
      <c r="N9" s="33">
        <f>C31*'E Balans VL '!Y19/100/3.6*1000000</f>
        <v>3605.7513745648607</v>
      </c>
      <c r="O9" s="33"/>
      <c r="P9" s="33"/>
      <c r="R9" s="32"/>
    </row>
    <row r="10" spans="1:18">
      <c r="A10" s="6" t="s">
        <v>40</v>
      </c>
      <c r="B10" s="37">
        <f t="shared" si="0"/>
        <v>109716.883</v>
      </c>
      <c r="C10" s="33"/>
      <c r="D10" s="37">
        <f>IF( ISERROR(IND_voed_gas_kWh/1000),0,IND_voed_gas_kWh/1000)*0.902</f>
        <v>20941.442944712973</v>
      </c>
      <c r="E10" s="33">
        <f>C32*'E Balans VL '!I20/100/3.6*1000000</f>
        <v>1118.5031788092642</v>
      </c>
      <c r="F10" s="33">
        <f>C32*'E Balans VL '!L20/100/3.6*1000000+C32*'E Balans VL '!N20/100/3.6*1000000</f>
        <v>207254.50577413765</v>
      </c>
      <c r="G10" s="34"/>
      <c r="H10" s="33"/>
      <c r="I10" s="33"/>
      <c r="J10" s="40">
        <f>C32*'E Balans VL '!D20/100/3.6*1000000+C32*'E Balans VL '!E20/100/3.6*1000000</f>
        <v>2625.8840054564903</v>
      </c>
      <c r="K10" s="33"/>
      <c r="L10" s="33"/>
      <c r="M10" s="33"/>
      <c r="N10" s="33">
        <f>C32*'E Balans VL '!Y20/100/3.6*1000000</f>
        <v>57833.43517622519</v>
      </c>
      <c r="O10" s="33"/>
      <c r="P10" s="33"/>
      <c r="R10" s="32"/>
    </row>
    <row r="11" spans="1:18">
      <c r="A11" s="6" t="s">
        <v>39</v>
      </c>
      <c r="B11" s="37">
        <f t="shared" si="0"/>
        <v>1800.1869999999999</v>
      </c>
      <c r="C11" s="33"/>
      <c r="D11" s="37">
        <f>IF( ISERROR(IND_textiel_gas_kWh/1000),0,IND_textiel_gas_kWh/1000)*0.902</f>
        <v>1205.6679257411758</v>
      </c>
      <c r="E11" s="33">
        <f>C33*'E Balans VL '!I21/100/3.6*1000000</f>
        <v>4.7713762329880627</v>
      </c>
      <c r="F11" s="33">
        <f>C33*'E Balans VL '!L21/100/3.6*1000000+C33*'E Balans VL '!N21/100/3.6*1000000</f>
        <v>80.398208451168699</v>
      </c>
      <c r="G11" s="34"/>
      <c r="H11" s="33"/>
      <c r="I11" s="33"/>
      <c r="J11" s="40">
        <f>C33*'E Balans VL '!D21/100/3.6*1000000+C33*'E Balans VL '!E21/100/3.6*1000000</f>
        <v>0</v>
      </c>
      <c r="K11" s="33"/>
      <c r="L11" s="33"/>
      <c r="M11" s="33"/>
      <c r="N11" s="33">
        <f>C33*'E Balans VL '!Y21/100/3.6*1000000</f>
        <v>16.965475625525329</v>
      </c>
      <c r="O11" s="33"/>
      <c r="P11" s="33"/>
      <c r="R11" s="32"/>
    </row>
    <row r="12" spans="1:18">
      <c r="A12" s="6" t="s">
        <v>36</v>
      </c>
      <c r="B12" s="37">
        <f t="shared" si="0"/>
        <v>8714.7446</v>
      </c>
      <c r="C12" s="33"/>
      <c r="D12" s="37">
        <f>IF( ISERROR(IND_min_gas_kWh/1000),0,IND_min_gas_kWh/1000)*0.902</f>
        <v>0</v>
      </c>
      <c r="E12" s="33">
        <f>C34*'E Balans VL '!I22/100/3.6*1000000</f>
        <v>26.393019253120972</v>
      </c>
      <c r="F12" s="33">
        <f>C34*'E Balans VL '!L22/100/3.6*1000000+C34*'E Balans VL '!N22/100/3.6*1000000</f>
        <v>272.34326113057847</v>
      </c>
      <c r="G12" s="34"/>
      <c r="H12" s="33"/>
      <c r="I12" s="33"/>
      <c r="J12" s="40">
        <f>C34*'E Balans VL '!D22/100/3.6*1000000+C34*'E Balans VL '!E22/100/3.6*1000000</f>
        <v>12.922031668185509</v>
      </c>
      <c r="K12" s="33"/>
      <c r="L12" s="33"/>
      <c r="M12" s="33"/>
      <c r="N12" s="33">
        <f>C34*'E Balans VL '!Y22/100/3.6*1000000</f>
        <v>0</v>
      </c>
      <c r="O12" s="33"/>
      <c r="P12" s="33"/>
      <c r="R12" s="32"/>
    </row>
    <row r="13" spans="1:18">
      <c r="A13" s="6" t="s">
        <v>38</v>
      </c>
      <c r="B13" s="37">
        <f t="shared" si="0"/>
        <v>4728.7759999999998</v>
      </c>
      <c r="C13" s="33"/>
      <c r="D13" s="37">
        <f>IF( ISERROR(IND_papier_gas_kWh/1000),0,IND_papier_gas_kWh/1000)*0.902</f>
        <v>1926.6951051765711</v>
      </c>
      <c r="E13" s="33">
        <f>C35*'E Balans VL '!I23/100/3.6*1000000</f>
        <v>9.7936142806941664</v>
      </c>
      <c r="F13" s="33">
        <f>C35*'E Balans VL '!L23/100/3.6*1000000+C35*'E Balans VL '!N23/100/3.6*1000000</f>
        <v>93.781765769992489</v>
      </c>
      <c r="G13" s="34"/>
      <c r="H13" s="33"/>
      <c r="I13" s="33"/>
      <c r="J13" s="40">
        <f>C35*'E Balans VL '!D23/100/3.6*1000000+C35*'E Balans VL '!E23/100/3.6*1000000</f>
        <v>0</v>
      </c>
      <c r="K13" s="33"/>
      <c r="L13" s="33"/>
      <c r="M13" s="33"/>
      <c r="N13" s="33">
        <f>C35*'E Balans VL '!Y23/100/3.6*1000000</f>
        <v>327.96451741993224</v>
      </c>
      <c r="O13" s="33"/>
      <c r="P13" s="33"/>
      <c r="R13" s="32"/>
    </row>
    <row r="14" spans="1:18">
      <c r="A14" s="6" t="s">
        <v>33</v>
      </c>
      <c r="B14" s="37">
        <f t="shared" si="0"/>
        <v>738.99549999999999</v>
      </c>
      <c r="C14" s="33"/>
      <c r="D14" s="37">
        <f>IF( ISERROR(IND_chemie_gas_kWh/1000),0,IND_chemie_gas_kWh/1000)*0.902</f>
        <v>236.57406791558421</v>
      </c>
      <c r="E14" s="33">
        <f>C36*'E Balans VL '!I24/100/3.6*1000000</f>
        <v>2.7706155783941919</v>
      </c>
      <c r="F14" s="33">
        <f>C36*'E Balans VL '!L24/100/3.6*1000000+C36*'E Balans VL '!N24/100/3.6*1000000</f>
        <v>8.5974385580433363</v>
      </c>
      <c r="G14" s="34"/>
      <c r="H14" s="33"/>
      <c r="I14" s="33"/>
      <c r="J14" s="40">
        <f>C36*'E Balans VL '!D24/100/3.6*1000000+C36*'E Balans VL '!E24/100/3.6*1000000</f>
        <v>0</v>
      </c>
      <c r="K14" s="33"/>
      <c r="L14" s="33"/>
      <c r="M14" s="33"/>
      <c r="N14" s="33">
        <f>C36*'E Balans VL '!Y24/100/3.6*1000000</f>
        <v>12.625383459144269</v>
      </c>
      <c r="O14" s="33"/>
      <c r="P14" s="33"/>
      <c r="R14" s="32"/>
    </row>
    <row r="15" spans="1:18">
      <c r="A15" s="6" t="s">
        <v>269</v>
      </c>
      <c r="B15" s="37">
        <f t="shared" si="0"/>
        <v>55602.803999999996</v>
      </c>
      <c r="C15" s="33"/>
      <c r="D15" s="37">
        <f>IF( ISERROR(IND_rest_gas_kWh/1000),0,IND_rest_gas_kWh/1000)*0.902</f>
        <v>217102.52490909438</v>
      </c>
      <c r="E15" s="33">
        <f>C37*'E Balans VL '!I15/100/3.6*1000000</f>
        <v>2828.6875835821597</v>
      </c>
      <c r="F15" s="33">
        <f>C37*'E Balans VL '!L15/100/3.6*1000000+C37*'E Balans VL '!N15/100/3.6*1000000</f>
        <v>12673.971043456942</v>
      </c>
      <c r="G15" s="34"/>
      <c r="H15" s="33"/>
      <c r="I15" s="33"/>
      <c r="J15" s="40">
        <f>C37*'E Balans VL '!D15/100/3.6*1000000+C37*'E Balans VL '!E15/100/3.6*1000000</f>
        <v>233.27213177011629</v>
      </c>
      <c r="K15" s="33"/>
      <c r="L15" s="33"/>
      <c r="M15" s="33"/>
      <c r="N15" s="33">
        <f>C37*'E Balans VL '!Y15/100/3.6*1000000</f>
        <v>3029.0737796442963</v>
      </c>
      <c r="O15" s="33"/>
      <c r="P15" s="33"/>
      <c r="R15" s="32"/>
    </row>
    <row r="16" spans="1:18">
      <c r="A16" s="16" t="s">
        <v>493</v>
      </c>
      <c r="B16" s="247">
        <f>'lokale energieproductie'!N47+'lokale energieproductie'!N39</f>
        <v>3627</v>
      </c>
      <c r="C16" s="247">
        <f>'lokale energieproductie'!O47+'lokale energieproductie'!O39</f>
        <v>5181.4285714285716</v>
      </c>
      <c r="D16" s="308">
        <f>('lokale energieproductie'!P39+'lokale energieproductie'!P47)*(-1)</f>
        <v>-10362.857142857143</v>
      </c>
      <c r="E16" s="248"/>
      <c r="F16" s="308">
        <f>('lokale energieproductie'!S39+'lokale energieproductie'!S47)*(-1)</f>
        <v>0</v>
      </c>
      <c r="G16" s="249"/>
      <c r="H16" s="248"/>
      <c r="I16" s="248"/>
      <c r="J16" s="248"/>
      <c r="K16" s="248"/>
      <c r="L16" s="308">
        <f>('lokale energieproductie'!T39+'lokale energieproductie'!U39+'lokale energieproductie'!T47+'lokale energieproductie'!U47)*(-1)</f>
        <v>0</v>
      </c>
      <c r="M16" s="248"/>
      <c r="N16" s="308">
        <f>('lokale energieproductie'!Q39+'lokale energieproductie'!R39+'lokale energieproductie'!V39+'lokale energieproductie'!Q47+'lokale energieproductie'!R47+'lokale energieproductie'!V47)*(-1)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334332.77194000001</v>
      </c>
      <c r="C18" s="21">
        <f>C5+C16</f>
        <v>5181.4285714285716</v>
      </c>
      <c r="D18" s="21">
        <f>MAX((D5+D16),0)</f>
        <v>268534.60513743875</v>
      </c>
      <c r="E18" s="21">
        <f>MAX((E5+E16),0)</f>
        <v>18916.280409622934</v>
      </c>
      <c r="F18" s="21">
        <f>MAX((F5+F16),0)</f>
        <v>288455.96829229902</v>
      </c>
      <c r="G18" s="21"/>
      <c r="H18" s="21"/>
      <c r="I18" s="21"/>
      <c r="J18" s="21">
        <f>MAX((J5+J16),0)</f>
        <v>2877.0319145416179</v>
      </c>
      <c r="K18" s="21"/>
      <c r="L18" s="21">
        <f>MAX((L5+L16),0)</f>
        <v>0</v>
      </c>
      <c r="M18" s="21"/>
      <c r="N18" s="21">
        <f>MAX((N5+N16),0)</f>
        <v>67454.508308914941</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0.20750122138300278</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69374.458525914917</v>
      </c>
      <c r="C22" s="23">
        <f ca="1">C18*C20</f>
        <v>1231.3512605042017</v>
      </c>
      <c r="D22" s="23">
        <f>D18*D20</f>
        <v>54243.990237762628</v>
      </c>
      <c r="E22" s="23">
        <f>E18*E20</f>
        <v>4293.9956529844058</v>
      </c>
      <c r="F22" s="23">
        <f>F18*F20</f>
        <v>77017.743534043839</v>
      </c>
      <c r="G22" s="23"/>
      <c r="H22" s="23"/>
      <c r="I22" s="23"/>
      <c r="J22" s="23">
        <f>J18*J20</f>
        <v>1018.4692977477326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10.553840000000001</v>
      </c>
      <c r="C29" s="39">
        <f>IF(ISERROR(B29*3.6/1000000/'E Balans VL '!Z17*100),0,B29*3.6/1000000/'E Balans VL '!Z17*100)</f>
        <v>1.1883078552618657E-2</v>
      </c>
      <c r="D29" s="237" t="s">
        <v>691</v>
      </c>
    </row>
    <row r="30" spans="1:18">
      <c r="A30" s="171" t="s">
        <v>35</v>
      </c>
      <c r="B30" s="37">
        <f>IF( ISERROR(IND_metaal_ele_kWh/1000),0,IND_metaal_ele_kWh/1000)</f>
        <v>104634.59600000001</v>
      </c>
      <c r="C30" s="39">
        <f>IF(ISERROR(B30*3.6/1000000/'E Balans VL '!Z18*100),0,B30*3.6/1000000/'E Balans VL '!Z18*100)</f>
        <v>14.645356453566496</v>
      </c>
      <c r="D30" s="237" t="s">
        <v>691</v>
      </c>
    </row>
    <row r="31" spans="1:18">
      <c r="A31" s="6" t="s">
        <v>32</v>
      </c>
      <c r="B31" s="37">
        <f>IF( ISERROR(IND_ander_ele_kWh/1000),0,IND_ander_ele_kWh/1000)</f>
        <v>44758.232000000004</v>
      </c>
      <c r="C31" s="39">
        <f>IF(ISERROR(B31*3.6/1000000/'E Balans VL '!Z19*100),0,B31*3.6/1000000/'E Balans VL '!Z19*100)</f>
        <v>1.9590605538231938</v>
      </c>
      <c r="D31" s="237" t="s">
        <v>691</v>
      </c>
    </row>
    <row r="32" spans="1:18">
      <c r="A32" s="171" t="s">
        <v>40</v>
      </c>
      <c r="B32" s="37">
        <f>IF( ISERROR(IND_voed_ele_kWh/1000),0,IND_voed_ele_kWh/1000)</f>
        <v>109716.883</v>
      </c>
      <c r="C32" s="39">
        <f>IF(ISERROR(B32*3.6/1000000/'E Balans VL '!Z20*100),0,B32*3.6/1000000/'E Balans VL '!Z20*100)</f>
        <v>27.162256712833848</v>
      </c>
      <c r="D32" s="237" t="s">
        <v>691</v>
      </c>
    </row>
    <row r="33" spans="1:5">
      <c r="A33" s="171" t="s">
        <v>39</v>
      </c>
      <c r="B33" s="37">
        <f>IF( ISERROR(IND_textiel_ele_kWh/1000),0,IND_textiel_ele_kWh/1000)</f>
        <v>1800.1869999999999</v>
      </c>
      <c r="C33" s="39">
        <f>IF(ISERROR(B33*3.6/1000000/'E Balans VL '!Z21*100),0,B33*3.6/1000000/'E Balans VL '!Z21*100)</f>
        <v>0.20284936431384468</v>
      </c>
      <c r="D33" s="237" t="s">
        <v>691</v>
      </c>
    </row>
    <row r="34" spans="1:5">
      <c r="A34" s="171" t="s">
        <v>36</v>
      </c>
      <c r="B34" s="37">
        <f>IF( ISERROR(IND_min_ele_kWh/1000),0,IND_min_ele_kWh/1000)</f>
        <v>8714.7446</v>
      </c>
      <c r="C34" s="39">
        <f>IF(ISERROR(B34*3.6/1000000/'E Balans VL '!Z22*100),0,B34*3.6/1000000/'E Balans VL '!Z22*100)</f>
        <v>0.24728889750087563</v>
      </c>
      <c r="D34" s="237" t="s">
        <v>691</v>
      </c>
    </row>
    <row r="35" spans="1:5">
      <c r="A35" s="171" t="s">
        <v>38</v>
      </c>
      <c r="B35" s="37">
        <f>IF( ISERROR(IND_papier_ele_kWh/1000),0,IND_papier_ele_kWh/1000)</f>
        <v>4728.7759999999998</v>
      </c>
      <c r="C35" s="39">
        <f>IF(ISERROR(B35*3.6/1000000/'E Balans VL '!Z22*100),0,B35*3.6/1000000/'E Balans VL '!Z22*100)</f>
        <v>0.13418337051077789</v>
      </c>
      <c r="D35" s="237" t="s">
        <v>691</v>
      </c>
    </row>
    <row r="36" spans="1:5">
      <c r="A36" s="171" t="s">
        <v>33</v>
      </c>
      <c r="B36" s="37">
        <f>IF( ISERROR(IND_chemie_ele_kWh/1000),0,IND_chemie_ele_kWh/1000)</f>
        <v>738.99549999999999</v>
      </c>
      <c r="C36" s="39">
        <f>IF(ISERROR(B36*3.6/1000000/'E Balans VL '!Z24*100),0,B36*3.6/1000000/'E Balans VL '!Z24*100)</f>
        <v>1.8843257293885408E-2</v>
      </c>
      <c r="D36" s="237" t="s">
        <v>691</v>
      </c>
    </row>
    <row r="37" spans="1:5">
      <c r="A37" s="171" t="s">
        <v>269</v>
      </c>
      <c r="B37" s="37">
        <f>IF( ISERROR(IND_rest_ele_kWh/1000),0,IND_rest_ele_kWh/1000)</f>
        <v>55602.803999999996</v>
      </c>
      <c r="C37" s="39">
        <f>IF(ISERROR(B37*3.6/1000000/'E Balans VL '!Z15*100),0,B37*3.6/1000000/'E Balans VL '!Z15*100)</f>
        <v>0.41228527205711946</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22741.204300000001</v>
      </c>
      <c r="C5" s="17">
        <f>'Eigen informatie GS &amp; warmtenet'!B60</f>
        <v>0</v>
      </c>
      <c r="D5" s="30">
        <f>IF(ISERROR(SUM(LB_lb_gas_kWh,LB_rest_gas_kWh)/1000),0,SUM(LB_lb_gas_kWh,LB_rest_gas_kWh)/1000)*0.902</f>
        <v>20091.531089166834</v>
      </c>
      <c r="E5" s="17">
        <f>B17*'E Balans VL '!I25/3.6*1000000/100</f>
        <v>210.63855911850723</v>
      </c>
      <c r="F5" s="17">
        <f>B17*('E Balans VL '!L25/3.6*1000000+'E Balans VL '!N25/3.6*1000000)/100</f>
        <v>57698.767504073374</v>
      </c>
      <c r="G5" s="18"/>
      <c r="H5" s="17"/>
      <c r="I5" s="17"/>
      <c r="J5" s="17">
        <f>('E Balans VL '!D25+'E Balans VL '!E25)/3.6*1000000*landbouw!B17/100</f>
        <v>3486.4804117707063</v>
      </c>
      <c r="K5" s="17"/>
      <c r="L5" s="17">
        <f>L6*(-1)</f>
        <v>0</v>
      </c>
      <c r="M5" s="17"/>
      <c r="N5" s="17">
        <f>N6*(-1)</f>
        <v>0</v>
      </c>
      <c r="O5" s="17"/>
      <c r="P5" s="17"/>
      <c r="R5" s="32"/>
    </row>
    <row r="6" spans="1:18">
      <c r="A6" s="16" t="s">
        <v>493</v>
      </c>
      <c r="B6" s="17" t="s">
        <v>210</v>
      </c>
      <c r="C6" s="17">
        <f>'lokale energieproductie'!O49+'lokale energieproductie'!O41</f>
        <v>0</v>
      </c>
      <c r="D6" s="308">
        <f>('lokale energieproductie'!P41+'lokale energieproductie'!P49)*(-1)</f>
        <v>0</v>
      </c>
      <c r="E6" s="248"/>
      <c r="F6" s="308">
        <f>('lokale energieproductie'!S41+'lokale energieproductie'!S878)*(-1)</f>
        <v>0</v>
      </c>
      <c r="G6" s="249"/>
      <c r="H6" s="248"/>
      <c r="I6" s="248"/>
      <c r="J6" s="248"/>
      <c r="K6" s="248"/>
      <c r="L6" s="308">
        <f>('lokale energieproductie'!T41+'lokale energieproductie'!U41+'lokale energieproductie'!T49+'lokale energieproductie'!U49)*(-1)</f>
        <v>0</v>
      </c>
      <c r="M6" s="248"/>
      <c r="N6" s="308">
        <f>('lokale energieproductie'!V41+'lokale energieproductie'!R41+'lokale energieproductie'!Q41+'lokale energieproductie'!Q49+'lokale energieproductie'!R49+'lokale energieproductie'!V49)*(-1)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22741.204300000001</v>
      </c>
      <c r="C8" s="21">
        <f>C5+C6</f>
        <v>0</v>
      </c>
      <c r="D8" s="21">
        <f>MAX((D5+D6),0)</f>
        <v>20091.531089166834</v>
      </c>
      <c r="E8" s="21">
        <f>MAX((E5+E6),0)</f>
        <v>210.63855911850723</v>
      </c>
      <c r="F8" s="21">
        <f>MAX((F5+F6),0)</f>
        <v>57698.767504073374</v>
      </c>
      <c r="G8" s="21"/>
      <c r="H8" s="21"/>
      <c r="I8" s="21"/>
      <c r="J8" s="21">
        <f>MAX((J5+J6),0)</f>
        <v>3486.4804117707063</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0.20750122138300278</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4718.8276679703949</v>
      </c>
      <c r="C12" s="23">
        <f ca="1">C8*C10</f>
        <v>0</v>
      </c>
      <c r="D12" s="23">
        <f>D8*D10</f>
        <v>4058.4892800117009</v>
      </c>
      <c r="E12" s="23">
        <f>E8*E10</f>
        <v>47.814952919901145</v>
      </c>
      <c r="F12" s="23">
        <f>F8*F10</f>
        <v>15405.570923587591</v>
      </c>
      <c r="G12" s="23"/>
      <c r="H12" s="23"/>
      <c r="I12" s="23"/>
      <c r="J12" s="23">
        <f>J8*J10</f>
        <v>1234.2140657668299</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3.2333170545815584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74.793892733056367</v>
      </c>
      <c r="C26" s="247">
        <f>B26*'GWP N2O_CH4'!B5</f>
        <v>1570.6717473941837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8.8754654340965331</v>
      </c>
      <c r="C27" s="247">
        <f>B27*'GWP N2O_CH4'!B5</f>
        <v>186.38477411602719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1.004424969982723</v>
      </c>
      <c r="C28" s="247">
        <f>B28*'GWP N2O_CH4'!B4</f>
        <v>311.37174069464413</v>
      </c>
      <c r="D28" s="50"/>
    </row>
    <row r="29" spans="1:4">
      <c r="A29" s="41" t="s">
        <v>276</v>
      </c>
      <c r="B29" s="247">
        <f>B34*'ha_N2O bodem landbouw'!B4</f>
        <v>9.9296807213840665</v>
      </c>
      <c r="C29" s="247">
        <f>B29*'GWP N2O_CH4'!B4</f>
        <v>3078.2010236290607</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2.2270524515393387E-3</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1.1683404687196661E-3</v>
      </c>
      <c r="C5" s="438" t="s">
        <v>210</v>
      </c>
      <c r="D5" s="423">
        <f>SUM(D6:D11)</f>
        <v>2.2513267085652305E-3</v>
      </c>
      <c r="E5" s="423">
        <f>SUM(E6:E11)</f>
        <v>2.4318852146803127E-2</v>
      </c>
      <c r="F5" s="436" t="s">
        <v>210</v>
      </c>
      <c r="G5" s="423">
        <f>SUM(G6:G11)</f>
        <v>8.7003933834525906</v>
      </c>
      <c r="H5" s="423">
        <f>SUM(H6:H11)</f>
        <v>1.4012290631280448</v>
      </c>
      <c r="I5" s="438" t="s">
        <v>210</v>
      </c>
      <c r="J5" s="438" t="s">
        <v>210</v>
      </c>
      <c r="K5" s="438" t="s">
        <v>210</v>
      </c>
      <c r="L5" s="438" t="s">
        <v>210</v>
      </c>
      <c r="M5" s="423">
        <f>SUM(M6:M11)</f>
        <v>0.54716552172800126</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3.5561225901252318E-4</v>
      </c>
      <c r="C6" s="424"/>
      <c r="D6" s="866">
        <f>vkm_GW_PW*SUMIFS(TableVerdeelsleutelVkm[CNG],TableVerdeelsleutelVkm[Voertuigtype],"Lichte voertuigen")*SUMIFS(TableECFTransport[EnergieConsumptieFactor (PJ per km)],TableECFTransport[Index],CONCATENATE($A6,"_CNG_CNG"))</f>
        <v>6.2053787548620838E-4</v>
      </c>
      <c r="E6" s="866">
        <f>vkm_GW_PW*SUMIFS(TableVerdeelsleutelVkm[LPG],TableVerdeelsleutelVkm[Voertuigtype],"Lichte voertuigen")*SUMIFS(TableECFTransport[EnergieConsumptieFactor (PJ per km)],TableECFTransport[Index],CONCATENATE($A6,"_LPG_LPG"))</f>
        <v>6.0102143632727451E-3</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1.4125037927250939</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0.38001381897948627</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9.3484458982424593E-2</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0.47579732782121592</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9.2272225588659983E-6</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2.7585653404227875E-2</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1.5951248954653222E-4</v>
      </c>
      <c r="C8" s="424"/>
      <c r="D8" s="426">
        <f>vkm_NGW_PW*SUMIFS(TableVerdeelsleutelVkm[CNG],TableVerdeelsleutelVkm[Voertuigtype],"Lichte voertuigen")*SUMIFS(TableECFTransport[EnergieConsumptieFactor (PJ per km)],TableECFTransport[Index],CONCATENATE($A8,"_CNG_CNG"))</f>
        <v>4.7663154653543338E-4</v>
      </c>
      <c r="E8" s="426">
        <f>vkm_NGW_PW*SUMIFS(TableVerdeelsleutelVkm[LPG],TableVerdeelsleutelVkm[Voertuigtype],"Lichte voertuigen")*SUMIFS(TableECFTransport[EnergieConsumptieFactor (PJ per km)],TableECFTransport[Index],CONCATENATE($A8,"_LPG_LPG"))</f>
        <v>4.3687599634569686E-3</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0.96375632835315839</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0.28182875238408328</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6.4472433128255791E-2</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0.14716785120060924</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3.5352346327788158E-6</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8.5324800796658089E-3</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6.5321572016061068E-4</v>
      </c>
      <c r="C10" s="424"/>
      <c r="D10" s="426">
        <f>vkm_SW_PW*SUMIFS(TableVerdeelsleutelVkm[CNG],TableVerdeelsleutelVkm[Voertuigtype],"Lichte voertuigen")*SUMIFS(TableECFTransport[EnergieConsumptieFactor (PJ per km)],TableECFTransport[Index],CONCATENATE($A10,"_CNG_CNG"))</f>
        <v>1.1541572865435886E-3</v>
      </c>
      <c r="E10" s="426">
        <f>vkm_SW_PW*SUMIFS(TableVerdeelsleutelVkm[LPG],TableVerdeelsleutelVkm[Voertuigtype],"Lichte voertuigen")*SUMIFS(TableECFTransport[EnergieConsumptieFactor (PJ per km)],TableECFTransport[Index],CONCATENATE($A10,"_LPG_LPG"))</f>
        <v>1.3939877820073414E-2</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2.9457900806771615</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0.73931695250504537</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0.19333980686430224</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2.7553780026753514</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5.6776802238392944E-5</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0.15975068926912497</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324.53901908879612</v>
      </c>
      <c r="C14" s="21"/>
      <c r="D14" s="21">
        <f t="shared" ref="D14:M14" si="0">((D5)*10^9/3600)+D12</f>
        <v>625.36853015700842</v>
      </c>
      <c r="E14" s="21">
        <f t="shared" si="0"/>
        <v>6755.2367074453123</v>
      </c>
      <c r="F14" s="21"/>
      <c r="G14" s="21">
        <f t="shared" si="0"/>
        <v>2416775.939847942</v>
      </c>
      <c r="H14" s="21">
        <f t="shared" si="0"/>
        <v>389230.29531334579</v>
      </c>
      <c r="I14" s="21"/>
      <c r="J14" s="21"/>
      <c r="K14" s="21"/>
      <c r="L14" s="21"/>
      <c r="M14" s="21">
        <f t="shared" si="0"/>
        <v>151990.42270222257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0.20750122138300278</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67.342242847366848</v>
      </c>
      <c r="C18" s="23"/>
      <c r="D18" s="23">
        <f t="shared" ref="D18:M18" si="1">D14*D16</f>
        <v>126.32444309171571</v>
      </c>
      <c r="E18" s="23">
        <f t="shared" si="1"/>
        <v>1533.4387325900859</v>
      </c>
      <c r="F18" s="23"/>
      <c r="G18" s="23">
        <f t="shared" si="1"/>
        <v>645279.17593940056</v>
      </c>
      <c r="H18" s="23">
        <f t="shared" si="1"/>
        <v>96918.3435330231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0.1207020985662549</v>
      </c>
      <c r="C50" s="319">
        <f t="shared" ref="C50:P50" si="2">SUM(C51:C52)</f>
        <v>0</v>
      </c>
      <c r="D50" s="319">
        <f t="shared" si="2"/>
        <v>0</v>
      </c>
      <c r="E50" s="319">
        <f t="shared" si="2"/>
        <v>0</v>
      </c>
      <c r="F50" s="319">
        <f t="shared" si="2"/>
        <v>0</v>
      </c>
      <c r="G50" s="319">
        <f t="shared" si="2"/>
        <v>0.17231581593030196</v>
      </c>
      <c r="H50" s="319">
        <f t="shared" si="2"/>
        <v>0</v>
      </c>
      <c r="I50" s="319">
        <f t="shared" si="2"/>
        <v>0</v>
      </c>
      <c r="J50" s="319">
        <f t="shared" si="2"/>
        <v>0</v>
      </c>
      <c r="K50" s="319">
        <f t="shared" si="2"/>
        <v>0</v>
      </c>
      <c r="L50" s="319">
        <f t="shared" si="2"/>
        <v>0</v>
      </c>
      <c r="M50" s="319">
        <f t="shared" si="2"/>
        <v>9.849047559567654E-3</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0.17231581593030196</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9.849047559567654E-3</v>
      </c>
      <c r="N51" s="321"/>
      <c r="O51" s="321"/>
      <c r="P51" s="324"/>
    </row>
    <row r="52" spans="1:18">
      <c r="A52" s="4" t="s">
        <v>329</v>
      </c>
      <c r="B52" s="867">
        <f>vkm_tram*SUMIFS(TableECFTransport[EnergieConsumptieFactor (PJ per km)],TableECFTransport[Index],"Tram_gemiddeld_Electric_Electric")</f>
        <v>0.1207020985662549</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33528.360712848582</v>
      </c>
      <c r="C54" s="21">
        <f t="shared" ref="C54:P54" si="3">(C50)*10^9/3600</f>
        <v>0</v>
      </c>
      <c r="D54" s="21">
        <f t="shared" si="3"/>
        <v>0</v>
      </c>
      <c r="E54" s="21">
        <f t="shared" si="3"/>
        <v>0</v>
      </c>
      <c r="F54" s="21">
        <f t="shared" si="3"/>
        <v>0</v>
      </c>
      <c r="G54" s="21">
        <f t="shared" si="3"/>
        <v>47865.504425083876</v>
      </c>
      <c r="H54" s="21">
        <f t="shared" si="3"/>
        <v>0</v>
      </c>
      <c r="I54" s="21">
        <f t="shared" si="3"/>
        <v>0</v>
      </c>
      <c r="J54" s="21">
        <f t="shared" si="3"/>
        <v>0</v>
      </c>
      <c r="K54" s="21">
        <f t="shared" si="3"/>
        <v>0</v>
      </c>
      <c r="L54" s="21">
        <f t="shared" si="3"/>
        <v>0</v>
      </c>
      <c r="M54" s="21">
        <f t="shared" si="3"/>
        <v>2735.8465443243485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0.20750122138300278</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6957.1757988859663</v>
      </c>
      <c r="C58" s="23">
        <f t="shared" ref="C58:P58" ca="1" si="4">C54*C56</f>
        <v>0</v>
      </c>
      <c r="D58" s="23">
        <f t="shared" si="4"/>
        <v>0</v>
      </c>
      <c r="E58" s="23">
        <f t="shared" si="4"/>
        <v>0</v>
      </c>
      <c r="F58" s="23">
        <f t="shared" si="4"/>
        <v>0</v>
      </c>
      <c r="G58" s="23">
        <f t="shared" si="4"/>
        <v>12780.089681497395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1229048.3318751613</v>
      </c>
      <c r="D10" s="991">
        <f ca="1">tertiair!C16</f>
        <v>10273.125</v>
      </c>
      <c r="E10" s="991">
        <f ca="1">tertiair!D16</f>
        <v>1405795.4320636468</v>
      </c>
      <c r="F10" s="991">
        <f>tertiair!E16</f>
        <v>9215.7108102972506</v>
      </c>
      <c r="G10" s="991">
        <f ca="1">tertiair!F16</f>
        <v>165268.6302974179</v>
      </c>
      <c r="H10" s="991">
        <f>tertiair!G16</f>
        <v>0</v>
      </c>
      <c r="I10" s="991">
        <f>tertiair!H16</f>
        <v>0</v>
      </c>
      <c r="J10" s="991">
        <f>tertiair!I16</f>
        <v>0</v>
      </c>
      <c r="K10" s="991">
        <f>tertiair!J16</f>
        <v>0</v>
      </c>
      <c r="L10" s="991">
        <f>tertiair!K16</f>
        <v>0</v>
      </c>
      <c r="M10" s="991">
        <f ca="1">tertiair!L16</f>
        <v>0</v>
      </c>
      <c r="N10" s="991">
        <f>tertiair!M16</f>
        <v>0</v>
      </c>
      <c r="O10" s="991">
        <f ca="1">tertiair!N16</f>
        <v>6635.731406470426</v>
      </c>
      <c r="P10" s="991">
        <f>tertiair!O16</f>
        <v>21.88666666666667</v>
      </c>
      <c r="Q10" s="992">
        <f>tertiair!P16</f>
        <v>762.66666666666674</v>
      </c>
      <c r="R10" s="675">
        <f ca="1">SUM(C10:Q10)</f>
        <v>2827021.5147863263</v>
      </c>
      <c r="S10" s="67"/>
    </row>
    <row r="11" spans="1:19" s="448" customFormat="1">
      <c r="A11" s="784" t="s">
        <v>224</v>
      </c>
      <c r="B11" s="789"/>
      <c r="C11" s="991">
        <f>huishoudens!B8</f>
        <v>672316.55226806435</v>
      </c>
      <c r="D11" s="991">
        <f>huishoudens!C8</f>
        <v>0</v>
      </c>
      <c r="E11" s="991">
        <f>huishoudens!D8</f>
        <v>1935842.1270740563</v>
      </c>
      <c r="F11" s="991">
        <f>huishoudens!E8</f>
        <v>150309.81220610876</v>
      </c>
      <c r="G11" s="991">
        <f>huishoudens!F8</f>
        <v>136923.69393143721</v>
      </c>
      <c r="H11" s="991">
        <f>huishoudens!G8</f>
        <v>0</v>
      </c>
      <c r="I11" s="991">
        <f>huishoudens!H8</f>
        <v>0</v>
      </c>
      <c r="J11" s="991">
        <f>huishoudens!I8</f>
        <v>0</v>
      </c>
      <c r="K11" s="991">
        <f>huishoudens!J8</f>
        <v>0</v>
      </c>
      <c r="L11" s="991">
        <f>huishoudens!K8</f>
        <v>0</v>
      </c>
      <c r="M11" s="991">
        <f>huishoudens!L8</f>
        <v>0</v>
      </c>
      <c r="N11" s="991">
        <f>huishoudens!M8</f>
        <v>0</v>
      </c>
      <c r="O11" s="991">
        <f>huishoudens!N8</f>
        <v>103875.5634223114</v>
      </c>
      <c r="P11" s="991">
        <f>huishoudens!O8</f>
        <v>997.40666666666664</v>
      </c>
      <c r="Q11" s="992">
        <f>huishoudens!P8</f>
        <v>1029.5999999999999</v>
      </c>
      <c r="R11" s="675">
        <f>SUM(C11:Q11)</f>
        <v>3001294.755568645</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334332.77194000001</v>
      </c>
      <c r="D13" s="991">
        <f>industrie!C18</f>
        <v>5181.4285714285716</v>
      </c>
      <c r="E13" s="991">
        <f>industrie!D18</f>
        <v>268534.60513743875</v>
      </c>
      <c r="F13" s="991">
        <f>industrie!E18</f>
        <v>18916.280409622934</v>
      </c>
      <c r="G13" s="991">
        <f>industrie!F18</f>
        <v>288455.96829229902</v>
      </c>
      <c r="H13" s="991">
        <f>industrie!G18</f>
        <v>0</v>
      </c>
      <c r="I13" s="991">
        <f>industrie!H18</f>
        <v>0</v>
      </c>
      <c r="J13" s="991">
        <f>industrie!I18</f>
        <v>0</v>
      </c>
      <c r="K13" s="991">
        <f>industrie!J18</f>
        <v>2877.0319145416179</v>
      </c>
      <c r="L13" s="991">
        <f>industrie!K18</f>
        <v>0</v>
      </c>
      <c r="M13" s="991">
        <f>industrie!L18</f>
        <v>0</v>
      </c>
      <c r="N13" s="991">
        <f>industrie!M18</f>
        <v>0</v>
      </c>
      <c r="O13" s="991">
        <f>industrie!N18</f>
        <v>67454.508308914941</v>
      </c>
      <c r="P13" s="991">
        <f>industrie!O18</f>
        <v>0</v>
      </c>
      <c r="Q13" s="992">
        <f>industrie!P18</f>
        <v>0</v>
      </c>
      <c r="R13" s="675">
        <f>SUM(C13:Q13)</f>
        <v>985752.59457424574</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2235697.6560832257</v>
      </c>
      <c r="D16" s="707">
        <f t="shared" ref="D16:R16" ca="1" si="0">SUM(D9:D15)</f>
        <v>15454.553571428572</v>
      </c>
      <c r="E16" s="707">
        <f t="shared" ca="1" si="0"/>
        <v>3610172.1642751414</v>
      </c>
      <c r="F16" s="707">
        <f t="shared" si="0"/>
        <v>178441.80342602896</v>
      </c>
      <c r="G16" s="707">
        <f t="shared" ca="1" si="0"/>
        <v>590648.29252115404</v>
      </c>
      <c r="H16" s="707">
        <f t="shared" si="0"/>
        <v>0</v>
      </c>
      <c r="I16" s="707">
        <f t="shared" si="0"/>
        <v>0</v>
      </c>
      <c r="J16" s="707">
        <f t="shared" si="0"/>
        <v>0</v>
      </c>
      <c r="K16" s="707">
        <f t="shared" si="0"/>
        <v>2877.0319145416179</v>
      </c>
      <c r="L16" s="707">
        <f t="shared" si="0"/>
        <v>0</v>
      </c>
      <c r="M16" s="707">
        <f t="shared" ca="1" si="0"/>
        <v>0</v>
      </c>
      <c r="N16" s="707">
        <f t="shared" si="0"/>
        <v>0</v>
      </c>
      <c r="O16" s="707">
        <f t="shared" ca="1" si="0"/>
        <v>177965.80313769676</v>
      </c>
      <c r="P16" s="707">
        <f t="shared" si="0"/>
        <v>1019.2933333333333</v>
      </c>
      <c r="Q16" s="707">
        <f t="shared" si="0"/>
        <v>1792.2666666666667</v>
      </c>
      <c r="R16" s="707">
        <f t="shared" ca="1" si="0"/>
        <v>6814068.8649292169</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33528.360712848582</v>
      </c>
      <c r="D19" s="991">
        <f>transport!C54</f>
        <v>0</v>
      </c>
      <c r="E19" s="991">
        <f>transport!D54</f>
        <v>0</v>
      </c>
      <c r="F19" s="991">
        <f>transport!E54</f>
        <v>0</v>
      </c>
      <c r="G19" s="991">
        <f>transport!F54</f>
        <v>0</v>
      </c>
      <c r="H19" s="991">
        <f>transport!G54</f>
        <v>47865.504425083876</v>
      </c>
      <c r="I19" s="991">
        <f>transport!H54</f>
        <v>0</v>
      </c>
      <c r="J19" s="991">
        <f>transport!I54</f>
        <v>0</v>
      </c>
      <c r="K19" s="991">
        <f>transport!J54</f>
        <v>0</v>
      </c>
      <c r="L19" s="991">
        <f>transport!K54</f>
        <v>0</v>
      </c>
      <c r="M19" s="991">
        <f>transport!L54</f>
        <v>0</v>
      </c>
      <c r="N19" s="991">
        <f>transport!M54</f>
        <v>2735.8465443243485</v>
      </c>
      <c r="O19" s="991">
        <f>transport!N54</f>
        <v>0</v>
      </c>
      <c r="P19" s="991">
        <f>transport!O54</f>
        <v>0</v>
      </c>
      <c r="Q19" s="992">
        <f>transport!P54</f>
        <v>0</v>
      </c>
      <c r="R19" s="675">
        <f>SUM(C19:Q19)</f>
        <v>84129.711682256806</v>
      </c>
      <c r="S19" s="67"/>
    </row>
    <row r="20" spans="1:19" s="448" customFormat="1">
      <c r="A20" s="784" t="s">
        <v>306</v>
      </c>
      <c r="B20" s="789"/>
      <c r="C20" s="991">
        <f>transport!B14</f>
        <v>324.53901908879612</v>
      </c>
      <c r="D20" s="991">
        <f>transport!C14</f>
        <v>0</v>
      </c>
      <c r="E20" s="991">
        <f>transport!D14</f>
        <v>625.36853015700842</v>
      </c>
      <c r="F20" s="991">
        <f>transport!E14</f>
        <v>6755.2367074453123</v>
      </c>
      <c r="G20" s="991">
        <f>transport!F14</f>
        <v>0</v>
      </c>
      <c r="H20" s="991">
        <f>transport!G14</f>
        <v>2416775.939847942</v>
      </c>
      <c r="I20" s="991">
        <f>transport!H14</f>
        <v>389230.29531334579</v>
      </c>
      <c r="J20" s="991">
        <f>transport!I14</f>
        <v>0</v>
      </c>
      <c r="K20" s="991">
        <f>transport!J14</f>
        <v>0</v>
      </c>
      <c r="L20" s="991">
        <f>transport!K14</f>
        <v>0</v>
      </c>
      <c r="M20" s="991">
        <f>transport!L14</f>
        <v>0</v>
      </c>
      <c r="N20" s="991">
        <f>transport!M14</f>
        <v>151990.42270222257</v>
      </c>
      <c r="O20" s="991">
        <f>transport!N14</f>
        <v>0</v>
      </c>
      <c r="P20" s="991">
        <f>transport!O14</f>
        <v>0</v>
      </c>
      <c r="Q20" s="992">
        <f>transport!P14</f>
        <v>0</v>
      </c>
      <c r="R20" s="675">
        <f>SUM(C20:Q20)</f>
        <v>2965701.8021202013</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33852.899731937381</v>
      </c>
      <c r="D22" s="787">
        <f t="shared" ref="D22:R22" si="1">SUM(D18:D21)</f>
        <v>0</v>
      </c>
      <c r="E22" s="787">
        <f t="shared" si="1"/>
        <v>625.36853015700842</v>
      </c>
      <c r="F22" s="787">
        <f t="shared" si="1"/>
        <v>6755.2367074453123</v>
      </c>
      <c r="G22" s="787">
        <f t="shared" si="1"/>
        <v>0</v>
      </c>
      <c r="H22" s="787">
        <f t="shared" si="1"/>
        <v>2464641.4442730257</v>
      </c>
      <c r="I22" s="787">
        <f t="shared" si="1"/>
        <v>389230.29531334579</v>
      </c>
      <c r="J22" s="787">
        <f t="shared" si="1"/>
        <v>0</v>
      </c>
      <c r="K22" s="787">
        <f t="shared" si="1"/>
        <v>0</v>
      </c>
      <c r="L22" s="787">
        <f t="shared" si="1"/>
        <v>0</v>
      </c>
      <c r="M22" s="787">
        <f t="shared" si="1"/>
        <v>0</v>
      </c>
      <c r="N22" s="787">
        <f t="shared" si="1"/>
        <v>154726.26924654693</v>
      </c>
      <c r="O22" s="787">
        <f t="shared" si="1"/>
        <v>0</v>
      </c>
      <c r="P22" s="787">
        <f t="shared" si="1"/>
        <v>0</v>
      </c>
      <c r="Q22" s="787">
        <f t="shared" si="1"/>
        <v>0</v>
      </c>
      <c r="R22" s="787">
        <f t="shared" si="1"/>
        <v>3049831.5138024581</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22741.204300000001</v>
      </c>
      <c r="D24" s="991">
        <f>+landbouw!C8</f>
        <v>0</v>
      </c>
      <c r="E24" s="991">
        <f>+landbouw!D8</f>
        <v>20091.531089166834</v>
      </c>
      <c r="F24" s="991">
        <f>+landbouw!E8</f>
        <v>210.63855911850723</v>
      </c>
      <c r="G24" s="991">
        <f>+landbouw!F8</f>
        <v>57698.767504073374</v>
      </c>
      <c r="H24" s="991">
        <f>+landbouw!G8</f>
        <v>0</v>
      </c>
      <c r="I24" s="991">
        <f>+landbouw!H8</f>
        <v>0</v>
      </c>
      <c r="J24" s="991">
        <f>+landbouw!I8</f>
        <v>0</v>
      </c>
      <c r="K24" s="991">
        <f>+landbouw!J8</f>
        <v>3486.4804117707063</v>
      </c>
      <c r="L24" s="991">
        <f>+landbouw!K8</f>
        <v>0</v>
      </c>
      <c r="M24" s="991">
        <f>+landbouw!L8</f>
        <v>0</v>
      </c>
      <c r="N24" s="991">
        <f>+landbouw!M8</f>
        <v>0</v>
      </c>
      <c r="O24" s="991">
        <f>+landbouw!N8</f>
        <v>0</v>
      </c>
      <c r="P24" s="991">
        <f>+landbouw!O8</f>
        <v>0</v>
      </c>
      <c r="Q24" s="992">
        <f>+landbouw!P8</f>
        <v>0</v>
      </c>
      <c r="R24" s="675">
        <f>SUM(C24:Q24)</f>
        <v>104228.62186412943</v>
      </c>
      <c r="S24" s="67"/>
    </row>
    <row r="25" spans="1:19" s="448" customFormat="1" ht="15" thickBot="1">
      <c r="A25" s="806" t="s">
        <v>849</v>
      </c>
      <c r="B25" s="994"/>
      <c r="C25" s="995">
        <f>IF(Onbekend_ele_kWh="---",0,Onbekend_ele_kWh)/1000+IF(REST_rest_ele_kWh="---",0,REST_rest_ele_kWh)/1000</f>
        <v>46032.928</v>
      </c>
      <c r="D25" s="995"/>
      <c r="E25" s="995">
        <f>IF(onbekend_gas_kWh="---",0,onbekend_gas_kWh)/1000+IF(REST_rest_gas_kWh="---",0,REST_rest_gas_kWh)/1000</f>
        <v>139573.68458969</v>
      </c>
      <c r="F25" s="995"/>
      <c r="G25" s="995"/>
      <c r="H25" s="995"/>
      <c r="I25" s="995"/>
      <c r="J25" s="995"/>
      <c r="K25" s="995"/>
      <c r="L25" s="995"/>
      <c r="M25" s="995"/>
      <c r="N25" s="995"/>
      <c r="O25" s="995"/>
      <c r="P25" s="995"/>
      <c r="Q25" s="996"/>
      <c r="R25" s="675">
        <f>SUM(C25:Q25)</f>
        <v>185606.61258969002</v>
      </c>
      <c r="S25" s="67"/>
    </row>
    <row r="26" spans="1:19" s="448" customFormat="1" ht="15.75" thickBot="1">
      <c r="A26" s="680" t="s">
        <v>850</v>
      </c>
      <c r="B26" s="792"/>
      <c r="C26" s="787">
        <f>SUM(C24:C25)</f>
        <v>68774.132299999997</v>
      </c>
      <c r="D26" s="787">
        <f t="shared" ref="D26:R26" si="2">SUM(D24:D25)</f>
        <v>0</v>
      </c>
      <c r="E26" s="787">
        <f t="shared" si="2"/>
        <v>159665.21567885682</v>
      </c>
      <c r="F26" s="787">
        <f t="shared" si="2"/>
        <v>210.63855911850723</v>
      </c>
      <c r="G26" s="787">
        <f t="shared" si="2"/>
        <v>57698.767504073374</v>
      </c>
      <c r="H26" s="787">
        <f t="shared" si="2"/>
        <v>0</v>
      </c>
      <c r="I26" s="787">
        <f t="shared" si="2"/>
        <v>0</v>
      </c>
      <c r="J26" s="787">
        <f t="shared" si="2"/>
        <v>0</v>
      </c>
      <c r="K26" s="787">
        <f t="shared" si="2"/>
        <v>3486.4804117707063</v>
      </c>
      <c r="L26" s="787">
        <f t="shared" si="2"/>
        <v>0</v>
      </c>
      <c r="M26" s="787">
        <f t="shared" si="2"/>
        <v>0</v>
      </c>
      <c r="N26" s="787">
        <f t="shared" si="2"/>
        <v>0</v>
      </c>
      <c r="O26" s="787">
        <f t="shared" si="2"/>
        <v>0</v>
      </c>
      <c r="P26" s="787">
        <f t="shared" si="2"/>
        <v>0</v>
      </c>
      <c r="Q26" s="787">
        <f t="shared" si="2"/>
        <v>0</v>
      </c>
      <c r="R26" s="787">
        <f t="shared" si="2"/>
        <v>289835.23445381946</v>
      </c>
      <c r="S26" s="67"/>
    </row>
    <row r="27" spans="1:19" s="448" customFormat="1" ht="17.25" thickTop="1" thickBot="1">
      <c r="A27" s="681" t="s">
        <v>115</v>
      </c>
      <c r="B27" s="780"/>
      <c r="C27" s="682">
        <f ca="1">C22+C16+C26</f>
        <v>2338324.6881151632</v>
      </c>
      <c r="D27" s="682">
        <f t="shared" ref="D27:R27" ca="1" si="3">D22+D16+D26</f>
        <v>15454.553571428572</v>
      </c>
      <c r="E27" s="682">
        <f t="shared" ca="1" si="3"/>
        <v>3770462.7484841552</v>
      </c>
      <c r="F27" s="682">
        <f t="shared" si="3"/>
        <v>185407.67869259277</v>
      </c>
      <c r="G27" s="682">
        <f t="shared" ca="1" si="3"/>
        <v>648347.06002522737</v>
      </c>
      <c r="H27" s="682">
        <f t="shared" si="3"/>
        <v>2464641.4442730257</v>
      </c>
      <c r="I27" s="682">
        <f t="shared" si="3"/>
        <v>389230.29531334579</v>
      </c>
      <c r="J27" s="682">
        <f t="shared" si="3"/>
        <v>0</v>
      </c>
      <c r="K27" s="682">
        <f t="shared" si="3"/>
        <v>6363.5123263123241</v>
      </c>
      <c r="L27" s="682">
        <f t="shared" si="3"/>
        <v>0</v>
      </c>
      <c r="M27" s="682">
        <f t="shared" ca="1" si="3"/>
        <v>0</v>
      </c>
      <c r="N27" s="682">
        <f t="shared" si="3"/>
        <v>154726.26924654693</v>
      </c>
      <c r="O27" s="682">
        <f t="shared" ca="1" si="3"/>
        <v>177965.80313769676</v>
      </c>
      <c r="P27" s="682">
        <f t="shared" si="3"/>
        <v>1019.2933333333333</v>
      </c>
      <c r="Q27" s="682">
        <f t="shared" si="3"/>
        <v>1792.2666666666667</v>
      </c>
      <c r="R27" s="682">
        <f t="shared" ca="1" si="3"/>
        <v>10153735.613185495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255029.03000283812</v>
      </c>
      <c r="D40" s="991">
        <f ca="1">tertiair!C20</f>
        <v>2441.3779411764708</v>
      </c>
      <c r="E40" s="991">
        <f ca="1">tertiair!D20</f>
        <v>283970.67727685667</v>
      </c>
      <c r="F40" s="991">
        <f>tertiair!E20</f>
        <v>2091.966353937476</v>
      </c>
      <c r="G40" s="991">
        <f ca="1">tertiair!F20</f>
        <v>44126.72428941058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587659.77586421941</v>
      </c>
    </row>
    <row r="41" spans="1:18">
      <c r="A41" s="797" t="s">
        <v>224</v>
      </c>
      <c r="B41" s="804"/>
      <c r="C41" s="991">
        <f ca="1">huishoudens!B12</f>
        <v>139506.50575163279</v>
      </c>
      <c r="D41" s="991">
        <f ca="1">huishoudens!C12</f>
        <v>0</v>
      </c>
      <c r="E41" s="991">
        <f>huishoudens!D12</f>
        <v>391040.1096689594</v>
      </c>
      <c r="F41" s="991">
        <f>huishoudens!E12</f>
        <v>34120.32737078669</v>
      </c>
      <c r="G41" s="991">
        <f>huishoudens!F12</f>
        <v>36558.626279693737</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601225.56907107262</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69374.458525914917</v>
      </c>
      <c r="D43" s="991">
        <f ca="1">industrie!C22</f>
        <v>1231.3512605042017</v>
      </c>
      <c r="E43" s="991">
        <f>industrie!D22</f>
        <v>54243.990237762628</v>
      </c>
      <c r="F43" s="991">
        <f>industrie!E22</f>
        <v>4293.9956529844058</v>
      </c>
      <c r="G43" s="991">
        <f>industrie!F22</f>
        <v>77017.743534043839</v>
      </c>
      <c r="H43" s="991">
        <f>industrie!G22</f>
        <v>0</v>
      </c>
      <c r="I43" s="991">
        <f>industrie!H22</f>
        <v>0</v>
      </c>
      <c r="J43" s="991">
        <f>industrie!I22</f>
        <v>0</v>
      </c>
      <c r="K43" s="991">
        <f>industrie!J22</f>
        <v>1018.4692977477326</v>
      </c>
      <c r="L43" s="991">
        <f>industrie!K22</f>
        <v>0</v>
      </c>
      <c r="M43" s="991">
        <f>industrie!L22</f>
        <v>0</v>
      </c>
      <c r="N43" s="991">
        <f>industrie!M22</f>
        <v>0</v>
      </c>
      <c r="O43" s="991">
        <f>industrie!N22</f>
        <v>0</v>
      </c>
      <c r="P43" s="991">
        <f>industrie!O22</f>
        <v>0</v>
      </c>
      <c r="Q43" s="749">
        <f>industrie!P22</f>
        <v>0</v>
      </c>
      <c r="R43" s="824">
        <f t="shared" ca="1" si="4"/>
        <v>207180.00850895772</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463909.99428038584</v>
      </c>
      <c r="D46" s="707">
        <f t="shared" ref="D46:Q46" ca="1" si="5">SUM(D39:D45)</f>
        <v>3672.7292016806723</v>
      </c>
      <c r="E46" s="707">
        <f t="shared" ca="1" si="5"/>
        <v>729254.77718357882</v>
      </c>
      <c r="F46" s="707">
        <f t="shared" si="5"/>
        <v>40506.28937770857</v>
      </c>
      <c r="G46" s="707">
        <f t="shared" ca="1" si="5"/>
        <v>157703.09410314815</v>
      </c>
      <c r="H46" s="707">
        <f t="shared" si="5"/>
        <v>0</v>
      </c>
      <c r="I46" s="707">
        <f t="shared" si="5"/>
        <v>0</v>
      </c>
      <c r="J46" s="707">
        <f t="shared" si="5"/>
        <v>0</v>
      </c>
      <c r="K46" s="707">
        <f t="shared" si="5"/>
        <v>1018.4692977477326</v>
      </c>
      <c r="L46" s="707">
        <f t="shared" si="5"/>
        <v>0</v>
      </c>
      <c r="M46" s="707">
        <f t="shared" ca="1" si="5"/>
        <v>0</v>
      </c>
      <c r="N46" s="707">
        <f t="shared" si="5"/>
        <v>0</v>
      </c>
      <c r="O46" s="707">
        <f t="shared" ca="1" si="5"/>
        <v>0</v>
      </c>
      <c r="P46" s="707">
        <f t="shared" si="5"/>
        <v>0</v>
      </c>
      <c r="Q46" s="707">
        <f t="shared" si="5"/>
        <v>0</v>
      </c>
      <c r="R46" s="707">
        <f ca="1">SUM(R39:R45)</f>
        <v>1396065.3534442496</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6957.1757988859663</v>
      </c>
      <c r="D49" s="991">
        <f ca="1">transport!C58</f>
        <v>0</v>
      </c>
      <c r="E49" s="991">
        <f>transport!D58</f>
        <v>0</v>
      </c>
      <c r="F49" s="991">
        <f>transport!E58</f>
        <v>0</v>
      </c>
      <c r="G49" s="991">
        <f>transport!F58</f>
        <v>0</v>
      </c>
      <c r="H49" s="991">
        <f>transport!G58</f>
        <v>12780.089681497395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19737.265480383361</v>
      </c>
    </row>
    <row r="50" spans="1:18">
      <c r="A50" s="800" t="s">
        <v>306</v>
      </c>
      <c r="B50" s="810"/>
      <c r="C50" s="678">
        <f ca="1">transport!B18</f>
        <v>67.342242847366848</v>
      </c>
      <c r="D50" s="678">
        <f>transport!C18</f>
        <v>0</v>
      </c>
      <c r="E50" s="678">
        <f>transport!D18</f>
        <v>126.32444309171571</v>
      </c>
      <c r="F50" s="678">
        <f>transport!E18</f>
        <v>1533.4387325900859</v>
      </c>
      <c r="G50" s="678">
        <f>transport!F18</f>
        <v>0</v>
      </c>
      <c r="H50" s="678">
        <f>transport!G18</f>
        <v>645279.17593940056</v>
      </c>
      <c r="I50" s="678">
        <f>transport!H18</f>
        <v>96918.3435330231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743924.62489095284</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7024.5180417333331</v>
      </c>
      <c r="D52" s="707">
        <f t="shared" ref="D52:Q52" ca="1" si="6">SUM(D48:D51)</f>
        <v>0</v>
      </c>
      <c r="E52" s="707">
        <f t="shared" si="6"/>
        <v>126.32444309171571</v>
      </c>
      <c r="F52" s="707">
        <f t="shared" si="6"/>
        <v>1533.4387325900859</v>
      </c>
      <c r="G52" s="707">
        <f t="shared" si="6"/>
        <v>0</v>
      </c>
      <c r="H52" s="707">
        <f t="shared" si="6"/>
        <v>658059.26562089799</v>
      </c>
      <c r="I52" s="707">
        <f t="shared" si="6"/>
        <v>96918.3435330231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763661.89037133625</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4718.8276679703949</v>
      </c>
      <c r="D54" s="678">
        <f ca="1">+landbouw!C12</f>
        <v>0</v>
      </c>
      <c r="E54" s="678">
        <f>+landbouw!D12</f>
        <v>4058.4892800117009</v>
      </c>
      <c r="F54" s="678">
        <f>+landbouw!E12</f>
        <v>47.814952919901145</v>
      </c>
      <c r="G54" s="678">
        <f>+landbouw!F12</f>
        <v>15405.570923587591</v>
      </c>
      <c r="H54" s="678">
        <f>+landbouw!G12</f>
        <v>0</v>
      </c>
      <c r="I54" s="678">
        <f>+landbouw!H12</f>
        <v>0</v>
      </c>
      <c r="J54" s="678">
        <f>+landbouw!I12</f>
        <v>0</v>
      </c>
      <c r="K54" s="678">
        <f>+landbouw!J12</f>
        <v>1234.2140657668299</v>
      </c>
      <c r="L54" s="678">
        <f>+landbouw!K12</f>
        <v>0</v>
      </c>
      <c r="M54" s="678">
        <f>+landbouw!L12</f>
        <v>0</v>
      </c>
      <c r="N54" s="678">
        <f>+landbouw!M12</f>
        <v>0</v>
      </c>
      <c r="O54" s="678">
        <f>+landbouw!N12</f>
        <v>0</v>
      </c>
      <c r="P54" s="678">
        <f>+landbouw!O12</f>
        <v>0</v>
      </c>
      <c r="Q54" s="679">
        <f>+landbouw!P12</f>
        <v>0</v>
      </c>
      <c r="R54" s="706">
        <f ca="1">SUM(C54:Q54)</f>
        <v>25464.91689025642</v>
      </c>
    </row>
    <row r="55" spans="1:18" ht="15" thickBot="1">
      <c r="A55" s="800" t="s">
        <v>849</v>
      </c>
      <c r="B55" s="810"/>
      <c r="C55" s="678">
        <f ca="1">C25*'EF ele_warmte'!B12</f>
        <v>9551.8887838358278</v>
      </c>
      <c r="D55" s="678"/>
      <c r="E55" s="678">
        <f>E25*EF_CO2_aardgas</f>
        <v>28193.884287117384</v>
      </c>
      <c r="F55" s="678"/>
      <c r="G55" s="678"/>
      <c r="H55" s="678"/>
      <c r="I55" s="678"/>
      <c r="J55" s="678"/>
      <c r="K55" s="678"/>
      <c r="L55" s="678"/>
      <c r="M55" s="678"/>
      <c r="N55" s="678"/>
      <c r="O55" s="678"/>
      <c r="P55" s="678"/>
      <c r="Q55" s="679"/>
      <c r="R55" s="706">
        <f ca="1">SUM(C55:Q55)</f>
        <v>37745.773070953212</v>
      </c>
    </row>
    <row r="56" spans="1:18" ht="15.75" thickBot="1">
      <c r="A56" s="798" t="s">
        <v>850</v>
      </c>
      <c r="B56" s="811"/>
      <c r="C56" s="707">
        <f ca="1">SUM(C54:C55)</f>
        <v>14270.716451806224</v>
      </c>
      <c r="D56" s="707">
        <f t="shared" ref="D56:Q56" ca="1" si="7">SUM(D54:D55)</f>
        <v>0</v>
      </c>
      <c r="E56" s="707">
        <f t="shared" si="7"/>
        <v>32252.373567129085</v>
      </c>
      <c r="F56" s="707">
        <f t="shared" si="7"/>
        <v>47.814952919901145</v>
      </c>
      <c r="G56" s="707">
        <f t="shared" si="7"/>
        <v>15405.570923587591</v>
      </c>
      <c r="H56" s="707">
        <f t="shared" si="7"/>
        <v>0</v>
      </c>
      <c r="I56" s="707">
        <f t="shared" si="7"/>
        <v>0</v>
      </c>
      <c r="J56" s="707">
        <f t="shared" si="7"/>
        <v>0</v>
      </c>
      <c r="K56" s="707">
        <f t="shared" si="7"/>
        <v>1234.2140657668299</v>
      </c>
      <c r="L56" s="707">
        <f t="shared" si="7"/>
        <v>0</v>
      </c>
      <c r="M56" s="707">
        <f t="shared" si="7"/>
        <v>0</v>
      </c>
      <c r="N56" s="707">
        <f t="shared" si="7"/>
        <v>0</v>
      </c>
      <c r="O56" s="707">
        <f t="shared" si="7"/>
        <v>0</v>
      </c>
      <c r="P56" s="707">
        <f t="shared" si="7"/>
        <v>0</v>
      </c>
      <c r="Q56" s="708">
        <f t="shared" si="7"/>
        <v>0</v>
      </c>
      <c r="R56" s="709">
        <f ca="1">SUM(R54:R55)</f>
        <v>63210.689961209631</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485205.22877392545</v>
      </c>
      <c r="D61" s="715">
        <f t="shared" ref="D61:Q61" ca="1" si="8">D46+D52+D56</f>
        <v>3672.7292016806723</v>
      </c>
      <c r="E61" s="715">
        <f t="shared" ca="1" si="8"/>
        <v>761633.47519379971</v>
      </c>
      <c r="F61" s="715">
        <f t="shared" si="8"/>
        <v>42087.543063218553</v>
      </c>
      <c r="G61" s="715">
        <f t="shared" ca="1" si="8"/>
        <v>173108.66502673575</v>
      </c>
      <c r="H61" s="715">
        <f t="shared" si="8"/>
        <v>658059.26562089799</v>
      </c>
      <c r="I61" s="715">
        <f t="shared" si="8"/>
        <v>96918.3435330231</v>
      </c>
      <c r="J61" s="715">
        <f t="shared" si="8"/>
        <v>0</v>
      </c>
      <c r="K61" s="715">
        <f t="shared" si="8"/>
        <v>2252.6833635145626</v>
      </c>
      <c r="L61" s="715">
        <f t="shared" si="8"/>
        <v>0</v>
      </c>
      <c r="M61" s="715">
        <f t="shared" ca="1" si="8"/>
        <v>0</v>
      </c>
      <c r="N61" s="715">
        <f t="shared" si="8"/>
        <v>0</v>
      </c>
      <c r="O61" s="715">
        <f t="shared" ca="1" si="8"/>
        <v>0</v>
      </c>
      <c r="P61" s="715">
        <f t="shared" si="8"/>
        <v>0</v>
      </c>
      <c r="Q61" s="715">
        <f t="shared" si="8"/>
        <v>0</v>
      </c>
      <c r="R61" s="715">
        <f ca="1">R46+R52+R56</f>
        <v>2222937.9337767954</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0.20750122138300278</v>
      </c>
      <c r="D63" s="756">
        <f t="shared" ca="1" si="9"/>
        <v>0.23764705882352941</v>
      </c>
      <c r="E63" s="1002">
        <f t="shared" ca="1" si="9"/>
        <v>0.2020000000000001</v>
      </c>
      <c r="F63" s="756">
        <f t="shared" si="9"/>
        <v>0.22699999999999995</v>
      </c>
      <c r="G63" s="756">
        <f t="shared" ca="1" si="9"/>
        <v>0.26700000000000007</v>
      </c>
      <c r="H63" s="756">
        <f t="shared" si="9"/>
        <v>0.26700000000000007</v>
      </c>
      <c r="I63" s="756">
        <f t="shared" si="9"/>
        <v>0.249</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65610.176517411266</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58262.130284408042</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10818.1875</v>
      </c>
      <c r="D76" s="1012">
        <f>'lokale energieproductie'!C8</f>
        <v>12727.279411764706</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2570.9104411764706</v>
      </c>
      <c r="R76" s="827">
        <v>0</v>
      </c>
    </row>
    <row r="77" spans="1:18" ht="30.75" thickBot="1">
      <c r="A77" s="728" t="s">
        <v>352</v>
      </c>
      <c r="B77" s="725">
        <f>'lokale energieproductie'!B9*IFERROR(SUM(I77:O77)/SUM(D77:O77),0)</f>
        <v>19768.5</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56481.428571428572</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143640.8068018193</v>
      </c>
      <c r="C78" s="730">
        <f>SUM(C72:C77)</f>
        <v>10818.1875</v>
      </c>
      <c r="D78" s="731">
        <f t="shared" ref="D78:H78" si="10">SUM(D76:D77)</f>
        <v>12727.279411764706</v>
      </c>
      <c r="E78" s="731">
        <f t="shared" si="10"/>
        <v>0</v>
      </c>
      <c r="F78" s="731">
        <f t="shared" si="10"/>
        <v>0</v>
      </c>
      <c r="G78" s="731">
        <f t="shared" si="10"/>
        <v>0</v>
      </c>
      <c r="H78" s="731">
        <f t="shared" si="10"/>
        <v>0</v>
      </c>
      <c r="I78" s="731">
        <f>SUM(I76:I77)</f>
        <v>0</v>
      </c>
      <c r="J78" s="731">
        <f>SUM(J76:J77)</f>
        <v>56481.428571428572</v>
      </c>
      <c r="K78" s="731">
        <f t="shared" ref="K78:L78" si="11">SUM(K76:K77)</f>
        <v>0</v>
      </c>
      <c r="L78" s="731">
        <f t="shared" si="11"/>
        <v>0</v>
      </c>
      <c r="M78" s="731">
        <f>SUM(M76:M77)</f>
        <v>0</v>
      </c>
      <c r="N78" s="731">
        <f>SUM(N76:N77)</f>
        <v>0</v>
      </c>
      <c r="O78" s="835">
        <f>SUM(O76:O77)</f>
        <v>0</v>
      </c>
      <c r="P78" s="732">
        <v>0</v>
      </c>
      <c r="Q78" s="732">
        <f>SUM(Q76:Q77)</f>
        <v>2570.9104411764706</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15454.553571428572</v>
      </c>
      <c r="D87" s="752">
        <f>'lokale energieproductie'!C17</f>
        <v>18181.827731092439</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3672.7292016806728</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15454.553571428572</v>
      </c>
      <c r="D90" s="730">
        <f t="shared" ref="D90:H90" si="12">SUM(D87:D89)</f>
        <v>18181.827731092439</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3672.7292016806728</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61"/>
  <sheetViews>
    <sheetView showGridLines="0" topLeftCell="A297" zoomScale="65" zoomScaleNormal="65" workbookViewId="0">
      <selection activeCell="M37" sqref="M37"/>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65610.176517411266</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58262.130284408042</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N38</f>
        <v>10818.1875</v>
      </c>
      <c r="C8" s="545">
        <f>B58</f>
        <v>12727.279411764706</v>
      </c>
      <c r="D8" s="1022"/>
      <c r="E8" s="1022">
        <f>E58</f>
        <v>0</v>
      </c>
      <c r="F8" s="1023"/>
      <c r="G8" s="546"/>
      <c r="H8" s="1022">
        <f>I58</f>
        <v>0</v>
      </c>
      <c r="I8" s="1022">
        <f>G58+F58</f>
        <v>0</v>
      </c>
      <c r="J8" s="1022">
        <f>H58+D58+C58</f>
        <v>0</v>
      </c>
      <c r="K8" s="1022"/>
      <c r="L8" s="1022"/>
      <c r="M8" s="1022"/>
      <c r="N8" s="547"/>
      <c r="O8" s="548">
        <f>C8*$C$12+D8*$D$12+E8*$E$12+F8*$F$12+G8*$G$12+H8*$H$12+I8*$I$12+J8*$J$12</f>
        <v>2570.9104411764706</v>
      </c>
      <c r="P8" s="1253"/>
      <c r="Q8" s="1254"/>
      <c r="S8" s="986"/>
      <c r="T8" s="1274"/>
      <c r="U8" s="1274"/>
    </row>
    <row r="9" spans="1:21" s="534" customFormat="1" ht="17.45" customHeight="1" thickBot="1">
      <c r="A9" s="549" t="s">
        <v>247</v>
      </c>
      <c r="B9" s="550">
        <f>N46+'Eigen informatie GS &amp; warmtenet'!B12</f>
        <v>19768.5</v>
      </c>
      <c r="C9" s="551">
        <f>P46+IF(ISERROR(('Eigen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S46+IF(ISERROR('Eigen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W46+IF(ISERROR('Eigen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(T46+U46)+IF(ISERROR('Eigen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V46+Q46+R46+IF(ISERROR('Eigen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56481.428571428572</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154458.9943018193</v>
      </c>
      <c r="C10" s="558">
        <f t="shared" ref="C10:L10" si="0">SUM(C8:C9)</f>
        <v>12727.279411764706</v>
      </c>
      <c r="D10" s="558">
        <f t="shared" si="0"/>
        <v>0</v>
      </c>
      <c r="E10" s="558">
        <f t="shared" si="0"/>
        <v>0</v>
      </c>
      <c r="F10" s="558">
        <f t="shared" si="0"/>
        <v>0</v>
      </c>
      <c r="G10" s="558">
        <f t="shared" si="0"/>
        <v>0</v>
      </c>
      <c r="H10" s="558">
        <f t="shared" si="0"/>
        <v>0</v>
      </c>
      <c r="I10" s="558">
        <f t="shared" si="0"/>
        <v>0</v>
      </c>
      <c r="J10" s="558">
        <f t="shared" si="0"/>
        <v>56481.428571428572</v>
      </c>
      <c r="K10" s="558">
        <f t="shared" si="0"/>
        <v>0</v>
      </c>
      <c r="L10" s="558">
        <f t="shared" si="0"/>
        <v>0</v>
      </c>
      <c r="M10" s="1025"/>
      <c r="N10" s="1025"/>
      <c r="O10" s="559">
        <f>SUM(O4:O9)</f>
        <v>2570.9104411764706</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O38</f>
        <v>15454.553571428572</v>
      </c>
      <c r="C17" s="570">
        <f>B59</f>
        <v>18181.827731092439</v>
      </c>
      <c r="D17" s="571"/>
      <c r="E17" s="571">
        <f>E59</f>
        <v>0</v>
      </c>
      <c r="F17" s="1028"/>
      <c r="G17" s="572"/>
      <c r="H17" s="570">
        <f>I59</f>
        <v>0</v>
      </c>
      <c r="I17" s="571">
        <f>G59+F59</f>
        <v>0</v>
      </c>
      <c r="J17" s="571">
        <f>H59+D59+C59</f>
        <v>0</v>
      </c>
      <c r="K17" s="571"/>
      <c r="L17" s="571"/>
      <c r="M17" s="571"/>
      <c r="N17" s="1029"/>
      <c r="O17" s="573">
        <f>C17*$C$22+E17*$E$22+H17*$H$22+I17*$I$22+J17*$J$22+D17*$D$22+F17*$F$22+G17*$G$22+K17*$K$22+L17*$L$22</f>
        <v>3672.7292016806728</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15454.553571428572</v>
      </c>
      <c r="C20" s="557">
        <f>SUM(C17:C19)</f>
        <v>18181.827731092439</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3672.7292016806728</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51">
      <c r="A28" s="580"/>
      <c r="B28" s="771">
        <v>11002</v>
      </c>
      <c r="C28" s="771">
        <v>2018</v>
      </c>
      <c r="D28" s="628" t="s">
        <v>913</v>
      </c>
      <c r="E28" s="627" t="s">
        <v>914</v>
      </c>
      <c r="F28" s="627" t="s">
        <v>915</v>
      </c>
      <c r="G28" s="627" t="s">
        <v>916</v>
      </c>
      <c r="H28" s="627" t="s">
        <v>917</v>
      </c>
      <c r="I28" s="627" t="s">
        <v>914</v>
      </c>
      <c r="J28" s="770">
        <v>39370</v>
      </c>
      <c r="K28" s="770">
        <v>39448</v>
      </c>
      <c r="L28" s="627" t="s">
        <v>918</v>
      </c>
      <c r="M28" s="627">
        <v>220</v>
      </c>
      <c r="N28" s="627">
        <v>990</v>
      </c>
      <c r="O28" s="627">
        <v>1414.2857142857142</v>
      </c>
      <c r="P28" s="627">
        <v>2828.5714285714289</v>
      </c>
      <c r="Q28" s="627">
        <v>0</v>
      </c>
      <c r="R28" s="627">
        <v>0</v>
      </c>
      <c r="S28" s="627">
        <v>0</v>
      </c>
      <c r="T28" s="627">
        <v>0</v>
      </c>
      <c r="U28" s="627">
        <v>0</v>
      </c>
      <c r="V28" s="627">
        <v>0</v>
      </c>
      <c r="W28" s="627">
        <v>0</v>
      </c>
      <c r="X28" s="627">
        <v>1500</v>
      </c>
      <c r="Y28" s="627" t="s">
        <v>50</v>
      </c>
      <c r="Z28" s="629" t="s">
        <v>155</v>
      </c>
    </row>
    <row r="29" spans="1:26" s="581" customFormat="1" ht="25.5">
      <c r="A29" s="580"/>
      <c r="B29" s="771">
        <v>11002</v>
      </c>
      <c r="C29" s="771">
        <v>2170</v>
      </c>
      <c r="D29" s="628" t="s">
        <v>919</v>
      </c>
      <c r="E29" s="627" t="s">
        <v>920</v>
      </c>
      <c r="F29" s="627" t="s">
        <v>921</v>
      </c>
      <c r="G29" s="627" t="s">
        <v>916</v>
      </c>
      <c r="H29" s="627" t="s">
        <v>917</v>
      </c>
      <c r="I29" s="627" t="s">
        <v>920</v>
      </c>
      <c r="J29" s="770">
        <v>39797</v>
      </c>
      <c r="K29" s="770">
        <v>39812</v>
      </c>
      <c r="L29" s="627" t="s">
        <v>918</v>
      </c>
      <c r="M29" s="627">
        <v>806</v>
      </c>
      <c r="N29" s="627">
        <v>3627</v>
      </c>
      <c r="O29" s="627">
        <v>5181.4285714285716</v>
      </c>
      <c r="P29" s="627">
        <v>10362.857142857143</v>
      </c>
      <c r="Q29" s="627">
        <v>0</v>
      </c>
      <c r="R29" s="627">
        <v>0</v>
      </c>
      <c r="S29" s="627">
        <v>0</v>
      </c>
      <c r="T29" s="627">
        <v>0</v>
      </c>
      <c r="U29" s="627">
        <v>0</v>
      </c>
      <c r="V29" s="627">
        <v>0</v>
      </c>
      <c r="W29" s="627">
        <v>0</v>
      </c>
      <c r="X29" s="627">
        <v>500</v>
      </c>
      <c r="Y29" s="627" t="s">
        <v>40</v>
      </c>
      <c r="Z29" s="629" t="s">
        <v>388</v>
      </c>
    </row>
    <row r="30" spans="1:26" s="581" customFormat="1" ht="51">
      <c r="A30" s="580"/>
      <c r="B30" s="771">
        <v>11002</v>
      </c>
      <c r="C30" s="771">
        <v>2020</v>
      </c>
      <c r="D30" s="628" t="s">
        <v>922</v>
      </c>
      <c r="E30" s="627" t="s">
        <v>923</v>
      </c>
      <c r="F30" s="627" t="s">
        <v>924</v>
      </c>
      <c r="G30" s="627" t="s">
        <v>916</v>
      </c>
      <c r="H30" s="627" t="s">
        <v>917</v>
      </c>
      <c r="I30" s="627" t="s">
        <v>923</v>
      </c>
      <c r="J30" s="770">
        <v>40483</v>
      </c>
      <c r="K30" s="770">
        <v>40603</v>
      </c>
      <c r="L30" s="627" t="s">
        <v>918</v>
      </c>
      <c r="M30" s="627">
        <v>834</v>
      </c>
      <c r="N30" s="627">
        <v>3753</v>
      </c>
      <c r="O30" s="627">
        <v>5361.4285714285716</v>
      </c>
      <c r="P30" s="627">
        <v>10722.857142857143</v>
      </c>
      <c r="Q30" s="627">
        <v>0</v>
      </c>
      <c r="R30" s="627">
        <v>0</v>
      </c>
      <c r="S30" s="627">
        <v>0</v>
      </c>
      <c r="T30" s="627">
        <v>0</v>
      </c>
      <c r="U30" s="627">
        <v>0</v>
      </c>
      <c r="V30" s="627">
        <v>0</v>
      </c>
      <c r="W30" s="627">
        <v>0</v>
      </c>
      <c r="X30" s="627">
        <v>1500</v>
      </c>
      <c r="Y30" s="627" t="s">
        <v>50</v>
      </c>
      <c r="Z30" s="629" t="s">
        <v>155</v>
      </c>
    </row>
    <row r="31" spans="1:26" s="581" customFormat="1" ht="51">
      <c r="A31" s="580"/>
      <c r="B31" s="771">
        <v>11002</v>
      </c>
      <c r="C31" s="771">
        <v>2018</v>
      </c>
      <c r="D31" s="628" t="s">
        <v>925</v>
      </c>
      <c r="E31" s="627" t="s">
        <v>926</v>
      </c>
      <c r="F31" s="627" t="s">
        <v>927</v>
      </c>
      <c r="G31" s="627" t="s">
        <v>916</v>
      </c>
      <c r="H31" s="627" t="s">
        <v>917</v>
      </c>
      <c r="I31" s="627" t="s">
        <v>926</v>
      </c>
      <c r="J31" s="770">
        <v>40470</v>
      </c>
      <c r="K31" s="770">
        <v>40756</v>
      </c>
      <c r="L31" s="627" t="s">
        <v>918</v>
      </c>
      <c r="M31" s="627">
        <v>60</v>
      </c>
      <c r="N31" s="627">
        <v>270</v>
      </c>
      <c r="O31" s="627">
        <v>385.71428571428572</v>
      </c>
      <c r="P31" s="627">
        <v>771.42857142857144</v>
      </c>
      <c r="Q31" s="627">
        <v>0</v>
      </c>
      <c r="R31" s="627">
        <v>0</v>
      </c>
      <c r="S31" s="627">
        <v>0</v>
      </c>
      <c r="T31" s="627">
        <v>0</v>
      </c>
      <c r="U31" s="627">
        <v>0</v>
      </c>
      <c r="V31" s="627">
        <v>0</v>
      </c>
      <c r="W31" s="627">
        <v>0</v>
      </c>
      <c r="X31" s="627">
        <v>1500</v>
      </c>
      <c r="Y31" s="627" t="s">
        <v>50</v>
      </c>
      <c r="Z31" s="629" t="s">
        <v>155</v>
      </c>
    </row>
    <row r="32" spans="1:26" s="581" customFormat="1" ht="63.75">
      <c r="A32" s="580"/>
      <c r="B32" s="771">
        <v>11002</v>
      </c>
      <c r="C32" s="771">
        <v>2170</v>
      </c>
      <c r="D32" s="628" t="s">
        <v>928</v>
      </c>
      <c r="E32" s="627" t="s">
        <v>929</v>
      </c>
      <c r="F32" s="627" t="s">
        <v>930</v>
      </c>
      <c r="G32" s="627" t="s">
        <v>916</v>
      </c>
      <c r="H32" s="627" t="s">
        <v>917</v>
      </c>
      <c r="I32" s="627" t="s">
        <v>931</v>
      </c>
      <c r="J32" s="770">
        <v>41023</v>
      </c>
      <c r="K32" s="770">
        <v>40942</v>
      </c>
      <c r="L32" s="627" t="s">
        <v>918</v>
      </c>
      <c r="M32" s="627">
        <v>70</v>
      </c>
      <c r="N32" s="627">
        <v>315.00000000000006</v>
      </c>
      <c r="O32" s="627">
        <v>450.00000000000011</v>
      </c>
      <c r="P32" s="627">
        <v>900.00000000000023</v>
      </c>
      <c r="Q32" s="627">
        <v>0</v>
      </c>
      <c r="R32" s="627">
        <v>0</v>
      </c>
      <c r="S32" s="627">
        <v>0</v>
      </c>
      <c r="T32" s="627">
        <v>0</v>
      </c>
      <c r="U32" s="627">
        <v>0</v>
      </c>
      <c r="V32" s="627">
        <v>0</v>
      </c>
      <c r="W32" s="627">
        <v>0</v>
      </c>
      <c r="X32" s="627">
        <v>1600</v>
      </c>
      <c r="Y32" s="627" t="s">
        <v>49</v>
      </c>
      <c r="Z32" s="629" t="s">
        <v>155</v>
      </c>
    </row>
    <row r="33" spans="1:26" s="581" customFormat="1" ht="63.75">
      <c r="A33" s="580"/>
      <c r="B33" s="771">
        <v>11002</v>
      </c>
      <c r="C33" s="771">
        <v>2610</v>
      </c>
      <c r="D33" s="628" t="s">
        <v>928</v>
      </c>
      <c r="E33" s="627" t="s">
        <v>929</v>
      </c>
      <c r="F33" s="627" t="s">
        <v>932</v>
      </c>
      <c r="G33" s="627" t="s">
        <v>916</v>
      </c>
      <c r="H33" s="627" t="s">
        <v>917</v>
      </c>
      <c r="I33" s="627" t="s">
        <v>933</v>
      </c>
      <c r="J33" s="770">
        <v>40963</v>
      </c>
      <c r="K33" s="770">
        <v>41153</v>
      </c>
      <c r="L33" s="627" t="s">
        <v>918</v>
      </c>
      <c r="M33" s="627">
        <v>70</v>
      </c>
      <c r="N33" s="627">
        <v>315.00000000000006</v>
      </c>
      <c r="O33" s="627">
        <v>450.00000000000011</v>
      </c>
      <c r="P33" s="627">
        <v>900.00000000000023</v>
      </c>
      <c r="Q33" s="627">
        <v>0</v>
      </c>
      <c r="R33" s="627">
        <v>0</v>
      </c>
      <c r="S33" s="627">
        <v>0</v>
      </c>
      <c r="T33" s="627">
        <v>0</v>
      </c>
      <c r="U33" s="627">
        <v>0</v>
      </c>
      <c r="V33" s="627">
        <v>0</v>
      </c>
      <c r="W33" s="627">
        <v>0</v>
      </c>
      <c r="X33" s="627">
        <v>1600</v>
      </c>
      <c r="Y33" s="627" t="s">
        <v>49</v>
      </c>
      <c r="Z33" s="629" t="s">
        <v>155</v>
      </c>
    </row>
    <row r="34" spans="1:26" s="581" customFormat="1" ht="63.75">
      <c r="A34" s="580"/>
      <c r="B34" s="771">
        <v>11002</v>
      </c>
      <c r="C34" s="771">
        <v>2018</v>
      </c>
      <c r="D34" s="628" t="s">
        <v>928</v>
      </c>
      <c r="E34" s="627" t="s">
        <v>929</v>
      </c>
      <c r="F34" s="627" t="s">
        <v>934</v>
      </c>
      <c r="G34" s="627" t="s">
        <v>916</v>
      </c>
      <c r="H34" s="627" t="s">
        <v>917</v>
      </c>
      <c r="I34" s="627" t="s">
        <v>935</v>
      </c>
      <c r="J34" s="770">
        <v>40963</v>
      </c>
      <c r="K34" s="770">
        <v>41183</v>
      </c>
      <c r="L34" s="627" t="s">
        <v>918</v>
      </c>
      <c r="M34" s="627">
        <v>199</v>
      </c>
      <c r="N34" s="627">
        <v>895.5</v>
      </c>
      <c r="O34" s="627">
        <v>1279.2857142857142</v>
      </c>
      <c r="P34" s="627">
        <v>2558.5714285714289</v>
      </c>
      <c r="Q34" s="627">
        <v>0</v>
      </c>
      <c r="R34" s="627">
        <v>0</v>
      </c>
      <c r="S34" s="627">
        <v>0</v>
      </c>
      <c r="T34" s="627">
        <v>0</v>
      </c>
      <c r="U34" s="627">
        <v>0</v>
      </c>
      <c r="V34" s="627">
        <v>0</v>
      </c>
      <c r="W34" s="627">
        <v>0</v>
      </c>
      <c r="X34" s="627">
        <v>1600</v>
      </c>
      <c r="Y34" s="627" t="s">
        <v>49</v>
      </c>
      <c r="Z34" s="629" t="s">
        <v>155</v>
      </c>
    </row>
    <row r="35" spans="1:26" s="581" customFormat="1" ht="63.75">
      <c r="A35" s="580"/>
      <c r="B35" s="771">
        <v>11002</v>
      </c>
      <c r="C35" s="771">
        <v>2660</v>
      </c>
      <c r="D35" s="628" t="s">
        <v>928</v>
      </c>
      <c r="E35" s="627" t="s">
        <v>929</v>
      </c>
      <c r="F35" s="627" t="s">
        <v>936</v>
      </c>
      <c r="G35" s="627" t="s">
        <v>916</v>
      </c>
      <c r="H35" s="627" t="s">
        <v>917</v>
      </c>
      <c r="I35" s="627" t="s">
        <v>937</v>
      </c>
      <c r="J35" s="770">
        <v>41257</v>
      </c>
      <c r="K35" s="770">
        <v>41183</v>
      </c>
      <c r="L35" s="627" t="s">
        <v>938</v>
      </c>
      <c r="M35" s="627">
        <v>70</v>
      </c>
      <c r="N35" s="627">
        <v>315.00000000000006</v>
      </c>
      <c r="O35" s="627">
        <v>450.00000000000011</v>
      </c>
      <c r="P35" s="627">
        <v>900.00000000000023</v>
      </c>
      <c r="Q35" s="627">
        <v>0</v>
      </c>
      <c r="R35" s="627">
        <v>0</v>
      </c>
      <c r="S35" s="627">
        <v>0</v>
      </c>
      <c r="T35" s="627">
        <v>0</v>
      </c>
      <c r="U35" s="627">
        <v>0</v>
      </c>
      <c r="V35" s="627">
        <v>0</v>
      </c>
      <c r="W35" s="627">
        <v>0</v>
      </c>
      <c r="X35" s="627">
        <v>1600</v>
      </c>
      <c r="Y35" s="627" t="s">
        <v>49</v>
      </c>
      <c r="Z35" s="629" t="s">
        <v>155</v>
      </c>
    </row>
    <row r="36" spans="1:26" s="581" customFormat="1" ht="63.75">
      <c r="A36" s="580"/>
      <c r="B36" s="771">
        <v>11002</v>
      </c>
      <c r="C36" s="771">
        <v>2140</v>
      </c>
      <c r="D36" s="628" t="s">
        <v>928</v>
      </c>
      <c r="E36" s="627" t="s">
        <v>929</v>
      </c>
      <c r="F36" s="627" t="s">
        <v>939</v>
      </c>
      <c r="G36" s="627" t="s">
        <v>916</v>
      </c>
      <c r="H36" s="627" t="s">
        <v>917</v>
      </c>
      <c r="I36" s="627" t="s">
        <v>940</v>
      </c>
      <c r="J36" s="770">
        <v>41753</v>
      </c>
      <c r="K36" s="770">
        <v>41629</v>
      </c>
      <c r="L36" s="627" t="s">
        <v>918</v>
      </c>
      <c r="M36" s="627">
        <v>70</v>
      </c>
      <c r="N36" s="627">
        <v>315.00000000000006</v>
      </c>
      <c r="O36" s="627">
        <v>450.00000000000011</v>
      </c>
      <c r="P36" s="627">
        <v>900.00000000000023</v>
      </c>
      <c r="Q36" s="627">
        <v>0</v>
      </c>
      <c r="R36" s="627">
        <v>0</v>
      </c>
      <c r="S36" s="627">
        <v>0</v>
      </c>
      <c r="T36" s="627">
        <v>0</v>
      </c>
      <c r="U36" s="627">
        <v>0</v>
      </c>
      <c r="V36" s="627">
        <v>0</v>
      </c>
      <c r="W36" s="627">
        <v>0</v>
      </c>
      <c r="X36" s="627">
        <v>1600</v>
      </c>
      <c r="Y36" s="627" t="s">
        <v>49</v>
      </c>
      <c r="Z36" s="629" t="s">
        <v>155</v>
      </c>
    </row>
    <row r="37" spans="1:26" s="581" customFormat="1" ht="25.5">
      <c r="A37" s="580"/>
      <c r="B37" s="771">
        <v>11002</v>
      </c>
      <c r="C37" s="771">
        <v>2000</v>
      </c>
      <c r="D37" s="628" t="s">
        <v>941</v>
      </c>
      <c r="E37" s="627" t="s">
        <v>942</v>
      </c>
      <c r="F37" s="627" t="s">
        <v>943</v>
      </c>
      <c r="G37" s="627" t="s">
        <v>916</v>
      </c>
      <c r="H37" s="627" t="s">
        <v>917</v>
      </c>
      <c r="I37" s="627" t="s">
        <v>944</v>
      </c>
      <c r="J37" s="770">
        <v>41654</v>
      </c>
      <c r="K37" s="770">
        <v>41656</v>
      </c>
      <c r="L37" s="627" t="s">
        <v>938</v>
      </c>
      <c r="M37" s="627">
        <v>5.5</v>
      </c>
      <c r="N37" s="627">
        <v>22.6875</v>
      </c>
      <c r="O37" s="627">
        <v>32.410714285714285</v>
      </c>
      <c r="P37" s="627">
        <v>64.821428571428569</v>
      </c>
      <c r="Q37" s="627">
        <v>0</v>
      </c>
      <c r="R37" s="627">
        <v>0</v>
      </c>
      <c r="S37" s="627">
        <v>0</v>
      </c>
      <c r="T37" s="627">
        <v>0</v>
      </c>
      <c r="U37" s="627">
        <v>0</v>
      </c>
      <c r="V37" s="627">
        <v>0</v>
      </c>
      <c r="W37" s="627">
        <v>0</v>
      </c>
      <c r="X37" s="627">
        <v>1300</v>
      </c>
      <c r="Y37" s="627" t="s">
        <v>53</v>
      </c>
      <c r="Z37" s="629" t="s">
        <v>155</v>
      </c>
    </row>
    <row r="38" spans="1:26" s="565" customFormat="1">
      <c r="A38" s="583" t="s">
        <v>279</v>
      </c>
      <c r="B38" s="584"/>
      <c r="C38" s="584"/>
      <c r="D38" s="584"/>
      <c r="E38" s="584"/>
      <c r="F38" s="584"/>
      <c r="G38" s="584"/>
      <c r="H38" s="584"/>
      <c r="I38" s="584"/>
      <c r="J38" s="584"/>
      <c r="K38" s="584"/>
      <c r="L38" s="585"/>
      <c r="M38" s="585">
        <f>SUM(M28:M37)</f>
        <v>2404.5</v>
      </c>
      <c r="N38" s="585">
        <f>SUM(N28:N37)</f>
        <v>10818.1875</v>
      </c>
      <c r="O38" s="585">
        <f>SUM(O28:O37)</f>
        <v>15454.553571428572</v>
      </c>
      <c r="P38" s="585">
        <f>SUM(P28:P37)</f>
        <v>30909.107142857145</v>
      </c>
      <c r="Q38" s="585">
        <f>SUM(Q28:Q37)</f>
        <v>0</v>
      </c>
      <c r="R38" s="585">
        <f>SUM(R28:R37)</f>
        <v>0</v>
      </c>
      <c r="S38" s="585">
        <f>SUM(S28:S37)</f>
        <v>0</v>
      </c>
      <c r="T38" s="585">
        <f>SUM(T28:T37)</f>
        <v>0</v>
      </c>
      <c r="U38" s="585">
        <f>SUM(U28:U37)</f>
        <v>0</v>
      </c>
      <c r="V38" s="585">
        <f>SUM(V28:V37)</f>
        <v>0</v>
      </c>
      <c r="W38" s="585">
        <f>SUM(W28:W37)</f>
        <v>0</v>
      </c>
      <c r="X38" s="586"/>
      <c r="Y38" s="586"/>
      <c r="Z38" s="587"/>
    </row>
    <row r="39" spans="1:26" s="565" customFormat="1">
      <c r="A39" s="583" t="s">
        <v>286</v>
      </c>
      <c r="B39" s="584"/>
      <c r="C39" s="584"/>
      <c r="D39" s="584"/>
      <c r="E39" s="584"/>
      <c r="F39" s="584"/>
      <c r="G39" s="584"/>
      <c r="H39" s="584"/>
      <c r="I39" s="584"/>
      <c r="J39" s="584"/>
      <c r="K39" s="584"/>
      <c r="L39" s="585"/>
      <c r="M39" s="585">
        <f>SUMIF($Z$28:$Z$37,"industrie",M28:M37)</f>
        <v>806</v>
      </c>
      <c r="N39" s="585">
        <f>SUMIF($Z$28:$Z$37,"industrie",N28:N37)</f>
        <v>3627</v>
      </c>
      <c r="O39" s="585">
        <f>SUMIF($Z$28:$Z$37,"industrie",O28:O37)</f>
        <v>5181.4285714285716</v>
      </c>
      <c r="P39" s="585">
        <f>SUMIF($Z$28:$Z$37,"industrie",P28:P37)</f>
        <v>10362.857142857143</v>
      </c>
      <c r="Q39" s="585">
        <f>SUMIF($Z$28:$Z$37,"industrie",Q28:Q37)</f>
        <v>0</v>
      </c>
      <c r="R39" s="585">
        <f>SUMIF($Z$28:$Z$37,"industrie",R28:R37)</f>
        <v>0</v>
      </c>
      <c r="S39" s="585">
        <f>SUMIF($Z$28:$Z$37,"industrie",S28:S37)</f>
        <v>0</v>
      </c>
      <c r="T39" s="585">
        <f>SUMIF($Z$28:$Z$37,"industrie",T28:T37)</f>
        <v>0</v>
      </c>
      <c r="U39" s="585">
        <f>SUMIF($Z$28:$Z$37,"industrie",U28:U37)</f>
        <v>0</v>
      </c>
      <c r="V39" s="585">
        <f>SUMIF($Z$28:$Z$37,"industrie",V28:V37)</f>
        <v>0</v>
      </c>
      <c r="W39" s="585">
        <f>SUMIF($Z$28:$Z$37,"industrie",W28:W37)</f>
        <v>0</v>
      </c>
      <c r="X39" s="586"/>
      <c r="Y39" s="586"/>
      <c r="Z39" s="587"/>
    </row>
    <row r="40" spans="1:26" s="565" customFormat="1">
      <c r="A40" s="583" t="s">
        <v>287</v>
      </c>
      <c r="B40" s="584"/>
      <c r="C40" s="584"/>
      <c r="D40" s="584"/>
      <c r="E40" s="584"/>
      <c r="F40" s="584"/>
      <c r="G40" s="584"/>
      <c r="H40" s="584"/>
      <c r="I40" s="584"/>
      <c r="J40" s="584"/>
      <c r="K40" s="584"/>
      <c r="L40" s="585"/>
      <c r="M40" s="585">
        <f ca="1">SUMIF($Z$28:AC37,"tertiair",M28:M37)</f>
        <v>1598.5</v>
      </c>
      <c r="N40" s="585">
        <f ca="1">SUMIF($Z$28:AD37,"tertiair",N28:N37)</f>
        <v>7191.1875</v>
      </c>
      <c r="O40" s="585">
        <f ca="1">SUMIF($Z$28:AE37,"tertiair",O28:O37)</f>
        <v>10273.125</v>
      </c>
      <c r="P40" s="585">
        <f ca="1">SUMIF($Z$28:AF37,"tertiair",P28:P37)</f>
        <v>20546.25</v>
      </c>
      <c r="Q40" s="585">
        <f ca="1">SUMIF($Z$28:AG37,"tertiair",Q28:Q37)</f>
        <v>0</v>
      </c>
      <c r="R40" s="585">
        <f ca="1">SUMIF($Z$28:AH37,"tertiair",R28:R37)</f>
        <v>0</v>
      </c>
      <c r="S40" s="585">
        <f ca="1">SUMIF($Z$28:AI37,"tertiair",S28:S37)</f>
        <v>0</v>
      </c>
      <c r="T40" s="585">
        <f ca="1">SUMIF($Z$28:AJ37,"tertiair",T28:T37)</f>
        <v>0</v>
      </c>
      <c r="U40" s="585">
        <f ca="1">SUMIF($Z$28:AK37,"tertiair",U28:U37)</f>
        <v>0</v>
      </c>
      <c r="V40" s="585">
        <f ca="1">SUMIF($Z$28:AL37,"tertiair",V28:V37)</f>
        <v>0</v>
      </c>
      <c r="W40" s="585">
        <f ca="1">SUMIF($Z$28:AM37,"tertiair",W28:W37)</f>
        <v>0</v>
      </c>
      <c r="X40" s="586"/>
      <c r="Y40" s="586"/>
      <c r="Z40" s="587"/>
    </row>
    <row r="41" spans="1:26" s="565" customFormat="1" ht="15.75" thickBot="1">
      <c r="A41" s="588" t="s">
        <v>288</v>
      </c>
      <c r="B41" s="589"/>
      <c r="C41" s="589"/>
      <c r="D41" s="589"/>
      <c r="E41" s="589"/>
      <c r="F41" s="589"/>
      <c r="G41" s="589"/>
      <c r="H41" s="589"/>
      <c r="I41" s="589"/>
      <c r="J41" s="589"/>
      <c r="K41" s="589"/>
      <c r="L41" s="590"/>
      <c r="M41" s="590">
        <f>SUMIF($Z$28:$Z$37,"landbouw",M28:M37)</f>
        <v>0</v>
      </c>
      <c r="N41" s="590">
        <f>SUMIF($Z$28:$Z$37,"landbouw",N28:N37)</f>
        <v>0</v>
      </c>
      <c r="O41" s="590">
        <f>SUMIF($Z$28:$Z$37,"landbouw",O28:O37)</f>
        <v>0</v>
      </c>
      <c r="P41" s="590">
        <f>SUMIF($Z$28:$Z$37,"landbouw",P28:P37)</f>
        <v>0</v>
      </c>
      <c r="Q41" s="590">
        <f>SUMIF($Z$28:$Z$37,"landbouw",Q28:Q37)</f>
        <v>0</v>
      </c>
      <c r="R41" s="590">
        <f>SUMIF($Z$28:$Z$37,"landbouw",R28:R37)</f>
        <v>0</v>
      </c>
      <c r="S41" s="590">
        <f>SUMIF($Z$28:$Z$37,"landbouw",S28:S37)</f>
        <v>0</v>
      </c>
      <c r="T41" s="590">
        <f>SUMIF($Z$28:$Z$37,"landbouw",T28:T37)</f>
        <v>0</v>
      </c>
      <c r="U41" s="590">
        <f>SUMIF($Z$28:$Z$37,"landbouw",U28:U37)</f>
        <v>0</v>
      </c>
      <c r="V41" s="590">
        <f>SUMIF($Z$28:$Z$37,"landbouw",V28:V37)</f>
        <v>0</v>
      </c>
      <c r="W41" s="590">
        <f>SUMIF($Z$28:$Z$37,"landbouw",W28:W37)</f>
        <v>0</v>
      </c>
      <c r="X41" s="591"/>
      <c r="Y41" s="591"/>
      <c r="Z41" s="592"/>
    </row>
    <row r="42" spans="1:26" s="534" customFormat="1" ht="15.75" thickBot="1">
      <c r="A42" s="593"/>
      <c r="B42" s="594"/>
      <c r="C42" s="594"/>
      <c r="D42" s="594"/>
      <c r="E42" s="594"/>
      <c r="F42" s="594"/>
      <c r="G42" s="594"/>
      <c r="H42" s="594"/>
      <c r="I42" s="594"/>
      <c r="J42" s="594"/>
      <c r="K42" s="594"/>
      <c r="L42" s="577"/>
      <c r="M42" s="577"/>
      <c r="N42" s="577"/>
      <c r="O42" s="578"/>
      <c r="P42" s="578"/>
    </row>
    <row r="43" spans="1:26" s="534" customFormat="1" ht="45">
      <c r="A43" s="595" t="s">
        <v>280</v>
      </c>
      <c r="B43" s="624" t="s">
        <v>89</v>
      </c>
      <c r="C43" s="624" t="s">
        <v>90</v>
      </c>
      <c r="D43" s="624" t="s">
        <v>91</v>
      </c>
      <c r="E43" s="624" t="s">
        <v>92</v>
      </c>
      <c r="F43" s="624" t="s">
        <v>93</v>
      </c>
      <c r="G43" s="624" t="s">
        <v>94</v>
      </c>
      <c r="H43" s="624" t="s">
        <v>95</v>
      </c>
      <c r="I43" s="624" t="s">
        <v>96</v>
      </c>
      <c r="J43" s="624" t="s">
        <v>97</v>
      </c>
      <c r="K43" s="624" t="s">
        <v>98</v>
      </c>
      <c r="L43" s="624" t="s">
        <v>99</v>
      </c>
      <c r="M43" s="625" t="s">
        <v>297</v>
      </c>
      <c r="N43" s="625" t="s">
        <v>100</v>
      </c>
      <c r="O43" s="625" t="s">
        <v>101</v>
      </c>
      <c r="P43" s="625" t="s">
        <v>543</v>
      </c>
      <c r="Q43" s="625" t="s">
        <v>102</v>
      </c>
      <c r="R43" s="625" t="s">
        <v>103</v>
      </c>
      <c r="S43" s="625" t="s">
        <v>104</v>
      </c>
      <c r="T43" s="625" t="s">
        <v>105</v>
      </c>
      <c r="U43" s="625" t="s">
        <v>106</v>
      </c>
      <c r="V43" s="625" t="s">
        <v>107</v>
      </c>
      <c r="W43" s="624" t="s">
        <v>108</v>
      </c>
      <c r="X43" s="624" t="s">
        <v>298</v>
      </c>
      <c r="Y43" s="624" t="s">
        <v>109</v>
      </c>
      <c r="Z43" s="626" t="s">
        <v>299</v>
      </c>
    </row>
    <row r="44" spans="1:26" s="596" customFormat="1" ht="63.75">
      <c r="A44" s="582"/>
      <c r="B44" s="771">
        <v>11002</v>
      </c>
      <c r="C44" s="771">
        <v>2020</v>
      </c>
      <c r="D44" s="630" t="s">
        <v>945</v>
      </c>
      <c r="E44" s="630" t="s">
        <v>946</v>
      </c>
      <c r="F44" s="630" t="s">
        <v>947</v>
      </c>
      <c r="G44" s="630" t="s">
        <v>948</v>
      </c>
      <c r="H44" s="630" t="s">
        <v>949</v>
      </c>
      <c r="I44" s="630" t="s">
        <v>950</v>
      </c>
      <c r="J44" s="770">
        <v>38169</v>
      </c>
      <c r="K44" s="770">
        <v>38261</v>
      </c>
      <c r="L44" s="630" t="s">
        <v>938</v>
      </c>
      <c r="M44" s="630">
        <v>300</v>
      </c>
      <c r="N44" s="630">
        <v>1350</v>
      </c>
      <c r="O44" s="630">
        <v>0</v>
      </c>
      <c r="P44" s="630">
        <v>0</v>
      </c>
      <c r="Q44" s="630">
        <v>3857.1428571428573</v>
      </c>
      <c r="R44" s="630">
        <v>0</v>
      </c>
      <c r="S44" s="630">
        <v>0</v>
      </c>
      <c r="T44" s="630">
        <v>0</v>
      </c>
      <c r="U44" s="630">
        <v>0</v>
      </c>
      <c r="V44" s="630">
        <v>0</v>
      </c>
      <c r="W44" s="630">
        <v>0</v>
      </c>
      <c r="X44" s="630">
        <v>1600</v>
      </c>
      <c r="Y44" s="630" t="s">
        <v>49</v>
      </c>
      <c r="Z44" s="631" t="s">
        <v>155</v>
      </c>
    </row>
    <row r="45" spans="1:26" s="596" customFormat="1" ht="63.75">
      <c r="A45" s="582"/>
      <c r="B45" s="771">
        <v>11002</v>
      </c>
      <c r="C45" s="771">
        <v>2030</v>
      </c>
      <c r="D45" s="630" t="s">
        <v>951</v>
      </c>
      <c r="E45" s="630" t="s">
        <v>952</v>
      </c>
      <c r="F45" s="630" t="s">
        <v>953</v>
      </c>
      <c r="G45" s="630" t="s">
        <v>954</v>
      </c>
      <c r="H45" s="630" t="s">
        <v>949</v>
      </c>
      <c r="I45" s="630" t="s">
        <v>955</v>
      </c>
      <c r="J45" s="770">
        <v>38183</v>
      </c>
      <c r="K45" s="770">
        <v>38200</v>
      </c>
      <c r="L45" s="630" t="s">
        <v>918</v>
      </c>
      <c r="M45" s="630">
        <v>4093</v>
      </c>
      <c r="N45" s="630">
        <v>18418.5</v>
      </c>
      <c r="O45" s="630">
        <v>0</v>
      </c>
      <c r="P45" s="630">
        <v>0</v>
      </c>
      <c r="Q45" s="630">
        <v>0</v>
      </c>
      <c r="R45" s="630">
        <v>52624.285714285717</v>
      </c>
      <c r="S45" s="630">
        <v>0</v>
      </c>
      <c r="T45" s="630">
        <v>0</v>
      </c>
      <c r="U45" s="630">
        <v>0</v>
      </c>
      <c r="V45" s="630">
        <v>0</v>
      </c>
      <c r="W45" s="630">
        <v>0</v>
      </c>
      <c r="X45" s="630">
        <v>1600</v>
      </c>
      <c r="Y45" s="630" t="s">
        <v>49</v>
      </c>
      <c r="Z45" s="631" t="s">
        <v>155</v>
      </c>
    </row>
    <row r="46" spans="1:26" s="565" customFormat="1">
      <c r="A46" s="583" t="s">
        <v>279</v>
      </c>
      <c r="B46" s="584"/>
      <c r="C46" s="584"/>
      <c r="D46" s="584"/>
      <c r="E46" s="584"/>
      <c r="F46" s="584"/>
      <c r="G46" s="584"/>
      <c r="H46" s="584"/>
      <c r="I46" s="584"/>
      <c r="J46" s="584"/>
      <c r="K46" s="584"/>
      <c r="L46" s="585"/>
      <c r="M46" s="585">
        <f>SUM(M44:M45)</f>
        <v>4393</v>
      </c>
      <c r="N46" s="585">
        <f>SUM(N44:N45)</f>
        <v>19768.5</v>
      </c>
      <c r="O46" s="585">
        <f>SUM(O44:O45)</f>
        <v>0</v>
      </c>
      <c r="P46" s="585">
        <f>SUM(P44:P45)</f>
        <v>0</v>
      </c>
      <c r="Q46" s="585">
        <f>SUM(Q44:Q45)</f>
        <v>3857.1428571428573</v>
      </c>
      <c r="R46" s="585">
        <f>SUM(R44:R45)</f>
        <v>52624.285714285717</v>
      </c>
      <c r="S46" s="585">
        <f>SUM(S44:S45)</f>
        <v>0</v>
      </c>
      <c r="T46" s="585">
        <f>SUM(T44:T45)</f>
        <v>0</v>
      </c>
      <c r="U46" s="585">
        <f>SUM(U44:U45)</f>
        <v>0</v>
      </c>
      <c r="V46" s="585">
        <f>SUM(V44:V45)</f>
        <v>0</v>
      </c>
      <c r="W46" s="585">
        <f>SUM(W44:W45)</f>
        <v>0</v>
      </c>
      <c r="X46" s="586"/>
      <c r="Y46" s="586"/>
      <c r="Z46" s="587"/>
    </row>
    <row r="47" spans="1:26" s="565" customFormat="1">
      <c r="A47" s="583" t="s">
        <v>286</v>
      </c>
      <c r="B47" s="584"/>
      <c r="C47" s="584"/>
      <c r="D47" s="584"/>
      <c r="E47" s="584"/>
      <c r="F47" s="584"/>
      <c r="G47" s="584"/>
      <c r="H47" s="584"/>
      <c r="I47" s="584"/>
      <c r="J47" s="584"/>
      <c r="K47" s="584"/>
      <c r="L47" s="585"/>
      <c r="M47" s="585">
        <f>SUMIF($Z$44:$Z$45,"industrie",M44:M45)</f>
        <v>0</v>
      </c>
      <c r="N47" s="585">
        <f>SUMIF($Z$44:$Z$45,"industrie",N44:N45)</f>
        <v>0</v>
      </c>
      <c r="O47" s="585">
        <f>SUMIF($Z$44:$Z$45,"industrie",O44:O45)</f>
        <v>0</v>
      </c>
      <c r="P47" s="585">
        <f>SUMIF($Z$44:$Z$45,"industrie",P44:P45)</f>
        <v>0</v>
      </c>
      <c r="Q47" s="585">
        <f>SUMIF($Z$44:$Z$45,"industrie",Q44:Q45)</f>
        <v>0</v>
      </c>
      <c r="R47" s="585">
        <f>SUMIF($Z$44:$Z$45,"industrie",R44:R45)</f>
        <v>0</v>
      </c>
      <c r="S47" s="585">
        <f>SUMIF($Z$44:$Z$45,"industrie",S44:S45)</f>
        <v>0</v>
      </c>
      <c r="T47" s="585">
        <f>SUMIF($Z$44:$Z$45,"industrie",T44:T45)</f>
        <v>0</v>
      </c>
      <c r="U47" s="585">
        <f>SUMIF($Z$44:$Z$45,"industrie",U44:U45)</f>
        <v>0</v>
      </c>
      <c r="V47" s="585">
        <f>SUMIF($Z$44:$Z$45,"industrie",V44:V45)</f>
        <v>0</v>
      </c>
      <c r="W47" s="585">
        <f>SUMIF($Z$44:$Z$45,"industrie",W44:W45)</f>
        <v>0</v>
      </c>
      <c r="X47" s="586"/>
      <c r="Y47" s="586"/>
      <c r="Z47" s="587"/>
    </row>
    <row r="48" spans="1:26" s="565" customFormat="1">
      <c r="A48" s="583" t="s">
        <v>287</v>
      </c>
      <c r="B48" s="584"/>
      <c r="C48" s="584"/>
      <c r="D48" s="584"/>
      <c r="E48" s="584"/>
      <c r="F48" s="584"/>
      <c r="G48" s="584"/>
      <c r="H48" s="584"/>
      <c r="I48" s="584"/>
      <c r="J48" s="584"/>
      <c r="K48" s="584"/>
      <c r="L48" s="585"/>
      <c r="M48" s="585">
        <f>SUMIF($Z$44:$Z$46,"tertiair",M44:M46)</f>
        <v>4393</v>
      </c>
      <c r="N48" s="585">
        <f>SUMIF($Z$44:$Z$46,"tertiair",N44:N46)</f>
        <v>19768.5</v>
      </c>
      <c r="O48" s="585">
        <f>SUMIF($Z$44:$Z$46,"tertiair",O44:O46)</f>
        <v>0</v>
      </c>
      <c r="P48" s="585">
        <f>SUMIF($Z$44:$Z$46,"tertiair",P44:P46)</f>
        <v>0</v>
      </c>
      <c r="Q48" s="585">
        <f>SUMIF($Z$44:$Z$46,"tertiair",Q44:Q46)</f>
        <v>3857.1428571428573</v>
      </c>
      <c r="R48" s="585">
        <f>SUMIF($Z$44:$Z$46,"tertiair",R44:R46)</f>
        <v>52624.285714285717</v>
      </c>
      <c r="S48" s="585">
        <f>SUMIF($Z$44:$Z$46,"tertiair",S44:S46)</f>
        <v>0</v>
      </c>
      <c r="T48" s="585">
        <f>SUMIF($Z$44:$Z$46,"tertiair",T44:T46)</f>
        <v>0</v>
      </c>
      <c r="U48" s="585">
        <f>SUMIF($Z$44:$Z$46,"tertiair",U44:U46)</f>
        <v>0</v>
      </c>
      <c r="V48" s="585">
        <f>SUMIF($Z$44:$Z$46,"tertiair",V44:V46)</f>
        <v>0</v>
      </c>
      <c r="W48" s="585">
        <f>SUMIF($Z$44:$Z$46,"tertiair",W44:W46)</f>
        <v>0</v>
      </c>
      <c r="X48" s="586"/>
      <c r="Y48" s="586"/>
      <c r="Z48" s="587"/>
    </row>
    <row r="49" spans="1:27" s="565" customFormat="1" ht="15.75" thickBot="1">
      <c r="A49" s="588" t="s">
        <v>288</v>
      </c>
      <c r="B49" s="589"/>
      <c r="C49" s="589"/>
      <c r="D49" s="589"/>
      <c r="E49" s="589"/>
      <c r="F49" s="589"/>
      <c r="G49" s="589"/>
      <c r="H49" s="589"/>
      <c r="I49" s="589"/>
      <c r="J49" s="589"/>
      <c r="K49" s="589"/>
      <c r="L49" s="590"/>
      <c r="M49" s="590">
        <f>SUMIF($Z$44:$Z$47,"landbouw",M44:M47)</f>
        <v>0</v>
      </c>
      <c r="N49" s="590">
        <f>SUMIF($Z$44:$Z$47,"landbouw",N44:N47)</f>
        <v>0</v>
      </c>
      <c r="O49" s="590">
        <f>SUMIF($Z$44:$Z$47,"landbouw",O44:O47)</f>
        <v>0</v>
      </c>
      <c r="P49" s="590">
        <f>SUMIF($Z$44:$Z$47,"landbouw",P44:P47)</f>
        <v>0</v>
      </c>
      <c r="Q49" s="590">
        <f>SUMIF($Z$44:$Z$47,"landbouw",Q44:Q47)</f>
        <v>0</v>
      </c>
      <c r="R49" s="590">
        <f>SUMIF($Z$44:$Z$47,"landbouw",R44:R47)</f>
        <v>0</v>
      </c>
      <c r="S49" s="590">
        <f>SUMIF($Z$44:$Z$47,"landbouw",S44:S47)</f>
        <v>0</v>
      </c>
      <c r="T49" s="590">
        <f>SUMIF($Z$44:$Z$47,"landbouw",T44:T47)</f>
        <v>0</v>
      </c>
      <c r="U49" s="590">
        <f>SUMIF($Z$44:$Z$47,"landbouw",U44:U47)</f>
        <v>0</v>
      </c>
      <c r="V49" s="590">
        <f>SUMIF($Z$44:$Z$47,"landbouw",V44:V47)</f>
        <v>0</v>
      </c>
      <c r="W49" s="590">
        <f>SUMIF($Z$44:$Z$47,"landbouw",W44:W47)</f>
        <v>0</v>
      </c>
      <c r="X49" s="591"/>
      <c r="Y49" s="591"/>
      <c r="Z49" s="592"/>
    </row>
    <row r="50" spans="1:27" s="597" customFormat="1">
      <c r="A50" s="593"/>
      <c r="B50" s="577"/>
      <c r="C50" s="577"/>
      <c r="D50" s="577"/>
      <c r="E50" s="577"/>
      <c r="F50" s="577"/>
      <c r="G50" s="577"/>
      <c r="H50" s="577"/>
      <c r="I50" s="577"/>
      <c r="J50" s="577"/>
      <c r="K50" s="577"/>
      <c r="L50" s="577"/>
      <c r="M50" s="577"/>
      <c r="N50" s="577"/>
      <c r="O50" s="577"/>
      <c r="P50" s="577"/>
      <c r="Q50" s="577"/>
      <c r="R50" s="577"/>
      <c r="S50" s="577"/>
      <c r="T50" s="577"/>
      <c r="U50" s="577"/>
      <c r="V50" s="577"/>
      <c r="W50" s="577"/>
      <c r="X50" s="577"/>
      <c r="Y50" s="577"/>
    </row>
    <row r="51" spans="1:27" s="597" customFormat="1" ht="15.75" thickBot="1">
      <c r="A51" s="593"/>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77"/>
      <c r="Z51" s="577"/>
      <c r="AA51" s="577"/>
    </row>
    <row r="52" spans="1:27">
      <c r="A52" s="598" t="s">
        <v>281</v>
      </c>
      <c r="B52" s="599"/>
      <c r="C52" s="599"/>
      <c r="D52" s="599"/>
      <c r="E52" s="599"/>
      <c r="F52" s="599"/>
      <c r="G52" s="599"/>
      <c r="H52" s="599"/>
      <c r="I52" s="600"/>
      <c r="J52" s="601"/>
      <c r="K52" s="601"/>
      <c r="L52" s="602"/>
      <c r="M52" s="602"/>
      <c r="N52" s="602"/>
      <c r="O52" s="602"/>
      <c r="P52" s="602"/>
    </row>
    <row r="53" spans="1:27">
      <c r="A53" s="604"/>
      <c r="B53" s="594"/>
      <c r="C53" s="594"/>
      <c r="D53" s="594"/>
      <c r="E53" s="594"/>
      <c r="F53" s="594"/>
      <c r="G53" s="594"/>
      <c r="H53" s="594"/>
      <c r="I53" s="605"/>
      <c r="J53" s="594"/>
      <c r="K53" s="594"/>
      <c r="L53" s="602"/>
      <c r="M53" s="602"/>
      <c r="N53" s="602"/>
      <c r="O53" s="602"/>
      <c r="P53" s="602"/>
    </row>
    <row r="54" spans="1:27">
      <c r="A54" s="606"/>
      <c r="B54" s="607" t="s">
        <v>282</v>
      </c>
      <c r="C54" s="607" t="s">
        <v>283</v>
      </c>
      <c r="D54" s="607"/>
      <c r="E54" s="607"/>
      <c r="F54" s="607"/>
      <c r="G54" s="607"/>
      <c r="H54" s="607"/>
      <c r="I54" s="608"/>
      <c r="J54" s="607"/>
      <c r="K54" s="607"/>
      <c r="L54" s="607"/>
      <c r="M54" s="607"/>
      <c r="N54" s="607"/>
      <c r="O54" s="607"/>
      <c r="P54" s="602"/>
    </row>
    <row r="55" spans="1:27">
      <c r="A55" s="604" t="s">
        <v>279</v>
      </c>
      <c r="B55" s="609">
        <f>IF(ISERROR(O38/(O38+N38)),0,O38/(O38+N38))</f>
        <v>0.58823529411764708</v>
      </c>
      <c r="C55" s="610">
        <f>IF(ISERROR(N38/(O38+N38)),0,N38/(N38+O38))</f>
        <v>0.41176470588235292</v>
      </c>
      <c r="D55" s="577"/>
      <c r="E55" s="577"/>
      <c r="F55" s="577"/>
      <c r="G55" s="577"/>
      <c r="H55" s="577"/>
      <c r="I55" s="611"/>
      <c r="J55" s="577"/>
      <c r="K55" s="577"/>
      <c r="L55" s="612"/>
      <c r="M55" s="612"/>
      <c r="N55" s="612"/>
      <c r="O55" s="612"/>
      <c r="P55" s="602"/>
    </row>
    <row r="56" spans="1:27">
      <c r="A56" s="604"/>
      <c r="B56" s="613"/>
      <c r="C56" s="613"/>
      <c r="D56" s="613"/>
      <c r="E56" s="613"/>
      <c r="F56" s="613"/>
      <c r="G56" s="613"/>
      <c r="H56" s="613"/>
      <c r="I56" s="614"/>
      <c r="J56" s="613"/>
      <c r="K56" s="613"/>
      <c r="L56" s="615"/>
      <c r="M56" s="615"/>
      <c r="N56" s="615"/>
      <c r="O56" s="615"/>
      <c r="P56" s="602"/>
    </row>
    <row r="57" spans="1:27" ht="30">
      <c r="A57" s="616"/>
      <c r="B57" s="617" t="s">
        <v>543</v>
      </c>
      <c r="C57" s="617" t="s">
        <v>102</v>
      </c>
      <c r="D57" s="617" t="s">
        <v>103</v>
      </c>
      <c r="E57" s="617" t="s">
        <v>104</v>
      </c>
      <c r="F57" s="617" t="s">
        <v>105</v>
      </c>
      <c r="G57" s="617" t="s">
        <v>106</v>
      </c>
      <c r="H57" s="617" t="s">
        <v>107</v>
      </c>
      <c r="I57" s="618" t="s">
        <v>108</v>
      </c>
      <c r="J57" s="607"/>
      <c r="K57" s="607"/>
      <c r="L57" s="615"/>
      <c r="M57" s="615"/>
      <c r="N57" s="615"/>
      <c r="O57" s="602"/>
      <c r="P57" s="602"/>
    </row>
    <row r="58" spans="1:27">
      <c r="A58" s="606" t="s">
        <v>284</v>
      </c>
      <c r="B58" s="619">
        <f t="shared" ref="B58:I58" si="2">$C$55*P38</f>
        <v>12727.279411764706</v>
      </c>
      <c r="C58" s="619">
        <f t="shared" si="2"/>
        <v>0</v>
      </c>
      <c r="D58" s="619">
        <f t="shared" si="2"/>
        <v>0</v>
      </c>
      <c r="E58" s="619">
        <f t="shared" si="2"/>
        <v>0</v>
      </c>
      <c r="F58" s="619">
        <f t="shared" si="2"/>
        <v>0</v>
      </c>
      <c r="G58" s="619">
        <f t="shared" si="2"/>
        <v>0</v>
      </c>
      <c r="H58" s="619">
        <f t="shared" si="2"/>
        <v>0</v>
      </c>
      <c r="I58" s="620">
        <f t="shared" si="2"/>
        <v>0</v>
      </c>
      <c r="J58" s="577"/>
      <c r="K58" s="577"/>
      <c r="L58" s="615"/>
      <c r="M58" s="615"/>
      <c r="N58" s="615"/>
      <c r="O58" s="602"/>
      <c r="P58" s="602"/>
    </row>
    <row r="59" spans="1:27" ht="15.75" thickBot="1">
      <c r="A59" s="621" t="s">
        <v>285</v>
      </c>
      <c r="B59" s="622">
        <f t="shared" ref="B59:I59" si="3">$B$55*P38</f>
        <v>18181.827731092439</v>
      </c>
      <c r="C59" s="622">
        <f t="shared" si="3"/>
        <v>0</v>
      </c>
      <c r="D59" s="622">
        <f t="shared" si="3"/>
        <v>0</v>
      </c>
      <c r="E59" s="622">
        <f t="shared" si="3"/>
        <v>0</v>
      </c>
      <c r="F59" s="622">
        <f t="shared" si="3"/>
        <v>0</v>
      </c>
      <c r="G59" s="622">
        <f t="shared" si="3"/>
        <v>0</v>
      </c>
      <c r="H59" s="622">
        <f t="shared" si="3"/>
        <v>0</v>
      </c>
      <c r="I59" s="623">
        <f t="shared" si="3"/>
        <v>0</v>
      </c>
      <c r="J59" s="577"/>
      <c r="K59" s="577"/>
      <c r="L59" s="615"/>
      <c r="M59" s="615"/>
      <c r="N59" s="615"/>
      <c r="O59" s="602"/>
      <c r="P59" s="602"/>
    </row>
    <row r="60" spans="1:27">
      <c r="J60" s="563"/>
      <c r="K60" s="563"/>
      <c r="L60" s="563"/>
      <c r="M60" s="563"/>
      <c r="N60" s="563"/>
    </row>
    <row r="61" spans="1:27">
      <c r="J61" s="563"/>
      <c r="K61" s="563"/>
      <c r="L61" s="563"/>
      <c r="M61" s="563"/>
      <c r="N6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672316.55226806435</v>
      </c>
      <c r="C4" s="452">
        <f>huishoudens!C8</f>
        <v>0</v>
      </c>
      <c r="D4" s="452">
        <f>huishoudens!D8</f>
        <v>1935842.1270740563</v>
      </c>
      <c r="E4" s="452">
        <f>huishoudens!E8</f>
        <v>150309.81220610876</v>
      </c>
      <c r="F4" s="452">
        <f>huishoudens!F8</f>
        <v>136923.69393143721</v>
      </c>
      <c r="G4" s="452">
        <f>huishoudens!G8</f>
        <v>0</v>
      </c>
      <c r="H4" s="452">
        <f>huishoudens!H8</f>
        <v>0</v>
      </c>
      <c r="I4" s="452">
        <f>huishoudens!I8</f>
        <v>0</v>
      </c>
      <c r="J4" s="452">
        <f>huishoudens!J8</f>
        <v>0</v>
      </c>
      <c r="K4" s="452">
        <f>huishoudens!K8</f>
        <v>0</v>
      </c>
      <c r="L4" s="452">
        <f>huishoudens!L8</f>
        <v>0</v>
      </c>
      <c r="M4" s="452">
        <f>huishoudens!M8</f>
        <v>0</v>
      </c>
      <c r="N4" s="452">
        <f>huishoudens!N8</f>
        <v>103875.5634223114</v>
      </c>
      <c r="O4" s="452">
        <f>huishoudens!O8</f>
        <v>997.40666666666664</v>
      </c>
      <c r="P4" s="453">
        <f>huishoudens!P8</f>
        <v>1029.5999999999999</v>
      </c>
      <c r="Q4" s="454">
        <f>SUM(B4:P4)</f>
        <v>3001294.755568645</v>
      </c>
    </row>
    <row r="5" spans="1:17">
      <c r="A5" s="451" t="s">
        <v>155</v>
      </c>
      <c r="B5" s="452">
        <f ca="1">tertiair!B16</f>
        <v>1199616.3648751613</v>
      </c>
      <c r="C5" s="452">
        <f ca="1">tertiair!C16</f>
        <v>10273.125</v>
      </c>
      <c r="D5" s="452">
        <f ca="1">tertiair!D16</f>
        <v>1405795.4320636468</v>
      </c>
      <c r="E5" s="452">
        <f>tertiair!E16</f>
        <v>9215.7108102972506</v>
      </c>
      <c r="F5" s="452">
        <f ca="1">tertiair!F16</f>
        <v>165268.6302974179</v>
      </c>
      <c r="G5" s="452">
        <f>tertiair!G16</f>
        <v>0</v>
      </c>
      <c r="H5" s="452">
        <f>tertiair!H16</f>
        <v>0</v>
      </c>
      <c r="I5" s="452">
        <f>tertiair!I16</f>
        <v>0</v>
      </c>
      <c r="J5" s="452">
        <f>tertiair!J16</f>
        <v>0</v>
      </c>
      <c r="K5" s="452">
        <f>tertiair!K16</f>
        <v>0</v>
      </c>
      <c r="L5" s="452">
        <f ca="1">tertiair!L16</f>
        <v>0</v>
      </c>
      <c r="M5" s="452">
        <f>tertiair!M16</f>
        <v>0</v>
      </c>
      <c r="N5" s="452">
        <f ca="1">tertiair!N16</f>
        <v>6635.731406470426</v>
      </c>
      <c r="O5" s="452">
        <f>tertiair!O16</f>
        <v>21.88666666666667</v>
      </c>
      <c r="P5" s="453">
        <f>tertiair!P16</f>
        <v>762.66666666666674</v>
      </c>
      <c r="Q5" s="451">
        <f t="shared" ref="Q5:Q14" ca="1" si="0">SUM(B5:P5)</f>
        <v>2797589.5477863266</v>
      </c>
    </row>
    <row r="6" spans="1:17">
      <c r="A6" s="451" t="s">
        <v>193</v>
      </c>
      <c r="B6" s="452">
        <f>'openbare verlichting'!B8</f>
        <v>29431.967000000001</v>
      </c>
      <c r="C6" s="452"/>
      <c r="D6" s="452"/>
      <c r="E6" s="452"/>
      <c r="F6" s="452"/>
      <c r="G6" s="452"/>
      <c r="H6" s="452"/>
      <c r="I6" s="452"/>
      <c r="J6" s="452"/>
      <c r="K6" s="452"/>
      <c r="L6" s="452"/>
      <c r="M6" s="452"/>
      <c r="N6" s="452"/>
      <c r="O6" s="452"/>
      <c r="P6" s="453"/>
      <c r="Q6" s="451">
        <f t="shared" si="0"/>
        <v>29431.967000000001</v>
      </c>
    </row>
    <row r="7" spans="1:17">
      <c r="A7" s="451" t="s">
        <v>111</v>
      </c>
      <c r="B7" s="452">
        <f>landbouw!B8</f>
        <v>22741.204300000001</v>
      </c>
      <c r="C7" s="452">
        <f>landbouw!C8</f>
        <v>0</v>
      </c>
      <c r="D7" s="452">
        <f>landbouw!D8</f>
        <v>20091.531089166834</v>
      </c>
      <c r="E7" s="452">
        <f>landbouw!E8</f>
        <v>210.63855911850723</v>
      </c>
      <c r="F7" s="452">
        <f>landbouw!F8</f>
        <v>57698.767504073374</v>
      </c>
      <c r="G7" s="452">
        <f>landbouw!G8</f>
        <v>0</v>
      </c>
      <c r="H7" s="452">
        <f>landbouw!H8</f>
        <v>0</v>
      </c>
      <c r="I7" s="452">
        <f>landbouw!I8</f>
        <v>0</v>
      </c>
      <c r="J7" s="452">
        <f>landbouw!J8</f>
        <v>3486.4804117707063</v>
      </c>
      <c r="K7" s="452">
        <f>landbouw!K8</f>
        <v>0</v>
      </c>
      <c r="L7" s="452">
        <f>landbouw!L8</f>
        <v>0</v>
      </c>
      <c r="M7" s="452">
        <f>landbouw!M8</f>
        <v>0</v>
      </c>
      <c r="N7" s="452">
        <f>landbouw!N8</f>
        <v>0</v>
      </c>
      <c r="O7" s="452">
        <f>landbouw!O8</f>
        <v>0</v>
      </c>
      <c r="P7" s="453">
        <f>landbouw!P8</f>
        <v>0</v>
      </c>
      <c r="Q7" s="451">
        <f t="shared" si="0"/>
        <v>104228.62186412943</v>
      </c>
    </row>
    <row r="8" spans="1:17">
      <c r="A8" s="451" t="s">
        <v>649</v>
      </c>
      <c r="B8" s="452">
        <f>industrie!B18</f>
        <v>334332.77194000001</v>
      </c>
      <c r="C8" s="452">
        <f>industrie!C18</f>
        <v>5181.4285714285716</v>
      </c>
      <c r="D8" s="452">
        <f>industrie!D18</f>
        <v>268534.60513743875</v>
      </c>
      <c r="E8" s="452">
        <f>industrie!E18</f>
        <v>18916.280409622934</v>
      </c>
      <c r="F8" s="452">
        <f>industrie!F18</f>
        <v>288455.96829229902</v>
      </c>
      <c r="G8" s="452">
        <f>industrie!G18</f>
        <v>0</v>
      </c>
      <c r="H8" s="452">
        <f>industrie!H18</f>
        <v>0</v>
      </c>
      <c r="I8" s="452">
        <f>industrie!I18</f>
        <v>0</v>
      </c>
      <c r="J8" s="452">
        <f>industrie!J18</f>
        <v>2877.0319145416179</v>
      </c>
      <c r="K8" s="452">
        <f>industrie!K18</f>
        <v>0</v>
      </c>
      <c r="L8" s="452">
        <f>industrie!L18</f>
        <v>0</v>
      </c>
      <c r="M8" s="452">
        <f>industrie!M18</f>
        <v>0</v>
      </c>
      <c r="N8" s="452">
        <f>industrie!N18</f>
        <v>67454.508308914941</v>
      </c>
      <c r="O8" s="452">
        <f>industrie!O18</f>
        <v>0</v>
      </c>
      <c r="P8" s="453">
        <f>industrie!P18</f>
        <v>0</v>
      </c>
      <c r="Q8" s="451">
        <f t="shared" si="0"/>
        <v>985752.59457424574</v>
      </c>
    </row>
    <row r="9" spans="1:17" s="457" customFormat="1">
      <c r="A9" s="455" t="s">
        <v>570</v>
      </c>
      <c r="B9" s="456">
        <f>transport!B14</f>
        <v>324.53901908879612</v>
      </c>
      <c r="C9" s="456">
        <f>transport!C14</f>
        <v>0</v>
      </c>
      <c r="D9" s="456">
        <f>transport!D14</f>
        <v>625.36853015700842</v>
      </c>
      <c r="E9" s="456">
        <f>transport!E14</f>
        <v>6755.2367074453123</v>
      </c>
      <c r="F9" s="456">
        <f>transport!F14</f>
        <v>0</v>
      </c>
      <c r="G9" s="456">
        <f>transport!G14</f>
        <v>2416775.939847942</v>
      </c>
      <c r="H9" s="456">
        <f>transport!H14</f>
        <v>389230.29531334579</v>
      </c>
      <c r="I9" s="456">
        <f>transport!I14</f>
        <v>0</v>
      </c>
      <c r="J9" s="456">
        <f>transport!J14</f>
        <v>0</v>
      </c>
      <c r="K9" s="456">
        <f>transport!K14</f>
        <v>0</v>
      </c>
      <c r="L9" s="456">
        <f>transport!L14</f>
        <v>0</v>
      </c>
      <c r="M9" s="456">
        <f>transport!M14</f>
        <v>151990.42270222257</v>
      </c>
      <c r="N9" s="456">
        <f>transport!N14</f>
        <v>0</v>
      </c>
      <c r="O9" s="456">
        <f>transport!O14</f>
        <v>0</v>
      </c>
      <c r="P9" s="456">
        <f>transport!P14</f>
        <v>0</v>
      </c>
      <c r="Q9" s="455">
        <f>SUM(B9:P9)</f>
        <v>2965701.8021202013</v>
      </c>
    </row>
    <row r="10" spans="1:17">
      <c r="A10" s="451" t="s">
        <v>560</v>
      </c>
      <c r="B10" s="452">
        <f>transport!B54</f>
        <v>33528.360712848582</v>
      </c>
      <c r="C10" s="452">
        <f>transport!C54</f>
        <v>0</v>
      </c>
      <c r="D10" s="452">
        <f>transport!D54</f>
        <v>0</v>
      </c>
      <c r="E10" s="452">
        <f>transport!E54</f>
        <v>0</v>
      </c>
      <c r="F10" s="452">
        <f>transport!F54</f>
        <v>0</v>
      </c>
      <c r="G10" s="452">
        <f>transport!G54</f>
        <v>47865.504425083876</v>
      </c>
      <c r="H10" s="452">
        <f>transport!H54</f>
        <v>0</v>
      </c>
      <c r="I10" s="452">
        <f>transport!I54</f>
        <v>0</v>
      </c>
      <c r="J10" s="452">
        <f>transport!J54</f>
        <v>0</v>
      </c>
      <c r="K10" s="452">
        <f>transport!K54</f>
        <v>0</v>
      </c>
      <c r="L10" s="452">
        <f>transport!L54</f>
        <v>0</v>
      </c>
      <c r="M10" s="452">
        <f>transport!M54</f>
        <v>2735.8465443243485</v>
      </c>
      <c r="N10" s="452">
        <f>transport!N54</f>
        <v>0</v>
      </c>
      <c r="O10" s="452">
        <f>transport!O54</f>
        <v>0</v>
      </c>
      <c r="P10" s="453">
        <f>transport!P54</f>
        <v>0</v>
      </c>
      <c r="Q10" s="451">
        <f t="shared" si="0"/>
        <v>84129.711682256806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46032.928</v>
      </c>
      <c r="C14" s="459"/>
      <c r="D14" s="459">
        <f>'SEAP template'!E25</f>
        <v>139573.68458969</v>
      </c>
      <c r="E14" s="459"/>
      <c r="F14" s="459"/>
      <c r="G14" s="459"/>
      <c r="H14" s="459"/>
      <c r="I14" s="459"/>
      <c r="J14" s="459"/>
      <c r="K14" s="459"/>
      <c r="L14" s="459"/>
      <c r="M14" s="459"/>
      <c r="N14" s="459"/>
      <c r="O14" s="459"/>
      <c r="P14" s="460"/>
      <c r="Q14" s="451">
        <f t="shared" si="0"/>
        <v>185606.61258969002</v>
      </c>
    </row>
    <row r="15" spans="1:17" s="461" customFormat="1">
      <c r="A15" s="1017" t="s">
        <v>564</v>
      </c>
      <c r="B15" s="957">
        <f ca="1">SUM(B4:B14)</f>
        <v>2338324.6881151628</v>
      </c>
      <c r="C15" s="957">
        <f t="shared" ref="C15:Q15" ca="1" si="1">SUM(C4:C14)</f>
        <v>15454.553571428572</v>
      </c>
      <c r="D15" s="957">
        <f t="shared" ca="1" si="1"/>
        <v>3770462.7484841556</v>
      </c>
      <c r="E15" s="957">
        <f t="shared" si="1"/>
        <v>185407.67869259277</v>
      </c>
      <c r="F15" s="957">
        <f t="shared" ca="1" si="1"/>
        <v>648347.06002522749</v>
      </c>
      <c r="G15" s="957">
        <f t="shared" si="1"/>
        <v>2464641.4442730257</v>
      </c>
      <c r="H15" s="957">
        <f t="shared" si="1"/>
        <v>389230.29531334579</v>
      </c>
      <c r="I15" s="957">
        <f t="shared" si="1"/>
        <v>0</v>
      </c>
      <c r="J15" s="957">
        <f t="shared" si="1"/>
        <v>6363.5123263123241</v>
      </c>
      <c r="K15" s="957">
        <f t="shared" si="1"/>
        <v>0</v>
      </c>
      <c r="L15" s="957">
        <f t="shared" ca="1" si="1"/>
        <v>0</v>
      </c>
      <c r="M15" s="957">
        <f t="shared" si="1"/>
        <v>154726.26924654693</v>
      </c>
      <c r="N15" s="957">
        <f t="shared" ca="1" si="1"/>
        <v>177965.80313769676</v>
      </c>
      <c r="O15" s="957">
        <f t="shared" si="1"/>
        <v>1019.2933333333333</v>
      </c>
      <c r="P15" s="957">
        <f t="shared" si="1"/>
        <v>1792.2666666666667</v>
      </c>
      <c r="Q15" s="957">
        <f t="shared" ca="1" si="1"/>
        <v>10153735.613185495</v>
      </c>
    </row>
    <row r="17" spans="1:17">
      <c r="A17" s="462" t="s">
        <v>565</v>
      </c>
      <c r="B17" s="761">
        <f ca="1">huishoudens!B10</f>
        <v>0.20750122138300278</v>
      </c>
      <c r="C17" s="761">
        <f ca="1">huishoudens!C10</f>
        <v>0.23764705882352943</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139506.50575163279</v>
      </c>
      <c r="C22" s="452">
        <f t="shared" ref="C22:C32" ca="1" si="3">C4*$C$17</f>
        <v>0</v>
      </c>
      <c r="D22" s="452">
        <f t="shared" ref="D22:D32" si="4">D4*$D$17</f>
        <v>391040.1096689594</v>
      </c>
      <c r="E22" s="452">
        <f t="shared" ref="E22:E32" si="5">E4*$E$17</f>
        <v>34120.32737078669</v>
      </c>
      <c r="F22" s="452">
        <f t="shared" ref="F22:F32" si="6">F4*$F$17</f>
        <v>36558.626279693737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601225.56907107262</v>
      </c>
    </row>
    <row r="23" spans="1:17">
      <c r="A23" s="451" t="s">
        <v>155</v>
      </c>
      <c r="B23" s="452">
        <f t="shared" ca="1" si="2"/>
        <v>248921.8609026339</v>
      </c>
      <c r="C23" s="452">
        <f t="shared" ca="1" si="3"/>
        <v>2441.3779411764708</v>
      </c>
      <c r="D23" s="452">
        <f t="shared" ca="1" si="4"/>
        <v>283970.67727685667</v>
      </c>
      <c r="E23" s="452">
        <f t="shared" si="5"/>
        <v>2091.966353937476</v>
      </c>
      <c r="F23" s="452">
        <f t="shared" ca="1" si="6"/>
        <v>44126.72428941058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581552.60676401516</v>
      </c>
    </row>
    <row r="24" spans="1:17">
      <c r="A24" s="451" t="s">
        <v>193</v>
      </c>
      <c r="B24" s="452">
        <f t="shared" ca="1" si="2"/>
        <v>6107.1691002042326</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6107.1691002042326</v>
      </c>
    </row>
    <row r="25" spans="1:17">
      <c r="A25" s="451" t="s">
        <v>111</v>
      </c>
      <c r="B25" s="452">
        <f t="shared" ca="1" si="2"/>
        <v>4718.8276679703949</v>
      </c>
      <c r="C25" s="452">
        <f t="shared" ca="1" si="3"/>
        <v>0</v>
      </c>
      <c r="D25" s="452">
        <f t="shared" si="4"/>
        <v>4058.4892800117009</v>
      </c>
      <c r="E25" s="452">
        <f t="shared" si="5"/>
        <v>47.814952919901145</v>
      </c>
      <c r="F25" s="452">
        <f t="shared" si="6"/>
        <v>15405.570923587591</v>
      </c>
      <c r="G25" s="452">
        <f t="shared" si="7"/>
        <v>0</v>
      </c>
      <c r="H25" s="452">
        <f t="shared" si="8"/>
        <v>0</v>
      </c>
      <c r="I25" s="452">
        <f t="shared" si="9"/>
        <v>0</v>
      </c>
      <c r="J25" s="452">
        <f t="shared" si="10"/>
        <v>1234.2140657668299</v>
      </c>
      <c r="K25" s="452">
        <f t="shared" si="11"/>
        <v>0</v>
      </c>
      <c r="L25" s="452">
        <f t="shared" si="12"/>
        <v>0</v>
      </c>
      <c r="M25" s="452">
        <f t="shared" si="13"/>
        <v>0</v>
      </c>
      <c r="N25" s="452">
        <f t="shared" si="14"/>
        <v>0</v>
      </c>
      <c r="O25" s="452">
        <f t="shared" si="15"/>
        <v>0</v>
      </c>
      <c r="P25" s="453">
        <f t="shared" si="16"/>
        <v>0</v>
      </c>
      <c r="Q25" s="451">
        <f t="shared" ca="1" si="17"/>
        <v>25464.91689025642</v>
      </c>
    </row>
    <row r="26" spans="1:17">
      <c r="A26" s="451" t="s">
        <v>649</v>
      </c>
      <c r="B26" s="452">
        <f t="shared" ca="1" si="2"/>
        <v>69374.458525914917</v>
      </c>
      <c r="C26" s="452">
        <f t="shared" ca="1" si="3"/>
        <v>1231.3512605042017</v>
      </c>
      <c r="D26" s="452">
        <f t="shared" si="4"/>
        <v>54243.990237762628</v>
      </c>
      <c r="E26" s="452">
        <f t="shared" si="5"/>
        <v>4293.9956529844058</v>
      </c>
      <c r="F26" s="452">
        <f t="shared" si="6"/>
        <v>77017.743534043839</v>
      </c>
      <c r="G26" s="452">
        <f t="shared" si="7"/>
        <v>0</v>
      </c>
      <c r="H26" s="452">
        <f t="shared" si="8"/>
        <v>0</v>
      </c>
      <c r="I26" s="452">
        <f t="shared" si="9"/>
        <v>0</v>
      </c>
      <c r="J26" s="452">
        <f t="shared" si="10"/>
        <v>1018.4692977477326</v>
      </c>
      <c r="K26" s="452">
        <f t="shared" si="11"/>
        <v>0</v>
      </c>
      <c r="L26" s="452">
        <f t="shared" si="12"/>
        <v>0</v>
      </c>
      <c r="M26" s="452">
        <f t="shared" si="13"/>
        <v>0</v>
      </c>
      <c r="N26" s="452">
        <f t="shared" si="14"/>
        <v>0</v>
      </c>
      <c r="O26" s="452">
        <f t="shared" si="15"/>
        <v>0</v>
      </c>
      <c r="P26" s="453">
        <f t="shared" si="16"/>
        <v>0</v>
      </c>
      <c r="Q26" s="451">
        <f t="shared" ca="1" si="17"/>
        <v>207180.00850895772</v>
      </c>
    </row>
    <row r="27" spans="1:17" s="457" customFormat="1">
      <c r="A27" s="455" t="s">
        <v>570</v>
      </c>
      <c r="B27" s="755">
        <f t="shared" ca="1" si="2"/>
        <v>67.342242847366848</v>
      </c>
      <c r="C27" s="456">
        <f t="shared" ca="1" si="3"/>
        <v>0</v>
      </c>
      <c r="D27" s="456">
        <f t="shared" si="4"/>
        <v>126.32444309171571</v>
      </c>
      <c r="E27" s="456">
        <f t="shared" si="5"/>
        <v>1533.4387325900859</v>
      </c>
      <c r="F27" s="456">
        <f t="shared" si="6"/>
        <v>0</v>
      </c>
      <c r="G27" s="456">
        <f t="shared" si="7"/>
        <v>645279.17593940056</v>
      </c>
      <c r="H27" s="456">
        <f t="shared" si="8"/>
        <v>96918.3435330231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743924.62489095284</v>
      </c>
    </row>
    <row r="28" spans="1:17">
      <c r="A28" s="451" t="s">
        <v>560</v>
      </c>
      <c r="B28" s="452">
        <f t="shared" ca="1" si="2"/>
        <v>6957.1757988859663</v>
      </c>
      <c r="C28" s="452">
        <f t="shared" ca="1" si="3"/>
        <v>0</v>
      </c>
      <c r="D28" s="452">
        <f t="shared" si="4"/>
        <v>0</v>
      </c>
      <c r="E28" s="452">
        <f t="shared" si="5"/>
        <v>0</v>
      </c>
      <c r="F28" s="452">
        <f t="shared" si="6"/>
        <v>0</v>
      </c>
      <c r="G28" s="452">
        <f t="shared" si="7"/>
        <v>12780.089681497395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19737.265480383361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9551.8887838358278</v>
      </c>
      <c r="C32" s="452">
        <f t="shared" ca="1" si="3"/>
        <v>0</v>
      </c>
      <c r="D32" s="452">
        <f t="shared" si="4"/>
        <v>28193.884287117384</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37745.773070953212</v>
      </c>
    </row>
    <row r="33" spans="1:17" s="461" customFormat="1">
      <c r="A33" s="1017" t="s">
        <v>564</v>
      </c>
      <c r="B33" s="957">
        <f ca="1">SUM(B22:B32)</f>
        <v>485205.22877392545</v>
      </c>
      <c r="C33" s="957">
        <f t="shared" ref="C33:Q33" ca="1" si="18">SUM(C22:C32)</f>
        <v>3672.7292016806723</v>
      </c>
      <c r="D33" s="957">
        <f t="shared" ca="1" si="18"/>
        <v>761633.47519379971</v>
      </c>
      <c r="E33" s="957">
        <f t="shared" si="18"/>
        <v>42087.543063218553</v>
      </c>
      <c r="F33" s="957">
        <f t="shared" ca="1" si="18"/>
        <v>173108.66502673575</v>
      </c>
      <c r="G33" s="957">
        <f t="shared" si="18"/>
        <v>658059.26562089799</v>
      </c>
      <c r="H33" s="957">
        <f t="shared" si="18"/>
        <v>96918.3435330231</v>
      </c>
      <c r="I33" s="957">
        <f t="shared" si="18"/>
        <v>0</v>
      </c>
      <c r="J33" s="957">
        <f t="shared" si="18"/>
        <v>2252.6833635145626</v>
      </c>
      <c r="K33" s="957">
        <f t="shared" si="18"/>
        <v>0</v>
      </c>
      <c r="L33" s="957">
        <f t="shared" ca="1" si="18"/>
        <v>0</v>
      </c>
      <c r="M33" s="957">
        <f t="shared" si="18"/>
        <v>0</v>
      </c>
      <c r="N33" s="957">
        <f t="shared" ca="1" si="18"/>
        <v>0</v>
      </c>
      <c r="O33" s="957">
        <f t="shared" si="18"/>
        <v>0</v>
      </c>
      <c r="P33" s="957">
        <f t="shared" si="18"/>
        <v>0</v>
      </c>
      <c r="Q33" s="957">
        <f t="shared" ca="1" si="18"/>
        <v>2222937.9337767954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65610.176517411266</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58262.130284408042</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10818.1875</v>
      </c>
      <c r="D8" s="1034">
        <f>'SEAP template'!D76</f>
        <v>12727.279411764706</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2570.9104411764706</v>
      </c>
    </row>
    <row r="9" spans="1:16">
      <c r="A9" s="1037" t="s">
        <v>865</v>
      </c>
      <c r="B9" s="1034">
        <f>'SEAP template'!B77</f>
        <v>19768.5</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56481.428571428572</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143640.8068018193</v>
      </c>
      <c r="C10" s="1038">
        <f>SUM(C4:C9)</f>
        <v>10818.1875</v>
      </c>
      <c r="D10" s="1038">
        <f t="shared" ref="D10:H10" si="0">SUM(D8:D9)</f>
        <v>12727.279411764706</v>
      </c>
      <c r="E10" s="1038">
        <f t="shared" si="0"/>
        <v>0</v>
      </c>
      <c r="F10" s="1038">
        <f t="shared" si="0"/>
        <v>0</v>
      </c>
      <c r="G10" s="1038">
        <f t="shared" si="0"/>
        <v>0</v>
      </c>
      <c r="H10" s="1038">
        <f t="shared" si="0"/>
        <v>0</v>
      </c>
      <c r="I10" s="1038">
        <f>SUM(I8:I9)</f>
        <v>0</v>
      </c>
      <c r="J10" s="1038">
        <f>SUM(J8:J9)</f>
        <v>56481.428571428572</v>
      </c>
      <c r="K10" s="1038">
        <f t="shared" ref="K10:L10" si="1">SUM(K8:K9)</f>
        <v>0</v>
      </c>
      <c r="L10" s="1038">
        <f t="shared" si="1"/>
        <v>0</v>
      </c>
      <c r="M10" s="1038">
        <f>SUM(M8:M9)</f>
        <v>0</v>
      </c>
      <c r="N10" s="1038">
        <f>SUM(N8:N9)</f>
        <v>0</v>
      </c>
      <c r="O10" s="1038">
        <f>SUM(O8:O9)</f>
        <v>0</v>
      </c>
      <c r="P10" s="1038">
        <f>SUM(P8:P9)</f>
        <v>2570.9104411764706</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0.20750122138300278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15454.553571428572</v>
      </c>
      <c r="D17" s="1035">
        <f>'SEAP template'!D87</f>
        <v>18181.827731092439</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3672.7292016806728</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15454.553571428572</v>
      </c>
      <c r="D20" s="1038">
        <f t="shared" ref="D20:H20" si="2">SUM(D17:D19)</f>
        <v>18181.827731092439</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3672.7292016806728</v>
      </c>
    </row>
    <row r="22" spans="1:16">
      <c r="A22" s="462" t="s">
        <v>873</v>
      </c>
      <c r="B22" s="761" t="s">
        <v>867</v>
      </c>
      <c r="C22" s="761">
        <f ca="1">'EF ele_warmte'!B22</f>
        <v>0.23764705882352943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0.20750122138300278</v>
      </c>
      <c r="C17" s="499">
        <f ca="1">'EF ele_warmte'!B22</f>
        <v>0.23764705882352943</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1</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1.5633333333333335</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1</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19.066666666666666</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2020-06-20T16:01:06Z</dcterms:modified>
</cp:coreProperties>
</file>