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11" i="14"/>
  <c r="O4" i="48"/>
  <c r="O22" i="48" s="1"/>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F13" i="14"/>
  <c r="E8" i="48"/>
  <c r="E26" i="48" s="1"/>
  <c r="F16" i="14"/>
  <c r="F27" i="14" s="1"/>
  <c r="E22" i="16"/>
  <c r="F43" i="14" s="1"/>
  <c r="F46" i="14" s="1"/>
  <c r="F61" i="14" s="1"/>
  <c r="J22" i="16"/>
  <c r="K43" i="14" s="1"/>
  <c r="K46" i="14" s="1"/>
  <c r="K61" i="14" s="1"/>
  <c r="K13" i="14"/>
  <c r="K16" i="14" s="1"/>
  <c r="K27" i="14" s="1"/>
  <c r="J8" i="48"/>
  <c r="J26" i="48" s="1"/>
  <c r="J33" i="48" s="1"/>
  <c r="Q5" i="48"/>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33" i="48" l="1"/>
  <c r="F63" i="14"/>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<sst xmlns="http://schemas.openxmlformats.org/spreadsheetml/2006/main" count="2447" uniqueCount="920">
  <si>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</si>
  <si>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</si>
  <si>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</si>
  <si>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</si>
  <si>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</si>
  <si>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</si>
  <si>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</si>
  <si>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</si>
  <si>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</si>
  <si>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</si>
  <si>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</si>
  <si>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</si>
  <si>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</si>
  <si>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</si>
  <si>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</si>
  <si>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</si>
  <si>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</si>
  <si>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</si>
  <si>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</si>
  <si>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</si>
  <si>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</si>
  <si>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</si>
  <si>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</si>
  <si>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</si>
  <si>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</si>
  <si>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</si>
  <si>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</si>
  <si>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</si>
  <si>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</si>
  <si>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</si>
  <si>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</si>
  <si>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</si>
  <si>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</si>
  <si>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</si>
  <si>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</si>
  <si>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</si>
  <si>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</si>
  <si>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</si>
  <si>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</si>
  <si>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</si>
  <si>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</si>
  <si>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</si>
  <si>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</si>
  <si>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</si>
  <si>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</si>
  <si>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</si>
  <si>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</si>
  <si>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</si>
  <si>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</si>
  <si>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</si>
  <si>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</si>
  <si>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</si>
  <si>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</si>
  <si>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</si>
  <si>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</si>
  <si>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</si>
  <si>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</si>
  <si>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</si>
  <si>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</si>
  <si>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</si>
  <si>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</si>
  <si>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</si>
  <si>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</si>
  <si>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</si>
  <si>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</si>
  <si>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</si>
  <si>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</si>
  <si>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</si>
  <si>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</si>
  <si>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</si>
  <si>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</si>
  <si>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</si>
  <si>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</si>
  <si>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</si>
  <si>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</si>
  <si>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</si>
  <si>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</si>
  <si>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</si>
  <si>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</si>
  <si>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</si>
  <si>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</si>
  <si>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</si>
  <si>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</si>
  <si>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</si>
  <si>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</si>
  <si>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</si>
  <si>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</si>
  <si>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</si>
  <si>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</si>
  <si>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</si>
  <si>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</si>
  <si>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</si>
  <si>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</si>
  <si>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</si>
  <si>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</si>
  <si>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</si>
  <si>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</si>
  <si>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</si>
  <si>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</si>
  <si>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</si>
  <si>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</si>
  <si>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</si>
  <si>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</si>
  <si>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</si>
  <si>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</si>
  <si>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</si>
  <si>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</si>
  <si>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</si>
  <si>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</si>
  <si>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</si>
  <si>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</si>
  <si>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</si>
  <si>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</si>
  <si>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</si>
  <si>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</si>
  <si>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</si>
  <si>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</si>
  <si>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</si>
  <si>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</si>
  <si>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</si>
  <si>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</si>
  <si>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</si>
  <si>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</si>
  <si>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</si>
  <si>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</si>
  <si>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</si>
  <si>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</si>
  <si>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</si>
  <si>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</si>
  <si>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</si>
  <si>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</si>
  <si>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</si>
  <si>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</si>
  <si>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</si>
  <si>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</si>
  <si>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</si>
  <si>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</si>
  <si>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</si>
  <si>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</si>
  <si>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</si>
  <si>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</si>
  <si>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</si>
  <si>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</si>
  <si>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</si>
  <si>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</si>
  <si>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</si>
  <si>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</si>
  <si>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</si>
  <si>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</si>
  <si>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</si>
  <si>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</si>
  <si>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</si>
  <si>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</si>
  <si>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</si>
  <si>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</si>
  <si>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</si>
  <si>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</si>
  <si>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</si>
  <si>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</si>
  <si>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</si>
  <si>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</si>
  <si>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</si>
  <si>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</si>
  <si>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</si>
  <si>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</si>
  <si>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</si>
  <si>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</si>
  <si>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</si>
  <si>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</si>
  <si>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</si>
  <si>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</si>
  <si>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</si>
  <si>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</si>
  <si>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</si>
  <si>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</si>
  <si>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</si>
  <si>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</si>
  <si>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</si>
  <si>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</si>
  <si>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</si>
  <si>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</si>
  <si>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</si>
  <si>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</si>
  <si>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</si>
  <si>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</si>
  <si>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</si>
  <si>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</si>
  <si>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</si>
  <si>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</si>
  <si>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</si>
  <si>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</si>
  <si>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</si>
  <si>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</si>
  <si>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</si>
  <si>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</si>
  <si>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</si>
  <si>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</si>
  <si>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</si>
  <si>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</si>
  <si>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</si>
  <si>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</si>
  <si>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</si>
  <si>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</si>
  <si>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</si>
  <si>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</si>
  <si>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</si>
  <si>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</si>
  <si>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</si>
  <si>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</si>
  <si>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</si>
  <si>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</si>
  <si>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</si>
  <si>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</si>
  <si>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</si>
  <si>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</si>
  <si>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</si>
  <si>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</si>
  <si>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</si>
  <si>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</si>
  <si>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</si>
  <si>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</si>
  <si>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</si>
  <si>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</si>
  <si>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</si>
  <si>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</si>
  <si>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</si>
  <si>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</si>
  <si>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</si>
  <si>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</si>
  <si>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</si>
  <si>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</si>
  <si>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</si>
  <si>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</si>
  <si>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</si>
  <si>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</si>
  <si>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</si>
  <si>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</si>
  <si>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</si>
  <si>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</si>
  <si>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</si>
  <si>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</si>
  <si>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</si>
  <si>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</si>
  <si>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</si>
  <si>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</si>
  <si>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</si>
  <si>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</si>
  <si>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</si>
  <si>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</si>
  <si>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</si>
  <si>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</si>
  <si>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</si>
  <si>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</si>
  <si>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</si>
  <si>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</si>
  <si>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</si>
  <si>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</si>
  <si>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</si>
  <si>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</si>
  <si>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</si>
  <si>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</si>
  <si>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</si>
  <si>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</si>
  <si>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</si>
  <si>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</si>
  <si>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</si>
  <si>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</si>
  <si>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</si>
  <si>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</si>
  <si>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</si>
  <si>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</si>
  <si>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</si>
  <si>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</si>
  <si>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</si>
  <si>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</si>
  <si>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</si>
  <si>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</si>
  <si>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</si>
  <si>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</si>
  <si>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</si>
  <si>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</si>
  <si>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</si>
  <si>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</si>
  <si>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</si>
  <si>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</si>
  <si>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</si>
  <si>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</si>
  <si>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</si>
  <si>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</si>
  <si>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</si>
  <si>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</si>
  <si>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</si>
  <si>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</si>
  <si>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</si>
  <si>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</si>
  <si>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</si>
  <si>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</si>
  <si>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</si>
  <si>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</si>
  <si>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</si>
  <si>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</si>
  <si>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</si>
  <si>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</si>
  <si>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</si>
  <si>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</si>
  <si>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</si>
  <si>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</si>
  <si>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</si>
  <si>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</si>
  <si>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</si>
  <si>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</si>
  <si>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</si>
  <si>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</si>
  <si>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</si>
  <si>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</si>
  <si>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</si>
  <si>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</si>
  <si>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</si>
  <si>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</si>
  <si>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</si>
  <si>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</si>
  <si>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</si>
  <si>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</si>
  <si>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</si>
  <si>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</si>
  <si>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</si>
  <si>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</si>
  <si>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</si>
  <si>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</si>
  <si>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</si>
  <si>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</si>
  <si>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</si>
  <si>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</si>
  <si>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</si>
  <si>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</si>
  <si>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</si>
  <si>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</si>
  <si>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</si>
  <si>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</si>
  <si>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</si>
  <si>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</si>
  <si>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</si>
  <si>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</si>
  <si>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</si>
  <si>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</si>
  <si>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</si>
  <si>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</si>
  <si>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</si>
  <si>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</si>
  <si>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</si>
  <si>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</si>
  <si>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</si>
  <si>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</si>
  <si>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</si>
  <si>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</si>
  <si>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</si>
  <si>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</si>
  <si>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</si>
  <si>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</si>
  <si>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</si>
  <si>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</si>
  <si>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</si>
  <si>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</si>
  <si>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</si>
  <si>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</si>
  <si>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</si>
  <si>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</si>
  <si>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</si>
  <si>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</si>
  <si>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</si>
  <si>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</si>
  <si>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</si>
  <si>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</si>
  <si>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</si>
  <si>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</si>
  <si>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</si>
  <si>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</si>
  <si>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</si>
  <si>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</si>
  <si>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</si>
  <si>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</si>
  <si>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</si>
  <si>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</si>
  <si>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</si>
  <si>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</si>
  <si>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</si>
  <si>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</si>
  <si>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</si>
  <si>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</si>
  <si>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</si>
  <si>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</si>
  <si>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</si>
  <si>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</si>
  <si>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</si>
  <si>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</si>
  <si>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</si>
  <si>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</si>
  <si>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</si>
  <si>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</si>
  <si>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</si>
  <si>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</si>
  <si>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</si>
  <si>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</si>
  <si>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</si>
  <si>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</si>
  <si>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</si>
  <si>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</si>
  <si>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</si>
  <si>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</si>
  <si>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</si>
  <si>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</si>
  <si>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</si>
  <si>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</si>
  <si>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</si>
  <si>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</si>
  <si>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</si>
  <si>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</si>
  <si>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</si>
  <si>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</si>
  <si>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</si>
  <si>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</si>
  <si>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</si>
  <si>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</si>
  <si>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</si>
  <si>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</si>
  <si>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</si>
  <si>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</si>
  <si>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</si>
  <si>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</si>
  <si>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</si>
  <si>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</si>
  <si>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</si>
  <si>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</si>
  <si>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</si>
  <si>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</si>
  <si>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</si>
  <si>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</si>
  <si>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</si>
  <si>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</si>
  <si>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</si>
  <si>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</si>
  <si>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</si>
  <si>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</si>
  <si>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</si>
  <si>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</si>
  <si>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</si>
  <si>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</si>
  <si>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</si>
  <si>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</si>
  <si>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</si>
  <si>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</si>
  <si>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</si>
  <si>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</si>
  <si>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</si>
  <si>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</si>
  <si>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</si>
  <si>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</si>
  <si>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</si>
  <si>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</si>
  <si>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</si>
  <si>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</si>
  <si>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</si>
  <si>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</si>
  <si>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</si>
  <si>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</si>
  <si>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</si>
  <si>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</si>
  <si>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</si>
  <si>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</si>
  <si>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</si>
  <si>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</si>
  <si>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</si>
  <si>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</si>
  <si>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</si>
  <si>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</si>
  <si>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</si>
  <si>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</si>
  <si>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</si>
  <si>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</si>
  <si>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</si>
  <si>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</si>
  <si>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</si>
  <si>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</si>
  <si>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</si>
  <si>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</si>
  <si>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</si>
  <si>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</si>
  <si>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</si>
  <si>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</si>
  <si>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</si>
  <si>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</si>
  <si>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</si>
  <si>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</si>
  <si>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</si>
  <si>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</si>
  <si>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</si>
  <si>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</si>
  <si>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</si>
  <si>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</si>
  <si>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</si>
  <si>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</si>
  <si>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</si>
  <si>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</si>
  <si>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</si>
  <si>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</si>
  <si>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</si>
  <si>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</si>
  <si>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</si>
  <si>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</si>
  <si>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</si>
  <si>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</si>
  <si>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</si>
  <si>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</si>
  <si>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</si>
  <si>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</si>
  <si>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</si>
  <si>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</si>
  <si>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</si>
  <si>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</si>
  <si>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</si>
  <si>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</si>
  <si>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</si>
  <si>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</si>
  <si>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</si>
  <si>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</si>
  <si>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</si>
  <si>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</si>
  <si>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</si>
  <si>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</si>
  <si>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</si>
  <si>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</si>
  <si>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</si>
  <si>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</si>
  <si>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</si>
  <si>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</si>
  <si>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</si>
  <si>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</si>
  <si>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</si>
  <si>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</si>
  <si>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</si>
  <si>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</si>
  <si>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</si>
  <si>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</si>
  <si>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</si>
  <si>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</si>
  <si>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</si>
  <si>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</si>
  <si>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</si>
  <si>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</si>
  <si>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</si>
  <si>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</si>
  <si>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</si>
  <si>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</si>
  <si>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</si>
  <si>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</si>
  <si>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</si>
  <si>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</si>
  <si>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</si>
  <si>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</si>
  <si>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</si>
  <si>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</si>
  <si>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</si>
  <si>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</si>
  <si>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</si>
  <si>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</si>
  <si>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</si>
  <si>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</si>
  <si>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</si>
  <si>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</si>
  <si>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</si>
  <si>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</si>
  <si>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</si>
  <si>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</si>
  <si>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</si>
  <si>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</si>
  <si>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</si>
  <si>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</si>
  <si>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</si>
  <si>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</si>
  <si>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</si>
  <si>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</si>
  <si>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</si>
  <si>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</si>
  <si>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</si>
  <si>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</si>
  <si>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</si>
  <si>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</si>
  <si>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</si>
  <si>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</si>
  <si>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</si>
  <si>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</si>
  <si>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</si>
  <si>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</si>
  <si>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</si>
  <si>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</si>
  <si>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</si>
  <si>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</si>
  <si>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</si>
  <si>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</si>
  <si>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</si>
  <si>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</si>
  <si>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</si>
  <si>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</si>
  <si>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</si>
  <si>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</si>
  <si>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</si>
  <si>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</si>
  <si>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</si>
  <si>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</si>
  <si>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</si>
  <si>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</si>
  <si>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</si>
  <si>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</si>
  <si>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</si>
  <si>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</si>
  <si>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</si>
  <si>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</si>
  <si>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</si>
  <si>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</si>
  <si>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</si>
  <si>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</si>
  <si>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</si>
  <si>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</si>
  <si>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</si>
  <si>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</si>
  <si>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</si>
  <si>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</si>
  <si>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</si>
  <si>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</si>
  <si>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</si>
  <si>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</si>
  <si>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</si>
  <si>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</si>
  <si>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</si>
  <si>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</si>
  <si>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</si>
  <si>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</si>
  <si>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</si>
  <si>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</si>
  <si>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</si>
  <si>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</si>
  <si>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</si>
  <si>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</si>
  <si>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</si>
  <si>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</si>
  <si>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</si>
  <si>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</si>
  <si>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</si>
  <si>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</si>
  <si>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</si>
  <si>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</si>
  <si>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</si>
  <si>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</si>
  <si>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</si>
  <si>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</si>
  <si>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</si>
  <si>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</si>
  <si>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</si>
  <si>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</si>
  <si>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</si>
  <si>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</si>
  <si>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</si>
  <si>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</si>
  <si>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</si>
  <si>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</si>
  <si>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</si>
  <si>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</si>
  <si>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</si>
  <si>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</si>
  <si>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</si>
  <si>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</si>
  <si>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</si>
  <si>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</si>
  <si>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</si>
  <si>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</si>
  <si>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</si>
  <si>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</si>
  <si>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</si>
  <si>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</si>
  <si>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</si>
  <si>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</si>
  <si>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</si>
  <si>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</si>
  <si>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</si>
  <si>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</si>
  <si>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</si>
  <si>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</si>
  <si>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</si>
  <si>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</si>
  <si>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</si>
  <si>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</si>
  <si>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</si>
  <si>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</si>
  <si>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</si>
  <si>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</si>
  <si>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</si>
  <si>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</si>
  <si>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</si>
  <si>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</si>
  <si>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</si>
  <si>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</si>
  <si>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</si>
  <si>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</si>
  <si>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</si>
  <si>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</si>
  <si>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</si>
  <si>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</si>
  <si>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</si>
  <si>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</si>
  <si>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</si>
  <si>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</si>
  <si>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</si>
  <si>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</si>
  <si>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</si>
  <si>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</si>
  <si>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</si>
  <si>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</si>
  <si>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</si>
  <si>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</si>
  <si>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</si>
  <si>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</si>
  <si>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</si>
  <si>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</si>
  <si>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</si>
  <si>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</si>
  <si>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</si>
  <si>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</si>
  <si>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</si>
  <si>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</si>
  <si>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</si>
  <si>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</si>
  <si>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</si>
  <si>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</si>
  <si>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</si>
  <si>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</si>
  <si>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</si>
  <si>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</si>
  <si>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</si>
  <si>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</si>
  <si>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</si>
  <si>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</si>
  <si>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</si>
  <si>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</si>
  <si>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</si>
  <si>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</si>
  <si>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</si>
  <si>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</si>
  <si>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</si>
  <si>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</si>
  <si>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</si>
  <si>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</si>
  <si>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</si>
  <si>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</si>
  <si>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</si>
  <si>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</si>
  <si>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</si>
  <si>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</si>
  <si>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</si>
  <si>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</si>
  <si>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</si>
  <si>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</si>
  <si>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</si>
  <si>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</si>
  <si>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</si>
  <si>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</si>
  <si>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</si>
  <si>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</si>
  <si>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</si>
  <si>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</si>
  <si>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</si>
  <si>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</si>
  <si>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</si>
  <si>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</si>
  <si>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</si>
  <si>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</si>
  <si>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</si>
  <si>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</si>
  <si>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</si>
  <si>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</si>
  <si>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</si>
  <si>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</si>
  <si>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</si>
  <si>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</si>
  <si>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</si>
  <si>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</si>
  <si>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</si>
  <si>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</si>
  <si>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</si>
  <si>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</si>
  <si>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</si>
  <si>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</si>
  <si>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</si>
  <si>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</si>
  <si>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</si>
  <si>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</si>
  <si>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</si>
  <si>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</si>
  <si>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</si>
  <si>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</si>
  <si>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</si>
  <si>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</si>
  <si>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</si>
  <si>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</si>
  <si>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</si>
  <si>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</si>
  <si>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</si>
  <si>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</si>
  <si>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</si>
  <si>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</si>
  <si>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</si>
  <si>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</si>
  <si>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</si>
  <si>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</si>
  <si>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</si>
  <si>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</si>
  <si>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</si>
  <si>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</si>
  <si>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</si>
  <si>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</si>
  <si>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</si>
  <si>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</si>
  <si>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</si>
  <si>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</si>
  <si>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</si>
  <si>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</si>
  <si>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</si>
  <si>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</si>
  <si>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</si>
  <si>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</si>
  <si>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</si>
  <si>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</si>
  <si>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</si>
  <si>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</si>
  <si>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</si>
  <si>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</si>
  <si>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</si>
  <si>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</si>
  <si>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</si>
  <si>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</si>
  <si>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</si>
  <si>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</si>
  <si>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</si>
  <si>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</si>
  <si>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</si>
  <si>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</si>
  <si>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</si>
  <si>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</si>
  <si>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</si>
  <si>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</si>
  <si>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</si>
  <si>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</si>
  <si>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</si>
  <si>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</si>
  <si>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</si>
  <si>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</si>
  <si>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</si>
  <si>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</si>
  <si>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</si>
  <si>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</si>
  <si>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</si>
  <si>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</si>
  <si>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</si>
  <si>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</si>
  <si>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</si>
  <si>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</si>
  <si>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</si>
  <si>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</si>
  <si>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</si>
  <si>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</si>
  <si>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</si>
  <si>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</si>
  <si>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</si>
  <si>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</si>
  <si>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</si>
  <si>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</si>
  <si>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</si>
  <si>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</si>
  <si>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</si>
  <si>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</si>
  <si>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</si>
  <si>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</si>
  <si>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</si>
  <si>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</si>
  <si>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</si>
  <si>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</si>
  <si>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</si>
  <si>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</si>
  <si>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</si>
  <si>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</si>
  <si>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</si>
  <si>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</si>
  <si>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</si>
  <si>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</si>
  <si>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</si>
  <si>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</si>
  <si>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</si>
  <si>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</si>
  <si>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</si>
  <si>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</si>
  <si>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</si>
  <si>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</si>
  <si>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</si>
  <si>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</si>
  <si>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</si>
  <si>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</si>
  <si>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</si>
  <si>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</si>
  <si>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</si>
  <si>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</si>
  <si>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</si>
  <si>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</si>
  <si>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</si>
  <si>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</si>
  <si>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73109</t>
  </si>
  <si>
    <t>VOEREN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</si>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</sst>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50464.126439353931</c:v>
                </c:pt>
                <c:pt idx="1">
                  <c:v>4381.9212585208561</c:v>
                </c:pt>
                <c:pt idx="2">
                  <c:v>333.173</c:v>
                </c:pt>
                <c:pt idx="3">
                  <c:v>10193.868994866129</c:v>
                </c:pt>
                <c:pt idx="4">
                  <c:v>884.17455797353432</c:v>
                </c:pt>
                <c:pt idx="5">
                  <c:v>32822.709848173392</c:v>
                </c:pt>
                <c:pt idx="6">
                  <c:v>1174.2153955049303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50464.126439353931</c:v>
                </c:pt>
                <c:pt idx="1">
                  <c:v>4381.9212585208561</c:v>
                </c:pt>
                <c:pt idx="2">
                  <c:v>333.173</c:v>
                </c:pt>
                <c:pt idx="3">
                  <c:v>10193.868994866129</c:v>
                </c:pt>
                <c:pt idx="4">
                  <c:v>884.17455797353432</c:v>
                </c:pt>
                <c:pt idx="5">
                  <c:v>32822.709848173392</c:v>
                </c:pt>
                <c:pt idx="6">
                  <c:v>1174.2153955049303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10922.793784305146</c:v>
                </c:pt>
                <c:pt idx="2">
                  <c:v>887.91029761914012</c:v>
                </c:pt>
                <c:pt idx="3">
                  <c:v>66.267945036360331</c:v>
                </c:pt>
                <c:pt idx="4">
                  <c:v>2599.0789551173548</c:v>
                </c:pt>
                <c:pt idx="5">
                  <c:v>183.33087340015172</c:v>
                </c:pt>
                <c:pt idx="6">
                  <c:v>8280.4161370723159</c:v>
                </c:pt>
                <c:pt idx="7">
                  <c:v>300.15534775506524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10922.793784305146</c:v>
                </c:pt>
                <c:pt idx="2">
                  <c:v>887.91029761914012</c:v>
                </c:pt>
                <c:pt idx="3">
                  <c:v>66.267945036360331</c:v>
                </c:pt>
                <c:pt idx="4">
                  <c:v>2599.0789551173548</c:v>
                </c:pt>
                <c:pt idx="5">
                  <c:v>183.33087340015172</c:v>
                </c:pt>
                <c:pt idx="6">
                  <c:v>8280.4161370723159</c:v>
                </c:pt>
                <c:pt idx="7">
                  <c:v>300.15534775506524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73109</v>
      </c>
      <c r="B6" s="395"/>
      <c r="C6" s="396"/>
    </row>
    <row r="7" spans="1:7" s="393" customFormat="1" ht="15.75" customHeight="1">
      <c r="A7" s="397" t="str">
        <f>txtMunicipality</f>
        <v>VOEREN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0.19889950577135701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0.19889950577135701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1674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3315</v>
      </c>
      <c r="C14" s="332"/>
      <c r="D14" s="332"/>
      <c r="E14" s="332"/>
      <c r="F14" s="332"/>
    </row>
    <row r="15" spans="1:6">
      <c r="A15" s="1306" t="s">
        <v>183</v>
      </c>
      <c r="B15" s="1307">
        <v>53</v>
      </c>
      <c r="C15" s="332"/>
      <c r="D15" s="332"/>
      <c r="E15" s="332"/>
      <c r="F15" s="332"/>
    </row>
    <row r="16" spans="1:6">
      <c r="A16" s="1306" t="s">
        <v>6</v>
      </c>
      <c r="B16" s="1307">
        <v>2026</v>
      </c>
      <c r="C16" s="332"/>
      <c r="D16" s="332"/>
      <c r="E16" s="332"/>
      <c r="F16" s="332"/>
    </row>
    <row r="17" spans="1:6">
      <c r="A17" s="1306" t="s">
        <v>7</v>
      </c>
      <c r="B17" s="1307">
        <v>311</v>
      </c>
      <c r="C17" s="332"/>
      <c r="D17" s="332"/>
      <c r="E17" s="332"/>
      <c r="F17" s="332"/>
    </row>
    <row r="18" spans="1:6">
      <c r="A18" s="1306" t="s">
        <v>8</v>
      </c>
      <c r="B18" s="1307">
        <v>1045</v>
      </c>
      <c r="C18" s="332"/>
      <c r="D18" s="332"/>
      <c r="E18" s="332"/>
      <c r="F18" s="332"/>
    </row>
    <row r="19" spans="1:6">
      <c r="A19" s="1306" t="s">
        <v>9</v>
      </c>
      <c r="B19" s="1307">
        <v>854</v>
      </c>
      <c r="C19" s="332"/>
      <c r="D19" s="332"/>
      <c r="E19" s="332"/>
      <c r="F19" s="332"/>
    </row>
    <row r="20" spans="1:6">
      <c r="A20" s="1306" t="s">
        <v>10</v>
      </c>
      <c r="B20" s="1307">
        <v>688</v>
      </c>
      <c r="C20" s="332"/>
      <c r="D20" s="332"/>
      <c r="E20" s="332"/>
      <c r="F20" s="332"/>
    </row>
    <row r="21" spans="1:6">
      <c r="A21" s="1306" t="s">
        <v>11</v>
      </c>
      <c r="B21" s="1307">
        <v>1057</v>
      </c>
      <c r="C21" s="332"/>
      <c r="D21" s="332"/>
      <c r="E21" s="332"/>
      <c r="F21" s="332"/>
    </row>
    <row r="22" spans="1:6">
      <c r="A22" s="1306" t="s">
        <v>12</v>
      </c>
      <c r="B22" s="1307">
        <v>3640</v>
      </c>
      <c r="C22" s="332"/>
      <c r="D22" s="332"/>
      <c r="E22" s="332"/>
      <c r="F22" s="332"/>
    </row>
    <row r="23" spans="1:6">
      <c r="A23" s="1306" t="s">
        <v>13</v>
      </c>
      <c r="B23" s="1307">
        <v>39</v>
      </c>
      <c r="C23" s="332"/>
      <c r="D23" s="332"/>
      <c r="E23" s="332"/>
      <c r="F23" s="332"/>
    </row>
    <row r="24" spans="1:6">
      <c r="A24" s="1306" t="s">
        <v>14</v>
      </c>
      <c r="B24" s="1307">
        <v>4</v>
      </c>
      <c r="C24" s="332"/>
      <c r="D24" s="332"/>
      <c r="E24" s="332"/>
      <c r="F24" s="332"/>
    </row>
    <row r="25" spans="1:6">
      <c r="A25" s="1306" t="s">
        <v>15</v>
      </c>
      <c r="B25" s="1307">
        <v>302</v>
      </c>
      <c r="C25" s="332"/>
      <c r="D25" s="332"/>
      <c r="E25" s="332"/>
      <c r="F25" s="332"/>
    </row>
    <row r="26" spans="1:6">
      <c r="A26" s="1306" t="s">
        <v>16</v>
      </c>
      <c r="B26" s="1307">
        <v>77</v>
      </c>
      <c r="C26" s="332"/>
      <c r="D26" s="332"/>
      <c r="E26" s="332"/>
      <c r="F26" s="332"/>
    </row>
    <row r="27" spans="1:6">
      <c r="A27" s="1306" t="s">
        <v>17</v>
      </c>
      <c r="B27" s="1307">
        <v>1</v>
      </c>
      <c r="C27" s="332"/>
      <c r="D27" s="332"/>
      <c r="E27" s="332"/>
      <c r="F27" s="332"/>
    </row>
    <row r="28" spans="1:6" s="43" customFormat="1">
      <c r="A28" s="1308" t="s">
        <v>18</v>
      </c>
      <c r="B28" s="1309">
        <v>40372</v>
      </c>
      <c r="C28" s="338"/>
      <c r="D28" s="338"/>
      <c r="E28" s="338"/>
      <c r="F28" s="338"/>
    </row>
    <row r="29" spans="1:6">
      <c r="A29" s="1308" t="s">
        <v>916</v>
      </c>
      <c r="B29" s="1309">
        <v>56</v>
      </c>
      <c r="C29" s="338"/>
      <c r="D29" s="338"/>
      <c r="E29" s="338"/>
      <c r="F29" s="338"/>
    </row>
    <row r="30" spans="1:6">
      <c r="A30" s="1301" t="s">
        <v>917</v>
      </c>
      <c r="B30" s="1310">
        <v>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79218.701868724398</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29241.867570718401</v>
      </c>
    </row>
    <row r="39" spans="1:6">
      <c r="A39" s="1306" t="s">
        <v>29</v>
      </c>
      <c r="B39" s="1306" t="s">
        <v>30</v>
      </c>
      <c r="C39" s="1307">
        <v>0</v>
      </c>
      <c r="D39" s="1307">
        <v>0</v>
      </c>
      <c r="E39" s="1307">
        <v>1727</v>
      </c>
      <c r="F39" s="1307">
        <v>9043712.5735331904</v>
      </c>
    </row>
    <row r="40" spans="1:6">
      <c r="A40" s="1306" t="s">
        <v>29</v>
      </c>
      <c r="B40" s="1306" t="s">
        <v>28</v>
      </c>
      <c r="C40" s="1307">
        <v>0</v>
      </c>
      <c r="D40" s="1307">
        <v>0</v>
      </c>
      <c r="E40" s="1307">
        <v>0</v>
      </c>
      <c r="F40" s="1307">
        <v>0</v>
      </c>
    </row>
    <row r="41" spans="1:6">
      <c r="A41" s="1306" t="s">
        <v>31</v>
      </c>
      <c r="B41" s="1306" t="s">
        <v>32</v>
      </c>
      <c r="C41" s="1307">
        <v>0</v>
      </c>
      <c r="D41" s="1307">
        <v>0</v>
      </c>
      <c r="E41" s="1307">
        <v>10</v>
      </c>
      <c r="F41" s="1307">
        <v>73998.344239851795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0</v>
      </c>
      <c r="D48" s="1307">
        <v>0</v>
      </c>
      <c r="E48" s="1307">
        <v>32</v>
      </c>
      <c r="F48" s="1307">
        <v>548274.06755856902</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57</v>
      </c>
      <c r="F51" s="1307">
        <v>1415484.16130631</v>
      </c>
    </row>
    <row r="52" spans="1:6">
      <c r="A52" s="1306" t="s">
        <v>41</v>
      </c>
      <c r="B52" s="1306" t="s">
        <v>28</v>
      </c>
      <c r="C52" s="1307">
        <v>0</v>
      </c>
      <c r="D52" s="1307">
        <v>0</v>
      </c>
      <c r="E52" s="1307">
        <v>14</v>
      </c>
      <c r="F52" s="1307">
        <v>794214.018769052</v>
      </c>
    </row>
    <row r="53" spans="1:6">
      <c r="A53" s="1306" t="s">
        <v>43</v>
      </c>
      <c r="B53" s="1306" t="s">
        <v>44</v>
      </c>
      <c r="C53" s="1307">
        <v>0</v>
      </c>
      <c r="D53" s="1307">
        <v>0</v>
      </c>
      <c r="E53" s="1307">
        <v>59</v>
      </c>
      <c r="F53" s="1307">
        <v>313658.55587382201</v>
      </c>
    </row>
    <row r="54" spans="1:6">
      <c r="A54" s="1306" t="s">
        <v>45</v>
      </c>
      <c r="B54" s="1306" t="s">
        <v>46</v>
      </c>
      <c r="C54" s="1307">
        <v>0</v>
      </c>
      <c r="D54" s="1307">
        <v>0</v>
      </c>
      <c r="E54" s="1307">
        <v>1</v>
      </c>
      <c r="F54" s="1307">
        <v>333173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4</v>
      </c>
      <c r="F57" s="1307">
        <v>73900.010197970798</v>
      </c>
    </row>
    <row r="58" spans="1:6">
      <c r="A58" s="1306" t="s">
        <v>48</v>
      </c>
      <c r="B58" s="1306" t="s">
        <v>50</v>
      </c>
      <c r="C58" s="1307">
        <v>0</v>
      </c>
      <c r="D58" s="1307">
        <v>0</v>
      </c>
      <c r="E58" s="1307">
        <v>0</v>
      </c>
      <c r="F58" s="1307">
        <v>0</v>
      </c>
    </row>
    <row r="59" spans="1:6">
      <c r="A59" s="1306" t="s">
        <v>48</v>
      </c>
      <c r="B59" s="1306" t="s">
        <v>51</v>
      </c>
      <c r="C59" s="1307">
        <v>0</v>
      </c>
      <c r="D59" s="1307">
        <v>0</v>
      </c>
      <c r="E59" s="1307">
        <v>7</v>
      </c>
      <c r="F59" s="1307">
        <v>74156.891355540603</v>
      </c>
    </row>
    <row r="60" spans="1:6">
      <c r="A60" s="1306" t="s">
        <v>48</v>
      </c>
      <c r="B60" s="1306" t="s">
        <v>52</v>
      </c>
      <c r="C60" s="1307">
        <v>0</v>
      </c>
      <c r="D60" s="1307">
        <v>0</v>
      </c>
      <c r="E60" s="1307">
        <v>33</v>
      </c>
      <c r="F60" s="1307">
        <v>1205373.4146870701</v>
      </c>
    </row>
    <row r="61" spans="1:6">
      <c r="A61" s="1306" t="s">
        <v>48</v>
      </c>
      <c r="B61" s="1306" t="s">
        <v>53</v>
      </c>
      <c r="C61" s="1307">
        <v>0</v>
      </c>
      <c r="D61" s="1307">
        <v>0</v>
      </c>
      <c r="E61" s="1307">
        <v>39</v>
      </c>
      <c r="F61" s="1307">
        <v>520553.49980067502</v>
      </c>
    </row>
    <row r="62" spans="1:6">
      <c r="A62" s="1306" t="s">
        <v>48</v>
      </c>
      <c r="B62" s="1306" t="s">
        <v>54</v>
      </c>
      <c r="C62" s="1307">
        <v>0</v>
      </c>
      <c r="D62" s="1307">
        <v>0</v>
      </c>
      <c r="E62" s="1307">
        <v>0</v>
      </c>
      <c r="F62" s="1307">
        <v>0</v>
      </c>
    </row>
    <row r="63" spans="1:6">
      <c r="A63" s="1306" t="s">
        <v>48</v>
      </c>
      <c r="B63" s="1306" t="s">
        <v>28</v>
      </c>
      <c r="C63" s="1307">
        <v>0</v>
      </c>
      <c r="D63" s="1307">
        <v>0</v>
      </c>
      <c r="E63" s="1307">
        <v>81</v>
      </c>
      <c r="F63" s="1307">
        <v>1476276.3081611199</v>
      </c>
    </row>
    <row r="64" spans="1:6">
      <c r="A64" s="1306" t="s">
        <v>55</v>
      </c>
      <c r="B64" s="1306" t="s">
        <v>56</v>
      </c>
      <c r="C64" s="1307">
        <v>0</v>
      </c>
      <c r="D64" s="1307">
        <v>0</v>
      </c>
      <c r="E64" s="1307">
        <v>0</v>
      </c>
      <c r="F64" s="1307">
        <v>0</v>
      </c>
    </row>
    <row r="65" spans="1:6">
      <c r="A65" s="1306" t="s">
        <v>55</v>
      </c>
      <c r="B65" s="1306" t="s">
        <v>28</v>
      </c>
      <c r="C65" s="1307">
        <v>0</v>
      </c>
      <c r="D65" s="1307">
        <v>0</v>
      </c>
      <c r="E65" s="1307">
        <v>4</v>
      </c>
      <c r="F65" s="1307">
        <v>13298.94158456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45877.119609506401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18020852</v>
      </c>
      <c r="E73" s="456"/>
      <c r="F73" s="332"/>
    </row>
    <row r="74" spans="1:6">
      <c r="A74" s="1306" t="s">
        <v>63</v>
      </c>
      <c r="B74" s="1306" t="s">
        <v>724</v>
      </c>
      <c r="C74" s="1320" t="s">
        <v>725</v>
      </c>
      <c r="D74" s="1321">
        <v>1124729.3165057572</v>
      </c>
      <c r="E74" s="456"/>
      <c r="F74" s="332"/>
    </row>
    <row r="75" spans="1:6">
      <c r="A75" s="1306" t="s">
        <v>64</v>
      </c>
      <c r="B75" s="1306" t="s">
        <v>722</v>
      </c>
      <c r="C75" s="1320" t="s">
        <v>726</v>
      </c>
      <c r="D75" s="1321">
        <v>16741180</v>
      </c>
      <c r="E75" s="456"/>
      <c r="F75" s="332"/>
    </row>
    <row r="76" spans="1:6">
      <c r="A76" s="1306" t="s">
        <v>64</v>
      </c>
      <c r="B76" s="1306" t="s">
        <v>724</v>
      </c>
      <c r="C76" s="1320" t="s">
        <v>727</v>
      </c>
      <c r="D76" s="1321">
        <v>11372.300000000001</v>
      </c>
      <c r="E76" s="456"/>
      <c r="F76" s="332"/>
    </row>
    <row r="77" spans="1:6">
      <c r="A77" s="1306" t="s">
        <v>65</v>
      </c>
      <c r="B77" s="1306" t="s">
        <v>722</v>
      </c>
      <c r="C77" s="1320" t="s">
        <v>728</v>
      </c>
      <c r="D77" s="1321">
        <v>2063297</v>
      </c>
      <c r="E77" s="456"/>
      <c r="F77" s="332"/>
    </row>
    <row r="78" spans="1:6">
      <c r="A78" s="1301" t="s">
        <v>65</v>
      </c>
      <c r="B78" s="1301" t="s">
        <v>724</v>
      </c>
      <c r="C78" s="1301" t="s">
        <v>729</v>
      </c>
      <c r="D78" s="1322">
        <v>617750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310705.36698848545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1143.3699349142553</v>
      </c>
      <c r="C91" s="332"/>
      <c r="D91" s="332"/>
      <c r="E91" s="332"/>
      <c r="F91" s="332"/>
    </row>
    <row r="92" spans="1:6">
      <c r="A92" s="1301" t="s">
        <v>68</v>
      </c>
      <c r="B92" s="1302">
        <v>558.44157475632028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v>
      </c>
      <c r="C97" s="332"/>
      <c r="D97" s="332"/>
      <c r="E97" s="332"/>
      <c r="F97" s="332"/>
    </row>
    <row r="98" spans="1:6">
      <c r="A98" s="1306" t="s">
        <v>71</v>
      </c>
      <c r="B98" s="1307">
        <v>0</v>
      </c>
      <c r="C98" s="332"/>
      <c r="D98" s="332"/>
      <c r="E98" s="332"/>
      <c r="F98" s="332"/>
    </row>
    <row r="99" spans="1:6">
      <c r="A99" s="1306" t="s">
        <v>72</v>
      </c>
      <c r="B99" s="1307">
        <v>104</v>
      </c>
      <c r="C99" s="332"/>
      <c r="D99" s="332"/>
      <c r="E99" s="332"/>
      <c r="F99" s="332"/>
    </row>
    <row r="100" spans="1:6">
      <c r="A100" s="1306" t="s">
        <v>73</v>
      </c>
      <c r="B100" s="1307">
        <v>136</v>
      </c>
      <c r="C100" s="332"/>
      <c r="D100" s="332"/>
      <c r="E100" s="332"/>
      <c r="F100" s="332"/>
    </row>
    <row r="101" spans="1:6">
      <c r="A101" s="1306" t="s">
        <v>74</v>
      </c>
      <c r="B101" s="1307">
        <v>63</v>
      </c>
      <c r="C101" s="332"/>
      <c r="D101" s="332"/>
      <c r="E101" s="332"/>
      <c r="F101" s="332"/>
    </row>
    <row r="102" spans="1:6">
      <c r="A102" s="1306" t="s">
        <v>75</v>
      </c>
      <c r="B102" s="1307">
        <v>18</v>
      </c>
      <c r="C102" s="332"/>
      <c r="D102" s="332"/>
      <c r="E102" s="332"/>
      <c r="F102" s="332"/>
    </row>
    <row r="103" spans="1:6">
      <c r="A103" s="1306" t="s">
        <v>76</v>
      </c>
      <c r="B103" s="1307">
        <v>50</v>
      </c>
      <c r="C103" s="332"/>
      <c r="D103" s="332"/>
      <c r="E103" s="332"/>
      <c r="F103" s="332"/>
    </row>
    <row r="104" spans="1:6">
      <c r="A104" s="1306" t="s">
        <v>77</v>
      </c>
      <c r="B104" s="1307">
        <v>1189</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43</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17017.734524224266</v>
      </c>
      <c r="C3" s="43" t="s">
        <v>169</v>
      </c>
      <c r="D3" s="43"/>
      <c r="E3" s="156"/>
      <c r="F3" s="43"/>
      <c r="G3" s="43"/>
      <c r="H3" s="43"/>
      <c r="I3" s="43"/>
      <c r="J3" s="43"/>
      <c r="K3" s="96"/>
    </row>
    <row r="4" spans="1:11">
      <c r="A4" s="363" t="s">
        <v>170</v>
      </c>
      <c r="B4" s="49">
        <f>IF(ISERROR('SEAP template'!B78+'SEAP template'!C78),0,'SEAP template'!B78+'SEAP template'!C78)</f>
        <v>1701.8115096705756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0.19889950577135701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333.173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333.173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0.19889950577135701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66.267945036360331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9043.7125735331902</v>
      </c>
      <c r="C5" s="17">
        <f>IF(ISERROR('Eigen informatie GS &amp; warmtenet'!B57),0,'Eigen informatie GS &amp; warmtenet'!B57)</f>
        <v>0</v>
      </c>
      <c r="D5" s="30">
        <f>(SUM(HH_hh_gas_kWh,HH_rest_gas_kWh)/1000)*0.902</f>
        <v>0</v>
      </c>
      <c r="E5" s="17">
        <f>B46*B57</f>
        <v>3242.7728813703197</v>
      </c>
      <c r="F5" s="17">
        <f>B51*B62</f>
        <v>28173.180857883166</v>
      </c>
      <c r="G5" s="18"/>
      <c r="H5" s="17"/>
      <c r="I5" s="17"/>
      <c r="J5" s="17">
        <f>B50*B61+C50*C61</f>
        <v>1802.9360875622722</v>
      </c>
      <c r="K5" s="17"/>
      <c r="L5" s="17"/>
      <c r="M5" s="17"/>
      <c r="N5" s="17">
        <f>B48*B59+C48*C59</f>
        <v>6723.9974374240528</v>
      </c>
      <c r="O5" s="17">
        <f>B69*B70*B71</f>
        <v>67.223333333333329</v>
      </c>
      <c r="P5" s="17">
        <f>B77*B78*B79/1000-B77*B78*B79/1000/B80</f>
        <v>266.93333333333334</v>
      </c>
    </row>
    <row r="6" spans="1:16">
      <c r="A6" s="16" t="s">
        <v>633</v>
      </c>
      <c r="B6" s="779">
        <f>kWh_PV_kleiner_dan_10kW</f>
        <v>1143.3699349142553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10187.082508447445</v>
      </c>
      <c r="C8" s="21">
        <f>C5</f>
        <v>0</v>
      </c>
      <c r="D8" s="21">
        <f>D5</f>
        <v>0</v>
      </c>
      <c r="E8" s="21">
        <f>E5</f>
        <v>3242.7728813703197</v>
      </c>
      <c r="F8" s="21">
        <f>F5</f>
        <v>28173.180857883166</v>
      </c>
      <c r="G8" s="21"/>
      <c r="H8" s="21"/>
      <c r="I8" s="21"/>
      <c r="J8" s="21">
        <f>J5</f>
        <v>1802.9360875622722</v>
      </c>
      <c r="K8" s="21"/>
      <c r="L8" s="21">
        <f>L5</f>
        <v>0</v>
      </c>
      <c r="M8" s="21">
        <f>M5</f>
        <v>0</v>
      </c>
      <c r="N8" s="21">
        <f>N5</f>
        <v>6723.9974374240528</v>
      </c>
      <c r="O8" s="21">
        <f>O5</f>
        <v>67.223333333333329</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0.19889950577135701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2026.2056761822328</v>
      </c>
      <c r="C12" s="23">
        <f ca="1">C10*C8</f>
        <v>0</v>
      </c>
      <c r="D12" s="23">
        <f>D8*D10</f>
        <v>0</v>
      </c>
      <c r="E12" s="23">
        <f>E10*E8</f>
        <v>736.10944407106263</v>
      </c>
      <c r="F12" s="23">
        <f>F10*F8</f>
        <v>7522.2392890548053</v>
      </c>
      <c r="G12" s="23"/>
      <c r="H12" s="23"/>
      <c r="I12" s="23"/>
      <c r="J12" s="23">
        <f>J10*J8</f>
        <v>638.23937499704437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v>
      </c>
      <c r="C18" s="168" t="s">
        <v>110</v>
      </c>
      <c r="D18" s="230"/>
      <c r="E18" s="15"/>
    </row>
    <row r="19" spans="1:7">
      <c r="A19" s="173" t="s">
        <v>71</v>
      </c>
      <c r="B19" s="37">
        <f>aantalw2001_ander</f>
        <v>0</v>
      </c>
      <c r="C19" s="168" t="s">
        <v>110</v>
      </c>
      <c r="D19" s="231"/>
      <c r="E19" s="15"/>
    </row>
    <row r="20" spans="1:7">
      <c r="A20" s="173" t="s">
        <v>72</v>
      </c>
      <c r="B20" s="37">
        <f>aantalw2001_propaan</f>
        <v>104</v>
      </c>
      <c r="C20" s="169">
        <f>IF(ISERROR(B20/SUM($B$20,$B$21,$B$22)*100),0,B20/SUM($B$20,$B$21,$B$22)*100)</f>
        <v>34.323432343234323</v>
      </c>
      <c r="D20" s="231"/>
      <c r="E20" s="15"/>
    </row>
    <row r="21" spans="1:7">
      <c r="A21" s="173" t="s">
        <v>73</v>
      </c>
      <c r="B21" s="37">
        <f>aantalw2001_elektriciteit</f>
        <v>136</v>
      </c>
      <c r="C21" s="169">
        <f>IF(ISERROR(B21/SUM($B$20,$B$21,$B$22)*100),0,B21/SUM($B$20,$B$21,$B$22)*100)</f>
        <v>44.884488448844884</v>
      </c>
      <c r="D21" s="231"/>
      <c r="E21" s="15"/>
    </row>
    <row r="22" spans="1:7">
      <c r="A22" s="173" t="s">
        <v>74</v>
      </c>
      <c r="B22" s="37">
        <f>aantalw2001_hout</f>
        <v>63</v>
      </c>
      <c r="C22" s="169">
        <f>IF(ISERROR(B22/SUM($B$20,$B$21,$B$22)*100),0,B22/SUM($B$20,$B$21,$B$22)*100)</f>
        <v>20.792079207920793</v>
      </c>
      <c r="D22" s="231"/>
      <c r="E22" s="15"/>
    </row>
    <row r="23" spans="1:7">
      <c r="A23" s="173" t="s">
        <v>75</v>
      </c>
      <c r="B23" s="37">
        <f>aantalw2001_niet_gespec</f>
        <v>18</v>
      </c>
      <c r="C23" s="168" t="s">
        <v>110</v>
      </c>
      <c r="D23" s="230"/>
      <c r="E23" s="15"/>
    </row>
    <row r="24" spans="1:7">
      <c r="A24" s="173" t="s">
        <v>76</v>
      </c>
      <c r="B24" s="37">
        <f>aantalw2001_steenkool</f>
        <v>50</v>
      </c>
      <c r="C24" s="168" t="s">
        <v>110</v>
      </c>
      <c r="D24" s="231"/>
      <c r="E24" s="15"/>
    </row>
    <row r="25" spans="1:7">
      <c r="A25" s="173" t="s">
        <v>77</v>
      </c>
      <c r="B25" s="37">
        <f>aantalw2001_stookolie</f>
        <v>1189</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1674</v>
      </c>
      <c r="C28" s="36"/>
      <c r="D28" s="230"/>
    </row>
    <row r="29" spans="1:7" s="15" customFormat="1">
      <c r="A29" s="232" t="s">
        <v>743</v>
      </c>
      <c r="B29" s="37">
        <f>SUM(HH_hh_gas_aantal,HH_rest_gas_aantal)</f>
        <v>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0</v>
      </c>
      <c r="C32" s="169">
        <f>IF(ISERROR(B32/SUM($B$32,$B$34,$B$35,$B$36,$B$38,$B$39)*100),0,B32/SUM($B$32,$B$34,$B$35,$B$36,$B$38,$B$39)*100)</f>
        <v>0</v>
      </c>
      <c r="D32" s="235"/>
      <c r="G32" s="15"/>
    </row>
    <row r="33" spans="1:7">
      <c r="A33" s="173" t="s">
        <v>71</v>
      </c>
      <c r="B33" s="34" t="s">
        <v>110</v>
      </c>
      <c r="C33" s="169"/>
      <c r="D33" s="235"/>
      <c r="G33" s="15"/>
    </row>
    <row r="34" spans="1:7">
      <c r="A34" s="173" t="s">
        <v>72</v>
      </c>
      <c r="B34" s="33">
        <f>IF((($B$28-$B$32-$B$39-$B$77-$B$38)*C20/100)&lt;0,0,($B$28-$B$32-$B$39-$B$77-$B$38)*C20/100)</f>
        <v>141.41254125412544</v>
      </c>
      <c r="C34" s="169">
        <f>IF(ISERROR(B34/SUM($B$32,$B$34,$B$35,$B$36,$B$38,$B$39)*100),0,B34/SUM($B$32,$B$34,$B$35,$B$36,$B$38,$B$39)*100)</f>
        <v>8.5188277863930981</v>
      </c>
      <c r="D34" s="235"/>
      <c r="G34" s="15"/>
    </row>
    <row r="35" spans="1:7">
      <c r="A35" s="173" t="s">
        <v>73</v>
      </c>
      <c r="B35" s="33">
        <f>IF((($B$28-$B$32-$B$39-$B$77-$B$38)*C21/100)&lt;0,0,($B$28-$B$32-$B$39-$B$77-$B$38)*C21/100)</f>
        <v>184.92409240924098</v>
      </c>
      <c r="C35" s="169">
        <f>IF(ISERROR(B35/SUM($B$32,$B$34,$B$35,$B$36,$B$38,$B$39)*100),0,B35/SUM($B$32,$B$34,$B$35,$B$36,$B$38,$B$39)*100)</f>
        <v>11.140005566821747</v>
      </c>
      <c r="D35" s="235"/>
      <c r="G35" s="15"/>
    </row>
    <row r="36" spans="1:7">
      <c r="A36" s="173" t="s">
        <v>74</v>
      </c>
      <c r="B36" s="33">
        <f>IF((($B$28-$B$32-$B$39-$B$77-$B$38)*C22/100)&lt;0,0,($B$28-$B$32-$B$39-$B$77-$B$38)*C22/100)</f>
        <v>85.6633663366337</v>
      </c>
      <c r="C36" s="169">
        <f>IF(ISERROR(B36/SUM($B$32,$B$34,$B$35,$B$36,$B$38,$B$39)*100),0,B36/SUM($B$32,$B$34,$B$35,$B$36,$B$38,$B$39)*100)</f>
        <v>5.160443755218898</v>
      </c>
      <c r="D36" s="235"/>
      <c r="G36" s="15"/>
    </row>
    <row r="37" spans="1:7">
      <c r="A37" s="173" t="s">
        <v>75</v>
      </c>
      <c r="B37" s="34" t="s">
        <v>110</v>
      </c>
      <c r="C37" s="169"/>
      <c r="D37" s="175"/>
      <c r="G37" s="15"/>
    </row>
    <row r="38" spans="1:7">
      <c r="A38" s="173" t="s">
        <v>76</v>
      </c>
      <c r="B38" s="33">
        <f>IF((B24-(B29-B18)*0.1)&lt;0,0,B24-(B29-B18)*0.1)</f>
        <v>50.9</v>
      </c>
      <c r="C38" s="169">
        <f>IF(ISERROR(B38/SUM($B$32,$B$34,$B$35,$B$36,$B$38,$B$39)*100),0,B38/SUM($B$32,$B$34,$B$35,$B$36,$B$38,$B$39)*100)</f>
        <v>3.0662650602409638</v>
      </c>
      <c r="D38" s="236"/>
      <c r="G38" s="15"/>
    </row>
    <row r="39" spans="1:7">
      <c r="A39" s="173" t="s">
        <v>77</v>
      </c>
      <c r="B39" s="33">
        <f>IF((B25-(B29-B18))&lt;0,0,B25-(B29-B18)*0.9)</f>
        <v>1197.0999999999999</v>
      </c>
      <c r="C39" s="169">
        <f>IF(ISERROR(B39/SUM($B$32,$B$34,$B$35,$B$36,$B$38,$B$39)*100),0,B39/SUM($B$32,$B$34,$B$35,$B$36,$B$38,$B$39)*100)</f>
        <v>72.114457831325296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0</v>
      </c>
      <c r="C44" s="34" t="s">
        <v>110</v>
      </c>
      <c r="D44" s="176"/>
    </row>
    <row r="45" spans="1:7">
      <c r="A45" s="173" t="s">
        <v>71</v>
      </c>
      <c r="B45" s="33" t="str">
        <f t="shared" si="0"/>
        <v>-</v>
      </c>
      <c r="C45" s="34" t="s">
        <v>110</v>
      </c>
      <c r="D45" s="176"/>
    </row>
    <row r="46" spans="1:7">
      <c r="A46" s="173" t="s">
        <v>72</v>
      </c>
      <c r="B46" s="33">
        <f t="shared" si="0"/>
        <v>141.41254125412544</v>
      </c>
      <c r="C46" s="34" t="s">
        <v>110</v>
      </c>
      <c r="D46" s="176"/>
    </row>
    <row r="47" spans="1:7">
      <c r="A47" s="173" t="s">
        <v>73</v>
      </c>
      <c r="B47" s="33">
        <f t="shared" si="0"/>
        <v>184.92409240924098</v>
      </c>
      <c r="C47" s="34" t="s">
        <v>110</v>
      </c>
      <c r="D47" s="176"/>
    </row>
    <row r="48" spans="1:7">
      <c r="A48" s="173" t="s">
        <v>74</v>
      </c>
      <c r="B48" s="33">
        <f t="shared" si="0"/>
        <v>85.6633663366337</v>
      </c>
      <c r="C48" s="33">
        <f>B48*10</f>
        <v>856.63366336633703</v>
      </c>
      <c r="D48" s="236"/>
    </row>
    <row r="49" spans="1:6">
      <c r="A49" s="173" t="s">
        <v>75</v>
      </c>
      <c r="B49" s="33" t="str">
        <f t="shared" si="0"/>
        <v>-</v>
      </c>
      <c r="C49" s="34" t="s">
        <v>110</v>
      </c>
      <c r="D49" s="236"/>
    </row>
    <row r="50" spans="1:6">
      <c r="A50" s="173" t="s">
        <v>76</v>
      </c>
      <c r="B50" s="33">
        <f t="shared" si="0"/>
        <v>50.9</v>
      </c>
      <c r="C50" s="33">
        <f>B50*2</f>
        <v>101.8</v>
      </c>
      <c r="D50" s="236"/>
    </row>
    <row r="51" spans="1:6">
      <c r="A51" s="173" t="s">
        <v>77</v>
      </c>
      <c r="B51" s="33">
        <f t="shared" si="0"/>
        <v>1197.0999999999999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3350.2601242023766</v>
      </c>
      <c r="C5" s="17">
        <f>IF(ISERROR('Eigen informatie GS &amp; warmtenet'!B58),0,'Eigen informatie GS &amp; warmtenet'!B58)</f>
        <v>0</v>
      </c>
      <c r="D5" s="30">
        <f>SUM(D6:D12)</f>
        <v>0</v>
      </c>
      <c r="E5" s="17">
        <f>SUM(E6:E12)</f>
        <v>89.236672261045044</v>
      </c>
      <c r="F5" s="17">
        <f>SUM(F6:F12)</f>
        <v>753.88947605447584</v>
      </c>
      <c r="G5" s="18"/>
      <c r="H5" s="17"/>
      <c r="I5" s="17"/>
      <c r="J5" s="17">
        <f>SUM(J6:J12)</f>
        <v>0</v>
      </c>
      <c r="K5" s="17"/>
      <c r="L5" s="17"/>
      <c r="M5" s="17"/>
      <c r="N5" s="17">
        <f>SUM(N6:N12)</f>
        <v>169.46831933629244</v>
      </c>
      <c r="O5" s="17">
        <f>B38*B39*B40</f>
        <v>0</v>
      </c>
      <c r="P5" s="17">
        <f>B46*B47*B48/1000-B46*B47*B48/1000/B49</f>
        <v>19.066666666666666</v>
      </c>
      <c r="R5" s="32"/>
    </row>
    <row r="6" spans="1:18">
      <c r="A6" s="32" t="s">
        <v>53</v>
      </c>
      <c r="B6" s="37">
        <f>B26</f>
        <v>520.55349980067501</v>
      </c>
      <c r="C6" s="33"/>
      <c r="D6" s="37">
        <f>IF(ISERROR(TER_kantoor_gas_kWh/1000),0,TER_kantoor_gas_kWh/1000)*0.902</f>
        <v>0</v>
      </c>
      <c r="E6" s="33">
        <f>$C$26*'E Balans VL '!I12/100/3.6*1000000</f>
        <v>2.0224605543227585</v>
      </c>
      <c r="F6" s="33">
        <f>$C$26*('E Balans VL '!L12+'E Balans VL '!N12)/100/3.6*1000000</f>
        <v>79.171450660473724</v>
      </c>
      <c r="G6" s="34"/>
      <c r="H6" s="33"/>
      <c r="I6" s="33"/>
      <c r="J6" s="33">
        <f>$C$26*('E Balans VL '!D12+'E Balans VL '!E12)/100/3.6*1000000</f>
        <v>0</v>
      </c>
      <c r="K6" s="33"/>
      <c r="L6" s="33"/>
      <c r="M6" s="33"/>
      <c r="N6" s="33">
        <f>$C$26*'E Balans VL '!Y12/100/3.6*1000000</f>
        <v>0.28688733916369286</v>
      </c>
      <c r="O6" s="33"/>
      <c r="P6" s="33"/>
      <c r="R6" s="32"/>
    </row>
    <row r="7" spans="1:18">
      <c r="A7" s="32" t="s">
        <v>52</v>
      </c>
      <c r="B7" s="37">
        <f t="shared" ref="B7:B12" si="0">B27</f>
        <v>1205.37341468707</v>
      </c>
      <c r="C7" s="33"/>
      <c r="D7" s="37">
        <f>IF(ISERROR(TER_horeca_gas_kWh/1000),0,TER_horeca_gas_kWh/1000)*0.902</f>
        <v>0</v>
      </c>
      <c r="E7" s="33">
        <f>$C$27*'E Balans VL '!I9/100/3.6*1000000</f>
        <v>67.89900671278032</v>
      </c>
      <c r="F7" s="33">
        <f>$C$27*('E Balans VL '!L9+'E Balans VL '!N9)/100/3.6*1000000</f>
        <v>347.55752856257402</v>
      </c>
      <c r="G7" s="34"/>
      <c r="H7" s="33"/>
      <c r="I7" s="33"/>
      <c r="J7" s="33">
        <f>$C$27*('E Balans VL '!D9+'E Balans VL '!E9)/100/3.6*1000000</f>
        <v>0</v>
      </c>
      <c r="K7" s="33"/>
      <c r="L7" s="33"/>
      <c r="M7" s="33"/>
      <c r="N7" s="33">
        <f>$C$27*'E Balans VL '!Y9/100/3.6*1000000</f>
        <v>0.3327973360855041</v>
      </c>
      <c r="O7" s="33"/>
      <c r="P7" s="33"/>
      <c r="R7" s="32"/>
    </row>
    <row r="8" spans="1:18">
      <c r="A8" s="6" t="s">
        <v>51</v>
      </c>
      <c r="B8" s="37">
        <f t="shared" si="0"/>
        <v>74.156891355540608</v>
      </c>
      <c r="C8" s="33"/>
      <c r="D8" s="37">
        <f>IF(ISERROR(TER_handel_gas_kWh/1000),0,TER_handel_gas_kWh/1000)*0.902</f>
        <v>0</v>
      </c>
      <c r="E8" s="33">
        <f>$C$28*'E Balans VL '!I13/100/3.6*1000000</f>
        <v>1.0688523937386931</v>
      </c>
      <c r="F8" s="33">
        <f>$C$28*('E Balans VL '!L13+'E Balans VL '!N13)/100/3.6*1000000</f>
        <v>12.882779025921266</v>
      </c>
      <c r="G8" s="34"/>
      <c r="H8" s="33"/>
      <c r="I8" s="33"/>
      <c r="J8" s="33">
        <f>$C$28*('E Balans VL '!D13+'E Balans VL '!E13)/100/3.6*1000000</f>
        <v>0</v>
      </c>
      <c r="K8" s="33"/>
      <c r="L8" s="33"/>
      <c r="M8" s="33"/>
      <c r="N8" s="33">
        <f>$C$28*'E Balans VL '!Y13/100/3.6*1000000</f>
        <v>0.22218230181640608</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73.900010197970801</v>
      </c>
      <c r="C10" s="33"/>
      <c r="D10" s="37">
        <f>IF(ISERROR(TER_ander_gas_kWh/1000),0,TER_ander_gas_kWh/1000)*0.902</f>
        <v>0</v>
      </c>
      <c r="E10" s="33">
        <f>$C$30*'E Balans VL '!I14/100/3.6*1000000</f>
        <v>0.33985490587445433</v>
      </c>
      <c r="F10" s="33">
        <f>$C$30*('E Balans VL '!L14+'E Balans VL '!N14)/100/3.6*1000000</f>
        <v>22.150164072161225</v>
      </c>
      <c r="G10" s="34"/>
      <c r="H10" s="33"/>
      <c r="I10" s="33"/>
      <c r="J10" s="33">
        <f>$C$30*('E Balans VL '!D14+'E Balans VL '!E14)/100/3.6*1000000</f>
        <v>0</v>
      </c>
      <c r="K10" s="33"/>
      <c r="L10" s="33"/>
      <c r="M10" s="33"/>
      <c r="N10" s="33">
        <f>$C$30*'E Balans VL '!Y14/100/3.6*1000000</f>
        <v>51.439285294266703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1476.2763081611199</v>
      </c>
      <c r="C12" s="33"/>
      <c r="D12" s="37">
        <f>IF(ISERROR(TER_rest_gas_kWh/1000),0,TER_rest_gas_kWh/1000)*0.902</f>
        <v>0</v>
      </c>
      <c r="E12" s="33">
        <f>$C$32*'E Balans VL '!I8/100/3.6*1000000</f>
        <v>17.906497694328813</v>
      </c>
      <c r="F12" s="33">
        <f>$C$32*('E Balans VL '!L8+'E Balans VL '!N8)/100/3.6*1000000</f>
        <v>292.12755373334562</v>
      </c>
      <c r="G12" s="34"/>
      <c r="H12" s="33"/>
      <c r="I12" s="33"/>
      <c r="J12" s="33">
        <f>$C$32*('E Balans VL '!D8+'E Balans VL '!E8)/100/3.6*1000000</f>
        <v>0</v>
      </c>
      <c r="K12" s="33"/>
      <c r="L12" s="33"/>
      <c r="M12" s="33"/>
      <c r="N12" s="33">
        <f>$C$32*'E Balans VL '!Y8/100/3.6*1000000</f>
        <v>117.18716706496015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3350.2601242023766</v>
      </c>
      <c r="C16" s="21">
        <f t="shared" ca="1" si="1"/>
        <v>0</v>
      </c>
      <c r="D16" s="21">
        <f t="shared" ca="1" si="1"/>
        <v>0</v>
      </c>
      <c r="E16" s="21">
        <f t="shared" si="1"/>
        <v>89.236672261045044</v>
      </c>
      <c r="F16" s="21">
        <f t="shared" ca="1" si="1"/>
        <v>753.88947605447584</v>
      </c>
      <c r="G16" s="21">
        <f t="shared" si="1"/>
        <v>0</v>
      </c>
      <c r="H16" s="21">
        <f t="shared" si="1"/>
        <v>0</v>
      </c>
      <c r="I16" s="21">
        <f t="shared" si="1"/>
        <v>0</v>
      </c>
      <c r="J16" s="21">
        <f t="shared" si="1"/>
        <v>0</v>
      </c>
      <c r="K16" s="21">
        <f t="shared" si="1"/>
        <v>0</v>
      </c>
      <c r="L16" s="21">
        <f t="shared" ca="1" si="1"/>
        <v>0</v>
      </c>
      <c r="M16" s="21">
        <f t="shared" si="1"/>
        <v>0</v>
      </c>
      <c r="N16" s="21">
        <f t="shared" ca="1" si="1"/>
        <v>169.46831933629244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0.19889950577135701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666.36508290933784</v>
      </c>
      <c r="C20" s="23">
        <f t="shared" ref="C20:P20" ca="1" si="2">C16*C18</f>
        <v>0</v>
      </c>
      <c r="D20" s="23">
        <f t="shared" ca="1" si="2"/>
        <v>0</v>
      </c>
      <c r="E20" s="23">
        <f t="shared" si="2"/>
        <v>20.256724603257226</v>
      </c>
      <c r="F20" s="23">
        <f t="shared" ca="1" si="2"/>
        <v>201.28849010654505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520.55349980067501</v>
      </c>
      <c r="C26" s="39">
        <f>IF(ISERROR(B26*3.6/1000000/'E Balans VL '!Z12*100),0,B26*3.6/1000000/'E Balans VL '!Z12*100)</f>
        <v>1.1056814184450267E-2</v>
      </c>
      <c r="D26" s="239" t="s">
        <v>689</v>
      </c>
      <c r="F26" s="6"/>
    </row>
    <row r="27" spans="1:18">
      <c r="A27" s="233" t="s">
        <v>52</v>
      </c>
      <c r="B27" s="33">
        <f>IF(ISERROR(TER_horeca_ele_kWh/1000),0,TER_horeca_ele_kWh/1000)</f>
        <v>1205.37341468707</v>
      </c>
      <c r="C27" s="39">
        <f>IF(ISERROR(B27*3.6/1000000/'E Balans VL '!Z9*100),0,B27*3.6/1000000/'E Balans VL '!Z9*100)</f>
        <v>9.372512381039079E-2</v>
      </c>
      <c r="D27" s="239" t="s">
        <v>689</v>
      </c>
      <c r="F27" s="6"/>
    </row>
    <row r="28" spans="1:18">
      <c r="A28" s="173" t="s">
        <v>51</v>
      </c>
      <c r="B28" s="33">
        <f>IF(ISERROR(TER_handel_ele_kWh/1000),0,TER_handel_ele_kWh/1000)</f>
        <v>74.156891355540608</v>
      </c>
      <c r="C28" s="39">
        <f>IF(ISERROR(B28*3.6/1000000/'E Balans VL '!Z13*100),0,B28*3.6/1000000/'E Balans VL '!Z13*100)</f>
        <v>2.1217159356126873E-3</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73.900010197970801</v>
      </c>
      <c r="C30" s="39">
        <f>IF(ISERROR(B30*3.6/1000000/'E Balans VL '!Z14*100),0,B30*3.6/1000000/'E Balans VL '!Z14*100)</f>
        <v>5.4078351080883071E-3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1476.2763081611199</v>
      </c>
      <c r="C32" s="39">
        <f>IF(ISERROR(B32*3.6/1000000/'E Balans VL '!Z8*100),0,B32*3.6/1000000/'E Balans VL '!Z8*100)</f>
        <v>1.2030756004941993E-2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622.27241179842088</v>
      </c>
      <c r="C5" s="17">
        <f>IF(ISERROR('Eigen informatie GS &amp; warmtenet'!B59),0,'Eigen informatie GS &amp; warmtenet'!B59)</f>
        <v>0</v>
      </c>
      <c r="D5" s="30">
        <f>SUM(D6:D15)</f>
        <v>0</v>
      </c>
      <c r="E5" s="17">
        <f>SUM(E6:E15)</f>
        <v>50.616736583316211</v>
      </c>
      <c r="F5" s="17">
        <f>SUM(F6:F15)</f>
        <v>178.17878902738656</v>
      </c>
      <c r="G5" s="18"/>
      <c r="H5" s="17"/>
      <c r="I5" s="17"/>
      <c r="J5" s="17">
        <f>SUM(J6:J15)</f>
        <v>1.4052609140408716</v>
      </c>
      <c r="K5" s="17"/>
      <c r="L5" s="17"/>
      <c r="M5" s="17"/>
      <c r="N5" s="17">
        <f>SUM(N6:N15)</f>
        <v>31.701359650369803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73.998344239851789</v>
      </c>
      <c r="C9" s="33"/>
      <c r="D9" s="37">
        <f>IF( ISERROR(IND_andere_gas_kWh/1000),0,IND_andere_gas_kWh/1000)*0.902</f>
        <v>0</v>
      </c>
      <c r="E9" s="33">
        <f>C31*'E Balans VL '!I19/100/3.6*1000000</f>
        <v>20.029532385445137</v>
      </c>
      <c r="F9" s="33">
        <f>C31*'E Balans VL '!L19/100/3.6*1000000+C31*'E Balans VL '!N19/100/3.6*1000000</f>
        <v>49.290727924310524</v>
      </c>
      <c r="G9" s="34"/>
      <c r="H9" s="33"/>
      <c r="I9" s="33"/>
      <c r="J9" s="40">
        <f>C31*'E Balans VL '!D19/100/3.6*1000000+C31*'E Balans VL '!E19/100/3.6*1000000</f>
        <v>0</v>
      </c>
      <c r="K9" s="33"/>
      <c r="L9" s="33"/>
      <c r="M9" s="33"/>
      <c r="N9" s="33">
        <f>C31*'E Balans VL '!Y19/100/3.6*1000000</f>
        <v>6.2560698224247329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548.27406755856907</v>
      </c>
      <c r="C15" s="33"/>
      <c r="D15" s="37">
        <f>IF( ISERROR(IND_rest_gas_kWh/1000),0,IND_rest_gas_kWh/1000)*0.902</f>
        <v>0</v>
      </c>
      <c r="E15" s="33">
        <f>C37*'E Balans VL '!I15/100/3.6*1000000</f>
        <v>30.587204197871078</v>
      </c>
      <c r="F15" s="33">
        <f>C37*'E Balans VL '!L15/100/3.6*1000000+C37*'E Balans VL '!N15/100/3.6*1000000</f>
        <v>128.88806110307604</v>
      </c>
      <c r="G15" s="34"/>
      <c r="H15" s="33"/>
      <c r="I15" s="33"/>
      <c r="J15" s="40">
        <f>C37*'E Balans VL '!D15/100/3.6*1000000+C37*'E Balans VL '!E15/100/3.6*1000000</f>
        <v>1.4052609140408716</v>
      </c>
      <c r="K15" s="33"/>
      <c r="L15" s="33"/>
      <c r="M15" s="33"/>
      <c r="N15" s="33">
        <f>C37*'E Balans VL '!Y15/100/3.6*1000000</f>
        <v>25.445289827945068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622.27241179842088</v>
      </c>
      <c r="C18" s="21">
        <f>C5+C16</f>
        <v>0</v>
      </c>
      <c r="D18" s="21">
        <f>MAX((D5+D16),0)</f>
        <v>0</v>
      </c>
      <c r="E18" s="21">
        <f>MAX((E5+E16),0)</f>
        <v>50.616736583316211</v>
      </c>
      <c r="F18" s="21">
        <f>MAX((F5+F16),0)</f>
        <v>178.17878902738656</v>
      </c>
      <c r="G18" s="21"/>
      <c r="H18" s="21"/>
      <c r="I18" s="21"/>
      <c r="J18" s="21">
        <f>MAX((J5+J16),0)</f>
        <v>1.4052609140408716</v>
      </c>
      <c r="K18" s="21"/>
      <c r="L18" s="21">
        <f>MAX((L5+L16),0)</f>
        <v>0</v>
      </c>
      <c r="M18" s="21"/>
      <c r="N18" s="21">
        <f>MAX((N5+N16),0)</f>
        <v>31.701359650369803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0.19889950577135701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123.76967516185626</v>
      </c>
      <c r="C22" s="23">
        <f ca="1">C18*C20</f>
        <v>0</v>
      </c>
      <c r="D22" s="23">
        <f>D18*D20</f>
        <v>0</v>
      </c>
      <c r="E22" s="23">
        <f>E18*E20</f>
        <v>11.489999204412781</v>
      </c>
      <c r="F22" s="23">
        <f>F18*F20</f>
        <v>47.573736670312215</v>
      </c>
      <c r="G22" s="23"/>
      <c r="H22" s="23"/>
      <c r="I22" s="23"/>
      <c r="J22" s="23">
        <f>J18*J20</f>
        <v>0.49746236357046852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73.998344239851789</v>
      </c>
      <c r="C31" s="39">
        <f>IF(ISERROR(B31*3.6/1000000/'E Balans VL '!Z19*100),0,B31*3.6/1000000/'E Balans VL '!Z19*100)</f>
        <v>3.2225688637478088E-3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548.27406755856907</v>
      </c>
      <c r="C37" s="39">
        <f>IF(ISERROR(B37*3.6/1000000/'E Balans VL '!Z15*100),0,B37*3.6/1000000/'E Balans VL '!Z15*100)</f>
        <v>4.2251251099046918E-3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2209.698180075362</v>
      </c>
      <c r="C5" s="17">
        <f>'Eigen informatie GS &amp; warmtenet'!B60</f>
        <v>0</v>
      </c>
      <c r="D5" s="30">
        <f>IF(ISERROR(SUM(LB_lb_gas_kWh,LB_rest_gas_kWh)/1000),0,SUM(LB_lb_gas_kWh,LB_rest_gas_kWh)/1000)*0.902</f>
        <v>0</v>
      </c>
      <c r="E5" s="17">
        <f>B17*'E Balans VL '!I25/3.6*1000000/100</f>
        <v>27.845043738992086</v>
      </c>
      <c r="F5" s="17">
        <f>B17*('E Balans VL '!L25/3.6*1000000+'E Balans VL '!N25/3.6*1000000)/100</f>
        <v>7624.0122837308209</v>
      </c>
      <c r="G5" s="18"/>
      <c r="H5" s="17"/>
      <c r="I5" s="17"/>
      <c r="J5" s="17">
        <f>('E Balans VL '!D25+'E Balans VL '!E25)/3.6*1000000*landbouw!B17/100</f>
        <v>332.31348732095398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2209.698180075362</v>
      </c>
      <c r="C8" s="21">
        <f>C5+C6</f>
        <v>0</v>
      </c>
      <c r="D8" s="21">
        <f>MAX((D5+D6),0)</f>
        <v>0</v>
      </c>
      <c r="E8" s="21">
        <f>MAX((E5+E6),0)</f>
        <v>27.845043738992086</v>
      </c>
      <c r="F8" s="21">
        <f>MAX((F5+F6),0)</f>
        <v>7624.0122837308209</v>
      </c>
      <c r="G8" s="21"/>
      <c r="H8" s="21"/>
      <c r="I8" s="21"/>
      <c r="J8" s="21">
        <f>MAX((J5+J6),0)</f>
        <v>332.31348732095398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0.19889950577135701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439.50787592085652</v>
      </c>
      <c r="C12" s="23">
        <f ca="1">C8*C10</f>
        <v>0</v>
      </c>
      <c r="D12" s="23">
        <f>D8*D10</f>
        <v>0</v>
      </c>
      <c r="E12" s="23">
        <f>E8*E10</f>
        <v>6.3208249287512039</v>
      </c>
      <c r="F12" s="23">
        <f>F8*F10</f>
        <v>2035.6112797561293</v>
      </c>
      <c r="G12" s="23"/>
      <c r="H12" s="23"/>
      <c r="I12" s="23"/>
      <c r="J12" s="23">
        <f>J8*J10</f>
        <v>117.6389745116177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0.30818325047654893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437.30598181147803</v>
      </c>
      <c r="C26" s="249">
        <f>B26*'GWP N2O_CH4'!B5</f>
        <v>9183.4256180410393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111.57703974340707</v>
      </c>
      <c r="C27" s="249">
        <f>B27*'GWP N2O_CH4'!B5</f>
        <v>2343.1178346115485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4.774181381424043</v>
      </c>
      <c r="C28" s="249">
        <f>B28*'GWP N2O_CH4'!B4</f>
        <v>1479.9962282414533</v>
      </c>
      <c r="D28" s="50"/>
    </row>
    <row r="29" spans="1:4">
      <c r="A29" s="41" t="s">
        <v>276</v>
      </c>
      <c r="B29" s="249">
        <f>B34*'ha_N2O bodem landbouw'!B4</f>
        <v>19.746209076074191</v>
      </c>
      <c r="C29" s="249">
        <f>B29*'GWP N2O_CH4'!B4</f>
        <v>6121.324813582999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4.9304310966676833E-3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5.7230777766170501E-6</v>
      </c>
      <c r="C5" s="444" t="s">
        <v>210</v>
      </c>
      <c r="D5" s="429">
        <f>SUM(D6:D11)</f>
        <v>1.1168117859650764E-5</v>
      </c>
      <c r="E5" s="429">
        <f>SUM(E6:E11)</f>
        <v>3.9146340032684284E-4</v>
      </c>
      <c r="F5" s="442" t="s">
        <v>210</v>
      </c>
      <c r="G5" s="429">
        <f>SUM(G6:G11)</f>
        <v>9.2521755320172899E-2</v>
      </c>
      <c r="H5" s="429">
        <f>SUM(H6:H11)</f>
        <v>2.0136276923498276E-2</v>
      </c>
      <c r="I5" s="444" t="s">
        <v>210</v>
      </c>
      <c r="J5" s="444" t="s">
        <v>210</v>
      </c>
      <c r="K5" s="444" t="s">
        <v>210</v>
      </c>
      <c r="L5" s="444" t="s">
        <v>210</v>
      </c>
      <c r="M5" s="429">
        <f>SUM(M6:M11)</f>
        <v>5.0953686137899133E-3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2.8006467395554001E-6</v>
      </c>
      <c r="C6" s="883"/>
      <c r="D6" s="883">
        <f>vkm_GW_PW*SUMIFS(TableVerdeelsleutelVkm[CNG],TableVerdeelsleutelVkm[Voertuigtype],"Lichte voertuigen")*SUMIFS(TableECFTransport[EnergieConsumptieFactor (PJ per km)],TableECFTransport[Index],CONCATENATE($A6,"_CNG_CNG"))</f>
        <v>4.1504750490106319E-6</v>
      </c>
      <c r="E6" s="883">
        <f>vkm_GW_PW*SUMIFS(TableVerdeelsleutelVkm[LPG],TableVerdeelsleutelVkm[Voertuigtype],"Lichte voertuigen")*SUMIFS(TableECFTransport[EnergieConsumptieFactor (PJ per km)],TableECFTransport[Index],CONCATENATE($A6,"_LPG_LPG"))</f>
        <v>1.4865485026223377E-4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2.9917235810385134E-2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7.6427855084411503E-3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1.6991946088398973E-3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1.0649156113613509E-2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2.4742616975597819E-7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4.8082602048592503E-4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2.6017710585110002E-6</v>
      </c>
      <c r="C8" s="883"/>
      <c r="D8" s="432">
        <f>vkm_NGW_PW*SUMIFS(TableVerdeelsleutelVkm[CNG],TableVerdeelsleutelVkm[Voertuigtype],"Lichte voertuigen")*SUMIFS(TableECFTransport[EnergieConsumptieFactor (PJ per km)],TableECFTransport[Index],CONCATENATE($A8,"_CNG_CNG"))</f>
        <v>6.5432999445419718E-6</v>
      </c>
      <c r="E8" s="432">
        <f>vkm_NGW_PW*SUMIFS(TableVerdeelsleutelVkm[LPG],TableVerdeelsleutelVkm[Voertuigtype],"Lichte voertuigen")*SUMIFS(TableECFTransport[EnergieConsumptieFactor (PJ per km)],TableECFTransport[Index],CONCATENATE($A8,"_LPG_LPG"))</f>
        <v>2.2159947259387818E-4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4.2364071976597598E-2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1.1578012846719851E-2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2.4405731554422343E-3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1.3908165359315913E-4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3.7455688793708095E-9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6.2797771847076128E-6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3.2065997855065002E-7</v>
      </c>
      <c r="C10" s="883"/>
      <c r="D10" s="432">
        <f>vkm_SW_PW*SUMIFS(TableVerdeelsleutelVkm[CNG],TableVerdeelsleutelVkm[Voertuigtype],"Lichte voertuigen")*SUMIFS(TableECFTransport[EnergieConsumptieFactor (PJ per km)],TableECFTransport[Index],CONCATENATE($A10,"_CNG_CNG"))</f>
        <v>4.7434286609816187E-7</v>
      </c>
      <c r="E10" s="432">
        <f>vkm_SW_PW*SUMIFS(TableVerdeelsleutelVkm[LPG],TableVerdeelsleutelVkm[Voertuigtype],"Lichte voertuigen")*SUMIFS(TableECFTransport[EnergieConsumptieFactor (PJ per km)],TableECFTransport[Index],CONCATENATE($A10,"_LPG_LPG"))</f>
        <v>2.1209077470730914E-5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3.8694320084618765E-3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9.1508903573654969E-4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2.1642352781798323E-4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5.5827777575216076E-3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1.3836086209078052E-7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2.5207152401916555E-4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1.5897438268380695</v>
      </c>
      <c r="C14" s="21"/>
      <c r="D14" s="21">
        <f t="shared" ref="D14:M14" si="0">((D5)*10^9/3600)+D12</f>
        <v>3.102254961014101</v>
      </c>
      <c r="E14" s="21">
        <f t="shared" si="0"/>
        <v>108.73983342412302</v>
      </c>
      <c r="F14" s="21"/>
      <c r="G14" s="21">
        <f t="shared" si="0"/>
        <v>25700.487588936918</v>
      </c>
      <c r="H14" s="21">
        <f t="shared" si="0"/>
        <v>5593.4102565272988</v>
      </c>
      <c r="I14" s="21"/>
      <c r="J14" s="21"/>
      <c r="K14" s="21"/>
      <c r="L14" s="21"/>
      <c r="M14" s="21">
        <f t="shared" si="0"/>
        <v>1415.3801704971982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0.19889950577135701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0.31619926146115779</v>
      </c>
      <c r="C18" s="23"/>
      <c r="D18" s="23">
        <f t="shared" ref="D18:M18" si="1">D14*D16</f>
        <v>0.62665550212484844</v>
      </c>
      <c r="E18" s="23">
        <f t="shared" si="1"/>
        <v>24.683942187275928</v>
      </c>
      <c r="F18" s="23"/>
      <c r="G18" s="23">
        <f t="shared" si="1"/>
        <v>6862.0301862461574</v>
      </c>
      <c r="H18" s="23">
        <f t="shared" si="1"/>
        <v>1392.7591538752974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4.0470383966975092E-3</v>
      </c>
      <c r="H50" s="321">
        <f t="shared" si="2"/>
        <v>0</v>
      </c>
      <c r="I50" s="321">
        <f t="shared" si="2"/>
        <v>0</v>
      </c>
      <c r="J50" s="321">
        <f t="shared" si="2"/>
        <v>0</v>
      </c>
      <c r="K50" s="321">
        <f t="shared" si="2"/>
        <v>0</v>
      </c>
      <c r="L50" s="321">
        <f t="shared" si="2"/>
        <v>0</v>
      </c>
      <c r="M50" s="321">
        <f t="shared" si="2"/>
        <v>1.8013702712024019E-4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4.0470383966975092E-3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1.8013702712024019E-4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1124.1773324159747</v>
      </c>
      <c r="H54" s="21">
        <f t="shared" si="3"/>
        <v>0</v>
      </c>
      <c r="I54" s="21">
        <f t="shared" si="3"/>
        <v>0</v>
      </c>
      <c r="J54" s="21">
        <f t="shared" si="3"/>
        <v>0</v>
      </c>
      <c r="K54" s="21">
        <f t="shared" si="3"/>
        <v>0</v>
      </c>
      <c r="L54" s="21">
        <f t="shared" si="3"/>
        <v>0</v>
      </c>
      <c r="M54" s="21">
        <f t="shared" si="3"/>
        <v>50.038063088955603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0.19889950577135701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300.15534775506524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3683.4331242023763</v>
      </c>
      <c r="D10" s="686">
        <f ca="1">tertiair!C16</f>
        <v>0</v>
      </c>
      <c r="E10" s="686">
        <f ca="1">tertiair!D16</f>
        <v>0</v>
      </c>
      <c r="F10" s="686">
        <f>tertiair!E16</f>
        <v>89.236672261045044</v>
      </c>
      <c r="G10" s="686">
        <f ca="1">tertiair!F16</f>
        <v>753.88947605447584</v>
      </c>
      <c r="H10" s="686">
        <f>tertiair!G16</f>
        <v>0</v>
      </c>
      <c r="I10" s="686">
        <f>tertiair!H16</f>
        <v>0</v>
      </c>
      <c r="J10" s="686">
        <f>tertiair!I16</f>
        <v>0</v>
      </c>
      <c r="K10" s="686">
        <f>tertiair!J16</f>
        <v>0</v>
      </c>
      <c r="L10" s="686">
        <f>tertiair!K16</f>
        <v>0</v>
      </c>
      <c r="M10" s="686">
        <f ca="1">tertiair!L16</f>
        <v>0</v>
      </c>
      <c r="N10" s="686">
        <f>tertiair!M16</f>
        <v>0</v>
      </c>
      <c r="O10" s="686">
        <f ca="1">tertiair!N16</f>
        <v>169.46831933629244</v>
      </c>
      <c r="P10" s="686">
        <f>tertiair!O16</f>
        <v>0</v>
      </c>
      <c r="Q10" s="687">
        <f>tertiair!P16</f>
        <v>19.066666666666666</v>
      </c>
      <c r="R10" s="689">
        <f ca="1">SUM(C10:Q10)</f>
        <v>4715.0942585208568</v>
      </c>
      <c r="S10" s="67"/>
    </row>
    <row r="11" spans="1:19" s="454" customFormat="1">
      <c r="A11" s="801" t="s">
        <v>224</v>
      </c>
      <c r="B11" s="806"/>
      <c r="C11" s="686">
        <f>huishoudens!B8</f>
        <v>10187.082508447445</v>
      </c>
      <c r="D11" s="686">
        <f>huishoudens!C8</f>
        <v>0</v>
      </c>
      <c r="E11" s="686">
        <f>huishoudens!D8</f>
        <v>0</v>
      </c>
      <c r="F11" s="686">
        <f>huishoudens!E8</f>
        <v>3242.7728813703197</v>
      </c>
      <c r="G11" s="686">
        <f>huishoudens!F8</f>
        <v>28173.180857883166</v>
      </c>
      <c r="H11" s="686">
        <f>huishoudens!G8</f>
        <v>0</v>
      </c>
      <c r="I11" s="686">
        <f>huishoudens!H8</f>
        <v>0</v>
      </c>
      <c r="J11" s="686">
        <f>huishoudens!I8</f>
        <v>0</v>
      </c>
      <c r="K11" s="686">
        <f>huishoudens!J8</f>
        <v>1802.9360875622722</v>
      </c>
      <c r="L11" s="686">
        <f>huishoudens!K8</f>
        <v>0</v>
      </c>
      <c r="M11" s="686">
        <f>huishoudens!L8</f>
        <v>0</v>
      </c>
      <c r="N11" s="686">
        <f>huishoudens!M8</f>
        <v>0</v>
      </c>
      <c r="O11" s="686">
        <f>huishoudens!N8</f>
        <v>6723.9974374240528</v>
      </c>
      <c r="P11" s="686">
        <f>huishoudens!O8</f>
        <v>67.223333333333329</v>
      </c>
      <c r="Q11" s="687">
        <f>huishoudens!P8</f>
        <v>266.93333333333334</v>
      </c>
      <c r="R11" s="689">
        <f>SUM(C11:Q11)</f>
        <v>50464.126439353931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622.27241179842088</v>
      </c>
      <c r="D13" s="686">
        <f>industrie!C18</f>
        <v>0</v>
      </c>
      <c r="E13" s="686">
        <f>industrie!D18</f>
        <v>0</v>
      </c>
      <c r="F13" s="686">
        <f>industrie!E18</f>
        <v>50.616736583316211</v>
      </c>
      <c r="G13" s="686">
        <f>industrie!F18</f>
        <v>178.17878902738656</v>
      </c>
      <c r="H13" s="686">
        <f>industrie!G18</f>
        <v>0</v>
      </c>
      <c r="I13" s="686">
        <f>industrie!H18</f>
        <v>0</v>
      </c>
      <c r="J13" s="686">
        <f>industrie!I18</f>
        <v>0</v>
      </c>
      <c r="K13" s="686">
        <f>industrie!J18</f>
        <v>1.4052609140408716</v>
      </c>
      <c r="L13" s="686">
        <f>industrie!K18</f>
        <v>0</v>
      </c>
      <c r="M13" s="686">
        <f>industrie!L18</f>
        <v>0</v>
      </c>
      <c r="N13" s="686">
        <f>industrie!M18</f>
        <v>0</v>
      </c>
      <c r="O13" s="686">
        <f>industrie!N18</f>
        <v>31.701359650369803</v>
      </c>
      <c r="P13" s="686">
        <f>industrie!O18</f>
        <v>0</v>
      </c>
      <c r="Q13" s="687">
        <f>industrie!P18</f>
        <v>0</v>
      </c>
      <c r="R13" s="689">
        <f>SUM(C13:Q13)</f>
        <v>884.17455797353432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14492.788044448243</v>
      </c>
      <c r="D16" s="721">
        <f t="shared" ref="D16:R16" ca="1" si="0">SUM(D9:D15)</f>
        <v>0</v>
      </c>
      <c r="E16" s="721">
        <f t="shared" ca="1" si="0"/>
        <v>0</v>
      </c>
      <c r="F16" s="721">
        <f t="shared" si="0"/>
        <v>3382.6262902146809</v>
      </c>
      <c r="G16" s="721">
        <f t="shared" ca="1" si="0"/>
        <v>29105.24912296503</v>
      </c>
      <c r="H16" s="721">
        <f t="shared" si="0"/>
        <v>0</v>
      </c>
      <c r="I16" s="721">
        <f t="shared" si="0"/>
        <v>0</v>
      </c>
      <c r="J16" s="721">
        <f t="shared" si="0"/>
        <v>0</v>
      </c>
      <c r="K16" s="721">
        <f t="shared" si="0"/>
        <v>1804.341348476313</v>
      </c>
      <c r="L16" s="721">
        <f t="shared" si="0"/>
        <v>0</v>
      </c>
      <c r="M16" s="721">
        <f t="shared" ca="1" si="0"/>
        <v>0</v>
      </c>
      <c r="N16" s="721">
        <f t="shared" si="0"/>
        <v>0</v>
      </c>
      <c r="O16" s="721">
        <f t="shared" ca="1" si="0"/>
        <v>6925.1671164107156</v>
      </c>
      <c r="P16" s="721">
        <f t="shared" si="0"/>
        <v>67.223333333333329</v>
      </c>
      <c r="Q16" s="721">
        <f t="shared" si="0"/>
        <v>286</v>
      </c>
      <c r="R16" s="721">
        <f t="shared" ca="1" si="0"/>
        <v>56063.395255848322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1124.1773324159747</v>
      </c>
      <c r="I19" s="686">
        <f>transport!H54</f>
        <v>0</v>
      </c>
      <c r="J19" s="686">
        <f>transport!I54</f>
        <v>0</v>
      </c>
      <c r="K19" s="686">
        <f>transport!J54</f>
        <v>0</v>
      </c>
      <c r="L19" s="686">
        <f>transport!K54</f>
        <v>0</v>
      </c>
      <c r="M19" s="686">
        <f>transport!L54</f>
        <v>0</v>
      </c>
      <c r="N19" s="686">
        <f>transport!M54</f>
        <v>50.038063088955603</v>
      </c>
      <c r="O19" s="686">
        <f>transport!N54</f>
        <v>0</v>
      </c>
      <c r="P19" s="686">
        <f>transport!O54</f>
        <v>0</v>
      </c>
      <c r="Q19" s="687">
        <f>transport!P54</f>
        <v>0</v>
      </c>
      <c r="R19" s="689">
        <f>SUM(C19:Q19)</f>
        <v>1174.2153955049303</v>
      </c>
      <c r="S19" s="67"/>
    </row>
    <row r="20" spans="1:19" s="454" customFormat="1">
      <c r="A20" s="801" t="s">
        <v>306</v>
      </c>
      <c r="B20" s="806"/>
      <c r="C20" s="686">
        <f>transport!B14</f>
        <v>1.5897438268380695</v>
      </c>
      <c r="D20" s="686">
        <f>transport!C14</f>
        <v>0</v>
      </c>
      <c r="E20" s="686">
        <f>transport!D14</f>
        <v>3.102254961014101</v>
      </c>
      <c r="F20" s="686">
        <f>transport!E14</f>
        <v>108.73983342412302</v>
      </c>
      <c r="G20" s="686">
        <f>transport!F14</f>
        <v>0</v>
      </c>
      <c r="H20" s="686">
        <f>transport!G14</f>
        <v>25700.487588936918</v>
      </c>
      <c r="I20" s="686">
        <f>transport!H14</f>
        <v>5593.4102565272988</v>
      </c>
      <c r="J20" s="686">
        <f>transport!I14</f>
        <v>0</v>
      </c>
      <c r="K20" s="686">
        <f>transport!J14</f>
        <v>0</v>
      </c>
      <c r="L20" s="686">
        <f>transport!K14</f>
        <v>0</v>
      </c>
      <c r="M20" s="686">
        <f>transport!L14</f>
        <v>0</v>
      </c>
      <c r="N20" s="686">
        <f>transport!M14</f>
        <v>1415.3801704971982</v>
      </c>
      <c r="O20" s="686">
        <f>transport!N14</f>
        <v>0</v>
      </c>
      <c r="P20" s="686">
        <f>transport!O14</f>
        <v>0</v>
      </c>
      <c r="Q20" s="687">
        <f>transport!P14</f>
        <v>0</v>
      </c>
      <c r="R20" s="689">
        <f>SUM(C20:Q20)</f>
        <v>32822.709848173392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1.5897438268380695</v>
      </c>
      <c r="D22" s="804">
        <f t="shared" ref="D22:R22" si="1">SUM(D18:D21)</f>
        <v>0</v>
      </c>
      <c r="E22" s="804">
        <f t="shared" si="1"/>
        <v>3.102254961014101</v>
      </c>
      <c r="F22" s="804">
        <f t="shared" si="1"/>
        <v>108.73983342412302</v>
      </c>
      <c r="G22" s="804">
        <f t="shared" si="1"/>
        <v>0</v>
      </c>
      <c r="H22" s="804">
        <f t="shared" si="1"/>
        <v>26824.664921352891</v>
      </c>
      <c r="I22" s="804">
        <f t="shared" si="1"/>
        <v>5593.4102565272988</v>
      </c>
      <c r="J22" s="804">
        <f t="shared" si="1"/>
        <v>0</v>
      </c>
      <c r="K22" s="804">
        <f t="shared" si="1"/>
        <v>0</v>
      </c>
      <c r="L22" s="804">
        <f t="shared" si="1"/>
        <v>0</v>
      </c>
      <c r="M22" s="804">
        <f t="shared" si="1"/>
        <v>0</v>
      </c>
      <c r="N22" s="804">
        <f t="shared" si="1"/>
        <v>1465.4182335861537</v>
      </c>
      <c r="O22" s="804">
        <f t="shared" si="1"/>
        <v>0</v>
      </c>
      <c r="P22" s="804">
        <f t="shared" si="1"/>
        <v>0</v>
      </c>
      <c r="Q22" s="804">
        <f t="shared" si="1"/>
        <v>0</v>
      </c>
      <c r="R22" s="804">
        <f t="shared" si="1"/>
        <v>33996.925243678321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2209.698180075362</v>
      </c>
      <c r="D24" s="686">
        <f>+landbouw!C8</f>
        <v>0</v>
      </c>
      <c r="E24" s="686">
        <f>+landbouw!D8</f>
        <v>0</v>
      </c>
      <c r="F24" s="686">
        <f>+landbouw!E8</f>
        <v>27.845043738992086</v>
      </c>
      <c r="G24" s="686">
        <f>+landbouw!F8</f>
        <v>7624.0122837308209</v>
      </c>
      <c r="H24" s="686">
        <f>+landbouw!G8</f>
        <v>0</v>
      </c>
      <c r="I24" s="686">
        <f>+landbouw!H8</f>
        <v>0</v>
      </c>
      <c r="J24" s="686">
        <f>+landbouw!I8</f>
        <v>0</v>
      </c>
      <c r="K24" s="686">
        <f>+landbouw!J8</f>
        <v>332.31348732095398</v>
      </c>
      <c r="L24" s="686">
        <f>+landbouw!K8</f>
        <v>0</v>
      </c>
      <c r="M24" s="686">
        <f>+landbouw!L8</f>
        <v>0</v>
      </c>
      <c r="N24" s="686">
        <f>+landbouw!M8</f>
        <v>0</v>
      </c>
      <c r="O24" s="686">
        <f>+landbouw!N8</f>
        <v>0</v>
      </c>
      <c r="P24" s="686">
        <f>+landbouw!O8</f>
        <v>0</v>
      </c>
      <c r="Q24" s="687">
        <f>+landbouw!P8</f>
        <v>0</v>
      </c>
      <c r="R24" s="689">
        <f>SUM(C24:Q24)</f>
        <v>10193.868994866129</v>
      </c>
      <c r="S24" s="67"/>
    </row>
    <row r="25" spans="1:19" s="454" customFormat="1" ht="15" thickBot="1">
      <c r="A25" s="823" t="s">
        <v>856</v>
      </c>
      <c r="B25" s="991"/>
      <c r="C25" s="992">
        <f>IF(Onbekend_ele_kWh="---",0,Onbekend_ele_kWh)/1000+IF(REST_rest_ele_kWh="---",0,REST_rest_ele_kWh)/1000</f>
        <v>313.65855587382202</v>
      </c>
      <c r="D25" s="992"/>
      <c r="E25" s="992">
        <f>IF(onbekend_gas_kWh="---",0,onbekend_gas_kWh)/1000+IF(REST_rest_gas_kWh="---",0,REST_rest_gas_kWh)/1000</f>
        <v>0</v>
      </c>
      <c r="F25" s="992"/>
      <c r="G25" s="992"/>
      <c r="H25" s="992"/>
      <c r="I25" s="992"/>
      <c r="J25" s="992"/>
      <c r="K25" s="992"/>
      <c r="L25" s="992"/>
      <c r="M25" s="992"/>
      <c r="N25" s="992"/>
      <c r="O25" s="992"/>
      <c r="P25" s="992"/>
      <c r="Q25" s="993"/>
      <c r="R25" s="689">
        <f>SUM(C25:Q25)</f>
        <v>313.65855587382202</v>
      </c>
      <c r="S25" s="67"/>
    </row>
    <row r="26" spans="1:19" s="454" customFormat="1" ht="15.75" thickBot="1">
      <c r="A26" s="694" t="s">
        <v>857</v>
      </c>
      <c r="B26" s="809"/>
      <c r="C26" s="804">
        <f>SUM(C24:C25)</f>
        <v>2523.356735949184</v>
      </c>
      <c r="D26" s="804">
        <f t="shared" ref="D26:R26" si="2">SUM(D24:D25)</f>
        <v>0</v>
      </c>
      <c r="E26" s="804">
        <f t="shared" si="2"/>
        <v>0</v>
      </c>
      <c r="F26" s="804">
        <f t="shared" si="2"/>
        <v>27.845043738992086</v>
      </c>
      <c r="G26" s="804">
        <f t="shared" si="2"/>
        <v>7624.0122837308209</v>
      </c>
      <c r="H26" s="804">
        <f t="shared" si="2"/>
        <v>0</v>
      </c>
      <c r="I26" s="804">
        <f t="shared" si="2"/>
        <v>0</v>
      </c>
      <c r="J26" s="804">
        <f t="shared" si="2"/>
        <v>0</v>
      </c>
      <c r="K26" s="804">
        <f t="shared" si="2"/>
        <v>332.31348732095398</v>
      </c>
      <c r="L26" s="804">
        <f t="shared" si="2"/>
        <v>0</v>
      </c>
      <c r="M26" s="804">
        <f t="shared" si="2"/>
        <v>0</v>
      </c>
      <c r="N26" s="804">
        <f t="shared" si="2"/>
        <v>0</v>
      </c>
      <c r="O26" s="804">
        <f t="shared" si="2"/>
        <v>0</v>
      </c>
      <c r="P26" s="804">
        <f t="shared" si="2"/>
        <v>0</v>
      </c>
      <c r="Q26" s="804">
        <f t="shared" si="2"/>
        <v>0</v>
      </c>
      <c r="R26" s="804">
        <f t="shared" si="2"/>
        <v>10507.527550739951</v>
      </c>
      <c r="S26" s="67"/>
    </row>
    <row r="27" spans="1:19" s="454" customFormat="1" ht="17.25" thickTop="1" thickBot="1">
      <c r="A27" s="695" t="s">
        <v>115</v>
      </c>
      <c r="B27" s="796"/>
      <c r="C27" s="696">
        <f ca="1">C22+C16+C26</f>
        <v>17017.734524224266</v>
      </c>
      <c r="D27" s="696">
        <f t="shared" ref="D27:R27" ca="1" si="3">D22+D16+D26</f>
        <v>0</v>
      </c>
      <c r="E27" s="696">
        <f t="shared" ca="1" si="3"/>
        <v>3.102254961014101</v>
      </c>
      <c r="F27" s="696">
        <f t="shared" si="3"/>
        <v>3519.2111673777958</v>
      </c>
      <c r="G27" s="696">
        <f t="shared" ca="1" si="3"/>
        <v>36729.261406695849</v>
      </c>
      <c r="H27" s="696">
        <f t="shared" si="3"/>
        <v>26824.664921352891</v>
      </c>
      <c r="I27" s="696">
        <f t="shared" si="3"/>
        <v>5593.4102565272988</v>
      </c>
      <c r="J27" s="696">
        <f t="shared" si="3"/>
        <v>0</v>
      </c>
      <c r="K27" s="696">
        <f t="shared" si="3"/>
        <v>2136.654835797267</v>
      </c>
      <c r="L27" s="696">
        <f t="shared" si="3"/>
        <v>0</v>
      </c>
      <c r="M27" s="696">
        <f t="shared" ca="1" si="3"/>
        <v>0</v>
      </c>
      <c r="N27" s="696">
        <f t="shared" si="3"/>
        <v>1465.4182335861537</v>
      </c>
      <c r="O27" s="696">
        <f t="shared" ca="1" si="3"/>
        <v>6925.1671164107156</v>
      </c>
      <c r="P27" s="696">
        <f t="shared" si="3"/>
        <v>67.223333333333329</v>
      </c>
      <c r="Q27" s="696">
        <f t="shared" si="3"/>
        <v>286</v>
      </c>
      <c r="R27" s="696">
        <f t="shared" ca="1" si="3"/>
        <v>100567.84805026659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732.63302794569813</v>
      </c>
      <c r="D40" s="686">
        <f ca="1">tertiair!C20</f>
        <v>0</v>
      </c>
      <c r="E40" s="686">
        <f ca="1">tertiair!D20</f>
        <v>0</v>
      </c>
      <c r="F40" s="686">
        <f>tertiair!E20</f>
        <v>20.256724603257226</v>
      </c>
      <c r="G40" s="686">
        <f ca="1">tertiair!F20</f>
        <v>201.28849010654505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954.17824265550041</v>
      </c>
    </row>
    <row r="41" spans="1:18">
      <c r="A41" s="814" t="s">
        <v>224</v>
      </c>
      <c r="B41" s="821"/>
      <c r="C41" s="686">
        <f ca="1">huishoudens!B12</f>
        <v>2026.2056761822328</v>
      </c>
      <c r="D41" s="686">
        <f ca="1">huishoudens!C12</f>
        <v>0</v>
      </c>
      <c r="E41" s="686">
        <f>huishoudens!D12</f>
        <v>0</v>
      </c>
      <c r="F41" s="686">
        <f>huishoudens!E12</f>
        <v>736.10944407106263</v>
      </c>
      <c r="G41" s="686">
        <f>huishoudens!F12</f>
        <v>7522.2392890548053</v>
      </c>
      <c r="H41" s="686">
        <f>huishoudens!G12</f>
        <v>0</v>
      </c>
      <c r="I41" s="686">
        <f>huishoudens!H12</f>
        <v>0</v>
      </c>
      <c r="J41" s="686">
        <f>huishoudens!I12</f>
        <v>0</v>
      </c>
      <c r="K41" s="686">
        <f>huishoudens!J12</f>
        <v>638.23937499704437</v>
      </c>
      <c r="L41" s="686">
        <f>huishoudens!K12</f>
        <v>0</v>
      </c>
      <c r="M41" s="686">
        <f>huishoudens!L12</f>
        <v>0</v>
      </c>
      <c r="N41" s="686">
        <f>huishoudens!M12</f>
        <v>0</v>
      </c>
      <c r="O41" s="686">
        <f>huishoudens!N12</f>
        <v>0</v>
      </c>
      <c r="P41" s="686">
        <f>huishoudens!O12</f>
        <v>0</v>
      </c>
      <c r="Q41" s="763">
        <f>huishoudens!P12</f>
        <v>0</v>
      </c>
      <c r="R41" s="842">
        <f t="shared" ca="1" si="4"/>
        <v>10922.793784305146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123.76967516185626</v>
      </c>
      <c r="D43" s="686">
        <f ca="1">industrie!C22</f>
        <v>0</v>
      </c>
      <c r="E43" s="686">
        <f>industrie!D22</f>
        <v>0</v>
      </c>
      <c r="F43" s="686">
        <f>industrie!E22</f>
        <v>11.489999204412781</v>
      </c>
      <c r="G43" s="686">
        <f>industrie!F22</f>
        <v>47.573736670312215</v>
      </c>
      <c r="H43" s="686">
        <f>industrie!G22</f>
        <v>0</v>
      </c>
      <c r="I43" s="686">
        <f>industrie!H22</f>
        <v>0</v>
      </c>
      <c r="J43" s="686">
        <f>industrie!I22</f>
        <v>0</v>
      </c>
      <c r="K43" s="686">
        <f>industrie!J22</f>
        <v>0.49746236357046852</v>
      </c>
      <c r="L43" s="686">
        <f>industrie!K22</f>
        <v>0</v>
      </c>
      <c r="M43" s="686">
        <f>industrie!L22</f>
        <v>0</v>
      </c>
      <c r="N43" s="686">
        <f>industrie!M22</f>
        <v>0</v>
      </c>
      <c r="O43" s="686">
        <f>industrie!N22</f>
        <v>0</v>
      </c>
      <c r="P43" s="686">
        <f>industrie!O22</f>
        <v>0</v>
      </c>
      <c r="Q43" s="763">
        <f>industrie!P22</f>
        <v>0</v>
      </c>
      <c r="R43" s="841">
        <f t="shared" ca="1" si="4"/>
        <v>183.33087340015172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2882.6083792897875</v>
      </c>
      <c r="D46" s="721">
        <f t="shared" ref="D46:Q46" ca="1" si="5">SUM(D39:D45)</f>
        <v>0</v>
      </c>
      <c r="E46" s="721">
        <f t="shared" ca="1" si="5"/>
        <v>0</v>
      </c>
      <c r="F46" s="721">
        <f t="shared" si="5"/>
        <v>767.85616787873266</v>
      </c>
      <c r="G46" s="721">
        <f t="shared" ca="1" si="5"/>
        <v>7771.1015158316632</v>
      </c>
      <c r="H46" s="721">
        <f t="shared" si="5"/>
        <v>0</v>
      </c>
      <c r="I46" s="721">
        <f t="shared" si="5"/>
        <v>0</v>
      </c>
      <c r="J46" s="721">
        <f t="shared" si="5"/>
        <v>0</v>
      </c>
      <c r="K46" s="721">
        <f t="shared" si="5"/>
        <v>638.7368373606148</v>
      </c>
      <c r="L46" s="721">
        <f t="shared" si="5"/>
        <v>0</v>
      </c>
      <c r="M46" s="721">
        <f t="shared" ca="1" si="5"/>
        <v>0</v>
      </c>
      <c r="N46" s="721">
        <f t="shared" si="5"/>
        <v>0</v>
      </c>
      <c r="O46" s="721">
        <f t="shared" ca="1" si="5"/>
        <v>0</v>
      </c>
      <c r="P46" s="721">
        <f t="shared" si="5"/>
        <v>0</v>
      </c>
      <c r="Q46" s="721">
        <f t="shared" si="5"/>
        <v>0</v>
      </c>
      <c r="R46" s="721">
        <f ca="1">SUM(R39:R45)</f>
        <v>12060.302900360797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300.15534775506524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300.15534775506524</v>
      </c>
    </row>
    <row r="50" spans="1:18">
      <c r="A50" s="817" t="s">
        <v>306</v>
      </c>
      <c r="B50" s="827"/>
      <c r="C50" s="692">
        <f ca="1">transport!B18</f>
        <v>0.31619926146115779</v>
      </c>
      <c r="D50" s="692">
        <f>transport!C18</f>
        <v>0</v>
      </c>
      <c r="E50" s="692">
        <f>transport!D18</f>
        <v>0.62665550212484844</v>
      </c>
      <c r="F50" s="692">
        <f>transport!E18</f>
        <v>24.683942187275928</v>
      </c>
      <c r="G50" s="692">
        <f>transport!F18</f>
        <v>0</v>
      </c>
      <c r="H50" s="692">
        <f>transport!G18</f>
        <v>6862.0301862461574</v>
      </c>
      <c r="I50" s="692">
        <f>transport!H18</f>
        <v>1392.7591538752974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8280.4161370723159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0.31619926146115779</v>
      </c>
      <c r="D52" s="721">
        <f t="shared" ref="D52:Q52" ca="1" si="6">SUM(D48:D51)</f>
        <v>0</v>
      </c>
      <c r="E52" s="721">
        <f t="shared" si="6"/>
        <v>0.62665550212484844</v>
      </c>
      <c r="F52" s="721">
        <f t="shared" si="6"/>
        <v>24.683942187275928</v>
      </c>
      <c r="G52" s="721">
        <f t="shared" si="6"/>
        <v>0</v>
      </c>
      <c r="H52" s="721">
        <f t="shared" si="6"/>
        <v>7162.1855340012225</v>
      </c>
      <c r="I52" s="721">
        <f t="shared" si="6"/>
        <v>1392.7591538752974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8580.5714848273819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439.50787592085652</v>
      </c>
      <c r="D54" s="692">
        <f ca="1">+landbouw!C12</f>
        <v>0</v>
      </c>
      <c r="E54" s="692">
        <f>+landbouw!D12</f>
        <v>0</v>
      </c>
      <c r="F54" s="692">
        <f>+landbouw!E12</f>
        <v>6.3208249287512039</v>
      </c>
      <c r="G54" s="692">
        <f>+landbouw!F12</f>
        <v>2035.6112797561293</v>
      </c>
      <c r="H54" s="692">
        <f>+landbouw!G12</f>
        <v>0</v>
      </c>
      <c r="I54" s="692">
        <f>+landbouw!H12</f>
        <v>0</v>
      </c>
      <c r="J54" s="692">
        <f>+landbouw!I12</f>
        <v>0</v>
      </c>
      <c r="K54" s="692">
        <f>+landbouw!J12</f>
        <v>117.6389745116177</v>
      </c>
      <c r="L54" s="692">
        <f>+landbouw!K12</f>
        <v>0</v>
      </c>
      <c r="M54" s="692">
        <f>+landbouw!L12</f>
        <v>0</v>
      </c>
      <c r="N54" s="692">
        <f>+landbouw!M12</f>
        <v>0</v>
      </c>
      <c r="O54" s="692">
        <f>+landbouw!N12</f>
        <v>0</v>
      </c>
      <c r="P54" s="692">
        <f>+landbouw!O12</f>
        <v>0</v>
      </c>
      <c r="Q54" s="693">
        <f>+landbouw!P12</f>
        <v>0</v>
      </c>
      <c r="R54" s="720">
        <f ca="1">SUM(C54:Q54)</f>
        <v>2599.0789551173548</v>
      </c>
    </row>
    <row r="55" spans="1:18" ht="15" thickBot="1">
      <c r="A55" s="817" t="s">
        <v>856</v>
      </c>
      <c r="B55" s="827"/>
      <c r="C55" s="692">
        <f ca="1">C25*'EF ele_warmte'!B12</f>
        <v>62.386531744260772</v>
      </c>
      <c r="D55" s="692"/>
      <c r="E55" s="692">
        <f>E25*EF_CO2_aardgas</f>
        <v>0</v>
      </c>
      <c r="F55" s="692"/>
      <c r="G55" s="692"/>
      <c r="H55" s="692"/>
      <c r="I55" s="692"/>
      <c r="J55" s="692"/>
      <c r="K55" s="692"/>
      <c r="L55" s="692"/>
      <c r="M55" s="692"/>
      <c r="N55" s="692"/>
      <c r="O55" s="692"/>
      <c r="P55" s="692"/>
      <c r="Q55" s="693"/>
      <c r="R55" s="720">
        <f ca="1">SUM(C55:Q55)</f>
        <v>62.386531744260772</v>
      </c>
    </row>
    <row r="56" spans="1:18" ht="15.75" thickBot="1">
      <c r="A56" s="815" t="s">
        <v>857</v>
      </c>
      <c r="B56" s="828"/>
      <c r="C56" s="721">
        <f ca="1">SUM(C54:C55)</f>
        <v>501.89440766511728</v>
      </c>
      <c r="D56" s="721">
        <f t="shared" ref="D56:Q56" ca="1" si="7">SUM(D54:D55)</f>
        <v>0</v>
      </c>
      <c r="E56" s="721">
        <f t="shared" si="7"/>
        <v>0</v>
      </c>
      <c r="F56" s="721">
        <f t="shared" si="7"/>
        <v>6.3208249287512039</v>
      </c>
      <c r="G56" s="721">
        <f t="shared" si="7"/>
        <v>2035.6112797561293</v>
      </c>
      <c r="H56" s="721">
        <f t="shared" si="7"/>
        <v>0</v>
      </c>
      <c r="I56" s="721">
        <f t="shared" si="7"/>
        <v>0</v>
      </c>
      <c r="J56" s="721">
        <f t="shared" si="7"/>
        <v>0</v>
      </c>
      <c r="K56" s="721">
        <f t="shared" si="7"/>
        <v>117.6389745116177</v>
      </c>
      <c r="L56" s="721">
        <f t="shared" si="7"/>
        <v>0</v>
      </c>
      <c r="M56" s="721">
        <f t="shared" si="7"/>
        <v>0</v>
      </c>
      <c r="N56" s="721">
        <f t="shared" si="7"/>
        <v>0</v>
      </c>
      <c r="O56" s="721">
        <f t="shared" si="7"/>
        <v>0</v>
      </c>
      <c r="P56" s="721">
        <f t="shared" si="7"/>
        <v>0</v>
      </c>
      <c r="Q56" s="722">
        <f t="shared" si="7"/>
        <v>0</v>
      </c>
      <c r="R56" s="723">
        <f ca="1">SUM(R54:R55)</f>
        <v>2661.4654868616158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3384.8189862163658</v>
      </c>
      <c r="D61" s="729">
        <f t="shared" ref="D61:Q61" ca="1" si="8">D46+D52+D56</f>
        <v>0</v>
      </c>
      <c r="E61" s="729">
        <f t="shared" ca="1" si="8"/>
        <v>0.62665550212484844</v>
      </c>
      <c r="F61" s="729">
        <f t="shared" si="8"/>
        <v>798.86093499475976</v>
      </c>
      <c r="G61" s="729">
        <f t="shared" ca="1" si="8"/>
        <v>9806.7127955877932</v>
      </c>
      <c r="H61" s="729">
        <f t="shared" si="8"/>
        <v>7162.1855340012225</v>
      </c>
      <c r="I61" s="729">
        <f t="shared" si="8"/>
        <v>1392.7591538752974</v>
      </c>
      <c r="J61" s="729">
        <f t="shared" si="8"/>
        <v>0</v>
      </c>
      <c r="K61" s="729">
        <f t="shared" si="8"/>
        <v>756.37581187223248</v>
      </c>
      <c r="L61" s="729">
        <f t="shared" si="8"/>
        <v>0</v>
      </c>
      <c r="M61" s="729">
        <f t="shared" ca="1" si="8"/>
        <v>0</v>
      </c>
      <c r="N61" s="729">
        <f t="shared" si="8"/>
        <v>0</v>
      </c>
      <c r="O61" s="729">
        <f t="shared" ca="1" si="8"/>
        <v>0</v>
      </c>
      <c r="P61" s="729">
        <f t="shared" si="8"/>
        <v>0</v>
      </c>
      <c r="Q61" s="729">
        <f t="shared" si="8"/>
        <v>0</v>
      </c>
      <c r="R61" s="729">
        <f ca="1">R46+R52+R56</f>
        <v>23302.339872049797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0.19889950577135701</v>
      </c>
      <c r="D63" s="772">
        <f t="shared" ca="1" si="9"/>
        <v>0</v>
      </c>
      <c r="E63" s="998">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1701.8115096705756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1701.8115096705756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1701.8115096705756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1701.8115096705756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10187.082508447445</v>
      </c>
      <c r="C4" s="458">
        <f>huishoudens!C8</f>
        <v>0</v>
      </c>
      <c r="D4" s="458">
        <f>huishoudens!D8</f>
        <v>0</v>
      </c>
      <c r="E4" s="458">
        <f>huishoudens!E8</f>
        <v>3242.7728813703197</v>
      </c>
      <c r="F4" s="458">
        <f>huishoudens!F8</f>
        <v>28173.180857883166</v>
      </c>
      <c r="G4" s="458">
        <f>huishoudens!G8</f>
        <v>0</v>
      </c>
      <c r="H4" s="458">
        <f>huishoudens!H8</f>
        <v>0</v>
      </c>
      <c r="I4" s="458">
        <f>huishoudens!I8</f>
        <v>0</v>
      </c>
      <c r="J4" s="458">
        <f>huishoudens!J8</f>
        <v>1802.9360875622722</v>
      </c>
      <c r="K4" s="458">
        <f>huishoudens!K8</f>
        <v>0</v>
      </c>
      <c r="L4" s="458">
        <f>huishoudens!L8</f>
        <v>0</v>
      </c>
      <c r="M4" s="458">
        <f>huishoudens!M8</f>
        <v>0</v>
      </c>
      <c r="N4" s="458">
        <f>huishoudens!N8</f>
        <v>6723.9974374240528</v>
      </c>
      <c r="O4" s="458">
        <f>huishoudens!O8</f>
        <v>67.223333333333329</v>
      </c>
      <c r="P4" s="459">
        <f>huishoudens!P8</f>
        <v>266.93333333333334</v>
      </c>
      <c r="Q4" s="460">
        <f>SUM(B4:P4)</f>
        <v>50464.126439353931</v>
      </c>
    </row>
    <row r="5" spans="1:17">
      <c r="A5" s="457" t="s">
        <v>155</v>
      </c>
      <c r="B5" s="458">
        <f ca="1">tertiair!B16</f>
        <v>3350.2601242023766</v>
      </c>
      <c r="C5" s="458">
        <f ca="1">tertiair!C16</f>
        <v>0</v>
      </c>
      <c r="D5" s="458">
        <f ca="1">tertiair!D16</f>
        <v>0</v>
      </c>
      <c r="E5" s="458">
        <f>tertiair!E16</f>
        <v>89.236672261045044</v>
      </c>
      <c r="F5" s="458">
        <f ca="1">tertiair!F16</f>
        <v>753.88947605447584</v>
      </c>
      <c r="G5" s="458">
        <f>tertiair!G16</f>
        <v>0</v>
      </c>
      <c r="H5" s="458">
        <f>tertiair!H16</f>
        <v>0</v>
      </c>
      <c r="I5" s="458">
        <f>tertiair!I16</f>
        <v>0</v>
      </c>
      <c r="J5" s="458">
        <f>tertiair!J16</f>
        <v>0</v>
      </c>
      <c r="K5" s="458">
        <f>tertiair!K16</f>
        <v>0</v>
      </c>
      <c r="L5" s="458">
        <f ca="1">tertiair!L16</f>
        <v>0</v>
      </c>
      <c r="M5" s="458">
        <f>tertiair!M16</f>
        <v>0</v>
      </c>
      <c r="N5" s="458">
        <f ca="1">tertiair!N16</f>
        <v>169.46831933629244</v>
      </c>
      <c r="O5" s="458">
        <f>tertiair!O16</f>
        <v>0</v>
      </c>
      <c r="P5" s="459">
        <f>tertiair!P16</f>
        <v>19.066666666666666</v>
      </c>
      <c r="Q5" s="457">
        <f t="shared" ref="Q5:Q14" ca="1" si="0">SUM(B5:P5)</f>
        <v>4381.9212585208561</v>
      </c>
    </row>
    <row r="6" spans="1:17">
      <c r="A6" s="457" t="s">
        <v>193</v>
      </c>
      <c r="B6" s="458">
        <f>'openbare verlichting'!B8</f>
        <v>333.173</v>
      </c>
      <c r="C6" s="458"/>
      <c r="D6" s="458"/>
      <c r="E6" s="458"/>
      <c r="F6" s="458"/>
      <c r="G6" s="458"/>
      <c r="H6" s="458"/>
      <c r="I6" s="458"/>
      <c r="J6" s="458"/>
      <c r="K6" s="458"/>
      <c r="L6" s="458"/>
      <c r="M6" s="458"/>
      <c r="N6" s="458"/>
      <c r="O6" s="458"/>
      <c r="P6" s="459"/>
      <c r="Q6" s="457">
        <f t="shared" si="0"/>
        <v>333.173</v>
      </c>
    </row>
    <row r="7" spans="1:17">
      <c r="A7" s="457" t="s">
        <v>111</v>
      </c>
      <c r="B7" s="458">
        <f>landbouw!B8</f>
        <v>2209.698180075362</v>
      </c>
      <c r="C7" s="458">
        <f>landbouw!C8</f>
        <v>0</v>
      </c>
      <c r="D7" s="458">
        <f>landbouw!D8</f>
        <v>0</v>
      </c>
      <c r="E7" s="458">
        <f>landbouw!E8</f>
        <v>27.845043738992086</v>
      </c>
      <c r="F7" s="458">
        <f>landbouw!F8</f>
        <v>7624.0122837308209</v>
      </c>
      <c r="G7" s="458">
        <f>landbouw!G8</f>
        <v>0</v>
      </c>
      <c r="H7" s="458">
        <f>landbouw!H8</f>
        <v>0</v>
      </c>
      <c r="I7" s="458">
        <f>landbouw!I8</f>
        <v>0</v>
      </c>
      <c r="J7" s="458">
        <f>landbouw!J8</f>
        <v>332.31348732095398</v>
      </c>
      <c r="K7" s="458">
        <f>landbouw!K8</f>
        <v>0</v>
      </c>
      <c r="L7" s="458">
        <f>landbouw!L8</f>
        <v>0</v>
      </c>
      <c r="M7" s="458">
        <f>landbouw!M8</f>
        <v>0</v>
      </c>
      <c r="N7" s="458">
        <f>landbouw!N8</f>
        <v>0</v>
      </c>
      <c r="O7" s="458">
        <f>landbouw!O8</f>
        <v>0</v>
      </c>
      <c r="P7" s="459">
        <f>landbouw!P8</f>
        <v>0</v>
      </c>
      <c r="Q7" s="457">
        <f t="shared" si="0"/>
        <v>10193.868994866129</v>
      </c>
    </row>
    <row r="8" spans="1:17">
      <c r="A8" s="457" t="s">
        <v>655</v>
      </c>
      <c r="B8" s="458">
        <f>industrie!B18</f>
        <v>622.27241179842088</v>
      </c>
      <c r="C8" s="458">
        <f>industrie!C18</f>
        <v>0</v>
      </c>
      <c r="D8" s="458">
        <f>industrie!D18</f>
        <v>0</v>
      </c>
      <c r="E8" s="458">
        <f>industrie!E18</f>
        <v>50.616736583316211</v>
      </c>
      <c r="F8" s="458">
        <f>industrie!F18</f>
        <v>178.17878902738656</v>
      </c>
      <c r="G8" s="458">
        <f>industrie!G18</f>
        <v>0</v>
      </c>
      <c r="H8" s="458">
        <f>industrie!H18</f>
        <v>0</v>
      </c>
      <c r="I8" s="458">
        <f>industrie!I18</f>
        <v>0</v>
      </c>
      <c r="J8" s="458">
        <f>industrie!J18</f>
        <v>1.4052609140408716</v>
      </c>
      <c r="K8" s="458">
        <f>industrie!K18</f>
        <v>0</v>
      </c>
      <c r="L8" s="458">
        <f>industrie!L18</f>
        <v>0</v>
      </c>
      <c r="M8" s="458">
        <f>industrie!M18</f>
        <v>0</v>
      </c>
      <c r="N8" s="458">
        <f>industrie!N18</f>
        <v>31.701359650369803</v>
      </c>
      <c r="O8" s="458">
        <f>industrie!O18</f>
        <v>0</v>
      </c>
      <c r="P8" s="459">
        <f>industrie!P18</f>
        <v>0</v>
      </c>
      <c r="Q8" s="457">
        <f t="shared" si="0"/>
        <v>884.17455797353432</v>
      </c>
    </row>
    <row r="9" spans="1:17" s="463" customFormat="1">
      <c r="A9" s="461" t="s">
        <v>573</v>
      </c>
      <c r="B9" s="462">
        <f>transport!B14</f>
        <v>1.5897438268380695</v>
      </c>
      <c r="C9" s="462">
        <f>transport!C14</f>
        <v>0</v>
      </c>
      <c r="D9" s="462">
        <f>transport!D14</f>
        <v>3.102254961014101</v>
      </c>
      <c r="E9" s="462">
        <f>transport!E14</f>
        <v>108.73983342412302</v>
      </c>
      <c r="F9" s="462">
        <f>transport!F14</f>
        <v>0</v>
      </c>
      <c r="G9" s="462">
        <f>transport!G14</f>
        <v>25700.487588936918</v>
      </c>
      <c r="H9" s="462">
        <f>transport!H14</f>
        <v>5593.4102565272988</v>
      </c>
      <c r="I9" s="462">
        <f>transport!I14</f>
        <v>0</v>
      </c>
      <c r="J9" s="462">
        <f>transport!J14</f>
        <v>0</v>
      </c>
      <c r="K9" s="462">
        <f>transport!K14</f>
        <v>0</v>
      </c>
      <c r="L9" s="462">
        <f>transport!L14</f>
        <v>0</v>
      </c>
      <c r="M9" s="462">
        <f>transport!M14</f>
        <v>1415.3801704971982</v>
      </c>
      <c r="N9" s="462">
        <f>transport!N14</f>
        <v>0</v>
      </c>
      <c r="O9" s="462">
        <f>transport!O14</f>
        <v>0</v>
      </c>
      <c r="P9" s="462">
        <f>transport!P14</f>
        <v>0</v>
      </c>
      <c r="Q9" s="461">
        <f>SUM(B9:P9)</f>
        <v>32822.709848173392</v>
      </c>
    </row>
    <row r="10" spans="1:17">
      <c r="A10" s="457" t="s">
        <v>563</v>
      </c>
      <c r="B10" s="458">
        <f>transport!B54</f>
        <v>0</v>
      </c>
      <c r="C10" s="458">
        <f>transport!C54</f>
        <v>0</v>
      </c>
      <c r="D10" s="458">
        <f>transport!D54</f>
        <v>0</v>
      </c>
      <c r="E10" s="458">
        <f>transport!E54</f>
        <v>0</v>
      </c>
      <c r="F10" s="458">
        <f>transport!F54</f>
        <v>0</v>
      </c>
      <c r="G10" s="458">
        <f>transport!G54</f>
        <v>1124.1773324159747</v>
      </c>
      <c r="H10" s="458">
        <f>transport!H54</f>
        <v>0</v>
      </c>
      <c r="I10" s="458">
        <f>transport!I54</f>
        <v>0</v>
      </c>
      <c r="J10" s="458">
        <f>transport!J54</f>
        <v>0</v>
      </c>
      <c r="K10" s="458">
        <f>transport!K54</f>
        <v>0</v>
      </c>
      <c r="L10" s="458">
        <f>transport!L54</f>
        <v>0</v>
      </c>
      <c r="M10" s="458">
        <f>transport!M54</f>
        <v>50.038063088955603</v>
      </c>
      <c r="N10" s="458">
        <f>transport!N54</f>
        <v>0</v>
      </c>
      <c r="O10" s="458">
        <f>transport!O54</f>
        <v>0</v>
      </c>
      <c r="P10" s="459">
        <f>transport!P54</f>
        <v>0</v>
      </c>
      <c r="Q10" s="457">
        <f t="shared" si="0"/>
        <v>1174.2153955049303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313.65855587382202</v>
      </c>
      <c r="C14" s="465"/>
      <c r="D14" s="465">
        <f>'SEAP template'!E25</f>
        <v>0</v>
      </c>
      <c r="E14" s="465"/>
      <c r="F14" s="465"/>
      <c r="G14" s="465"/>
      <c r="H14" s="465"/>
      <c r="I14" s="465"/>
      <c r="J14" s="465"/>
      <c r="K14" s="465"/>
      <c r="L14" s="465"/>
      <c r="M14" s="465"/>
      <c r="N14" s="465"/>
      <c r="O14" s="465"/>
      <c r="P14" s="466"/>
      <c r="Q14" s="457">
        <f t="shared" si="0"/>
        <v>313.65855587382202</v>
      </c>
    </row>
    <row r="15" spans="1:17" s="470" customFormat="1">
      <c r="A15" s="467" t="s">
        <v>567</v>
      </c>
      <c r="B15" s="468">
        <f ca="1">SUM(B4:B14)</f>
        <v>17017.734524224266</v>
      </c>
      <c r="C15" s="468">
        <f t="shared" ref="C15:Q15" ca="1" si="1">SUM(C4:C14)</f>
        <v>0</v>
      </c>
      <c r="D15" s="468">
        <f t="shared" ca="1" si="1"/>
        <v>3.102254961014101</v>
      </c>
      <c r="E15" s="468">
        <f t="shared" si="1"/>
        <v>3519.2111673777958</v>
      </c>
      <c r="F15" s="468">
        <f t="shared" ca="1" si="1"/>
        <v>36729.261406695849</v>
      </c>
      <c r="G15" s="468">
        <f t="shared" si="1"/>
        <v>26824.664921352891</v>
      </c>
      <c r="H15" s="468">
        <f t="shared" si="1"/>
        <v>5593.4102565272988</v>
      </c>
      <c r="I15" s="468">
        <f t="shared" si="1"/>
        <v>0</v>
      </c>
      <c r="J15" s="468">
        <f t="shared" si="1"/>
        <v>2136.654835797267</v>
      </c>
      <c r="K15" s="468">
        <f t="shared" si="1"/>
        <v>0</v>
      </c>
      <c r="L15" s="468">
        <f t="shared" ca="1" si="1"/>
        <v>0</v>
      </c>
      <c r="M15" s="468">
        <f t="shared" si="1"/>
        <v>1465.4182335861537</v>
      </c>
      <c r="N15" s="468">
        <f t="shared" ca="1" si="1"/>
        <v>6925.1671164107156</v>
      </c>
      <c r="O15" s="468">
        <f t="shared" si="1"/>
        <v>67.223333333333329</v>
      </c>
      <c r="P15" s="468">
        <f t="shared" si="1"/>
        <v>286</v>
      </c>
      <c r="Q15" s="468">
        <f t="shared" ca="1" si="1"/>
        <v>100567.84805026659</v>
      </c>
    </row>
    <row r="17" spans="1:17">
      <c r="A17" s="471" t="s">
        <v>568</v>
      </c>
      <c r="B17" s="777">
        <f ca="1">huishoudens!B10</f>
        <v>0.19889950577135701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2026.2056761822328</v>
      </c>
      <c r="C22" s="458">
        <f t="shared" ref="C22:C32" ca="1" si="3">C4*$C$17</f>
        <v>0</v>
      </c>
      <c r="D22" s="458">
        <f t="shared" ref="D22:D32" si="4">D4*$D$17</f>
        <v>0</v>
      </c>
      <c r="E22" s="458">
        <f t="shared" ref="E22:E32" si="5">E4*$E$17</f>
        <v>736.10944407106263</v>
      </c>
      <c r="F22" s="458">
        <f t="shared" ref="F22:F32" si="6">F4*$F$17</f>
        <v>7522.2392890548053</v>
      </c>
      <c r="G22" s="458">
        <f t="shared" ref="G22:G32" si="7">G4*$G$17</f>
        <v>0</v>
      </c>
      <c r="H22" s="458">
        <f t="shared" ref="H22:H32" si="8">H4*$H$17</f>
        <v>0</v>
      </c>
      <c r="I22" s="458">
        <f t="shared" ref="I22:I32" si="9">I4*$I$17</f>
        <v>0</v>
      </c>
      <c r="J22" s="458">
        <f t="shared" ref="J22:J32" si="10">J4*$J$17</f>
        <v>638.23937499704437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10922.793784305146</v>
      </c>
    </row>
    <row r="23" spans="1:17">
      <c r="A23" s="457" t="s">
        <v>155</v>
      </c>
      <c r="B23" s="458">
        <f t="shared" ca="1" si="2"/>
        <v>666.36508290933784</v>
      </c>
      <c r="C23" s="458">
        <f t="shared" ca="1" si="3"/>
        <v>0</v>
      </c>
      <c r="D23" s="458">
        <f t="shared" ca="1" si="4"/>
        <v>0</v>
      </c>
      <c r="E23" s="458">
        <f t="shared" si="5"/>
        <v>20.256724603257226</v>
      </c>
      <c r="F23" s="458">
        <f t="shared" ca="1" si="6"/>
        <v>201.28849010654505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887.91029761914012</v>
      </c>
    </row>
    <row r="24" spans="1:17">
      <c r="A24" s="457" t="s">
        <v>193</v>
      </c>
      <c r="B24" s="458">
        <f t="shared" ca="1" si="2"/>
        <v>66.267945036360331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66.267945036360331</v>
      </c>
    </row>
    <row r="25" spans="1:17">
      <c r="A25" s="457" t="s">
        <v>111</v>
      </c>
      <c r="B25" s="458">
        <f t="shared" ca="1" si="2"/>
        <v>439.50787592085652</v>
      </c>
      <c r="C25" s="458">
        <f t="shared" ca="1" si="3"/>
        <v>0</v>
      </c>
      <c r="D25" s="458">
        <f t="shared" si="4"/>
        <v>0</v>
      </c>
      <c r="E25" s="458">
        <f t="shared" si="5"/>
        <v>6.3208249287512039</v>
      </c>
      <c r="F25" s="458">
        <f t="shared" si="6"/>
        <v>2035.6112797561293</v>
      </c>
      <c r="G25" s="458">
        <f t="shared" si="7"/>
        <v>0</v>
      </c>
      <c r="H25" s="458">
        <f t="shared" si="8"/>
        <v>0</v>
      </c>
      <c r="I25" s="458">
        <f t="shared" si="9"/>
        <v>0</v>
      </c>
      <c r="J25" s="458">
        <f t="shared" si="10"/>
        <v>117.6389745116177</v>
      </c>
      <c r="K25" s="458">
        <f t="shared" si="11"/>
        <v>0</v>
      </c>
      <c r="L25" s="458">
        <f t="shared" si="12"/>
        <v>0</v>
      </c>
      <c r="M25" s="458">
        <f t="shared" si="13"/>
        <v>0</v>
      </c>
      <c r="N25" s="458">
        <f t="shared" si="14"/>
        <v>0</v>
      </c>
      <c r="O25" s="458">
        <f t="shared" si="15"/>
        <v>0</v>
      </c>
      <c r="P25" s="459">
        <f t="shared" si="16"/>
        <v>0</v>
      </c>
      <c r="Q25" s="457">
        <f t="shared" ca="1" si="17"/>
        <v>2599.0789551173548</v>
      </c>
    </row>
    <row r="26" spans="1:17">
      <c r="A26" s="457" t="s">
        <v>655</v>
      </c>
      <c r="B26" s="458">
        <f t="shared" ca="1" si="2"/>
        <v>123.76967516185626</v>
      </c>
      <c r="C26" s="458">
        <f t="shared" ca="1" si="3"/>
        <v>0</v>
      </c>
      <c r="D26" s="458">
        <f t="shared" si="4"/>
        <v>0</v>
      </c>
      <c r="E26" s="458">
        <f t="shared" si="5"/>
        <v>11.489999204412781</v>
      </c>
      <c r="F26" s="458">
        <f t="shared" si="6"/>
        <v>47.573736670312215</v>
      </c>
      <c r="G26" s="458">
        <f t="shared" si="7"/>
        <v>0</v>
      </c>
      <c r="H26" s="458">
        <f t="shared" si="8"/>
        <v>0</v>
      </c>
      <c r="I26" s="458">
        <f t="shared" si="9"/>
        <v>0</v>
      </c>
      <c r="J26" s="458">
        <f t="shared" si="10"/>
        <v>0.49746236357046852</v>
      </c>
      <c r="K26" s="458">
        <f t="shared" si="11"/>
        <v>0</v>
      </c>
      <c r="L26" s="458">
        <f t="shared" si="12"/>
        <v>0</v>
      </c>
      <c r="M26" s="458">
        <f t="shared" si="13"/>
        <v>0</v>
      </c>
      <c r="N26" s="458">
        <f t="shared" si="14"/>
        <v>0</v>
      </c>
      <c r="O26" s="458">
        <f t="shared" si="15"/>
        <v>0</v>
      </c>
      <c r="P26" s="459">
        <f t="shared" si="16"/>
        <v>0</v>
      </c>
      <c r="Q26" s="457">
        <f t="shared" ca="1" si="17"/>
        <v>183.33087340015172</v>
      </c>
    </row>
    <row r="27" spans="1:17" s="463" customFormat="1">
      <c r="A27" s="461" t="s">
        <v>573</v>
      </c>
      <c r="B27" s="771">
        <f t="shared" ca="1" si="2"/>
        <v>0.31619926146115779</v>
      </c>
      <c r="C27" s="462">
        <f t="shared" ca="1" si="3"/>
        <v>0</v>
      </c>
      <c r="D27" s="462">
        <f t="shared" si="4"/>
        <v>0.62665550212484844</v>
      </c>
      <c r="E27" s="462">
        <f t="shared" si="5"/>
        <v>24.683942187275928</v>
      </c>
      <c r="F27" s="462">
        <f t="shared" si="6"/>
        <v>0</v>
      </c>
      <c r="G27" s="462">
        <f t="shared" si="7"/>
        <v>6862.0301862461574</v>
      </c>
      <c r="H27" s="462">
        <f t="shared" si="8"/>
        <v>1392.7591538752974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8280.4161370723159</v>
      </c>
    </row>
    <row r="28" spans="1:17">
      <c r="A28" s="457" t="s">
        <v>563</v>
      </c>
      <c r="B28" s="458">
        <f t="shared" ca="1" si="2"/>
        <v>0</v>
      </c>
      <c r="C28" s="458">
        <f t="shared" ca="1" si="3"/>
        <v>0</v>
      </c>
      <c r="D28" s="458">
        <f t="shared" si="4"/>
        <v>0</v>
      </c>
      <c r="E28" s="458">
        <f t="shared" si="5"/>
        <v>0</v>
      </c>
      <c r="F28" s="458">
        <f t="shared" si="6"/>
        <v>0</v>
      </c>
      <c r="G28" s="458">
        <f t="shared" si="7"/>
        <v>300.15534775506524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300.15534775506524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62.386531744260772</v>
      </c>
      <c r="C32" s="458">
        <f t="shared" ca="1" si="3"/>
        <v>0</v>
      </c>
      <c r="D32" s="458">
        <f t="shared" si="4"/>
        <v>0</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62.386531744260772</v>
      </c>
    </row>
    <row r="33" spans="1:17" s="470" customFormat="1">
      <c r="A33" s="467" t="s">
        <v>567</v>
      </c>
      <c r="B33" s="468">
        <f ca="1">SUM(B22:B32)</f>
        <v>3384.8189862163658</v>
      </c>
      <c r="C33" s="468">
        <f t="shared" ref="C33:Q33" ca="1" si="18">SUM(C22:C32)</f>
        <v>0</v>
      </c>
      <c r="D33" s="468">
        <f t="shared" ca="1" si="18"/>
        <v>0.62665550212484844</v>
      </c>
      <c r="E33" s="468">
        <f t="shared" si="18"/>
        <v>798.86093499475976</v>
      </c>
      <c r="F33" s="468">
        <f t="shared" ca="1" si="18"/>
        <v>9806.7127955877932</v>
      </c>
      <c r="G33" s="468">
        <f t="shared" si="18"/>
        <v>7162.1855340012225</v>
      </c>
      <c r="H33" s="468">
        <f t="shared" si="18"/>
        <v>1392.7591538752974</v>
      </c>
      <c r="I33" s="468">
        <f t="shared" si="18"/>
        <v>0</v>
      </c>
      <c r="J33" s="468">
        <f t="shared" si="18"/>
        <v>756.37581187223248</v>
      </c>
      <c r="K33" s="468">
        <f t="shared" si="18"/>
        <v>0</v>
      </c>
      <c r="L33" s="468">
        <f t="shared" ca="1" si="18"/>
        <v>0</v>
      </c>
      <c r="M33" s="468">
        <f t="shared" si="18"/>
        <v>0</v>
      </c>
      <c r="N33" s="468">
        <f t="shared" ca="1" si="18"/>
        <v>0</v>
      </c>
      <c r="O33" s="468">
        <f t="shared" si="18"/>
        <v>0</v>
      </c>
      <c r="P33" s="468">
        <f t="shared" si="18"/>
        <v>0</v>
      </c>
      <c r="Q33" s="468">
        <f t="shared" ca="1" si="18"/>
        <v>23302.339872049797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1701.8115096705756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1701.8115096705756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0.19889950577135701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0.19889950577135701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2020-06-20T16:24:25Z</dcterms:modified>
</cp:coreProperties>
</file>