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D20" i="18"/>
  <c r="B17" i="18"/>
  <c r="G12" i="18"/>
  <c r="F12" i="18"/>
  <c r="E12" i="18"/>
  <c r="D12" i="18"/>
  <c r="C12" i="18"/>
  <c r="L10" i="18"/>
  <c r="K10" i="18"/>
  <c r="G10" i="18"/>
  <c r="D10" i="18"/>
  <c r="B6" i="18"/>
  <c r="B5" i="18"/>
  <c r="B4" i="18"/>
  <c r="B46" i="18" l="1"/>
  <c r="C46" i="18"/>
  <c r="B20" i="18"/>
  <c r="F20" i="18"/>
  <c r="O18" i="18"/>
  <c r="G20" i="18"/>
  <c r="K20" i="18"/>
  <c r="B10" i="18"/>
  <c r="O19" i="18"/>
  <c r="O9" i="18"/>
  <c r="D50" i="18"/>
  <c r="H50" i="18"/>
  <c r="E49" i="18"/>
  <c r="E8" i="18" s="1"/>
  <c r="E10" i="18" s="1"/>
  <c r="E50" i="18"/>
  <c r="E17" i="18" s="1"/>
  <c r="E20" i="18" s="1"/>
  <c r="N6" i="17"/>
  <c r="I49" i="18" l="1"/>
  <c r="H8" i="18" s="1"/>
  <c r="H10" i="18" s="1"/>
  <c r="G49" i="18"/>
  <c r="I8" i="18" s="1"/>
  <c r="I10" i="18" s="1"/>
  <c r="F49" i="18"/>
  <c r="D49" i="18"/>
  <c r="C49" i="18"/>
  <c r="B49" i="18"/>
  <c r="C8" i="18" s="1"/>
  <c r="C10" i="18" s="1"/>
  <c r="H49" i="18"/>
  <c r="J8" i="18" s="1"/>
  <c r="J10" i="18" s="1"/>
  <c r="I50" i="18"/>
  <c r="H17" i="18" s="1"/>
  <c r="H20" i="18" s="1"/>
  <c r="G50" i="18"/>
  <c r="F50" i="18"/>
  <c r="C50" i="18"/>
  <c r="B50" i="18"/>
  <c r="C17" i="18" s="1"/>
  <c r="C20" i="18" s="1"/>
  <c r="J17" i="18"/>
  <c r="J20" i="18" s="1"/>
  <c r="L6" i="17"/>
  <c r="F6" i="17"/>
  <c r="D6" i="17"/>
  <c r="C6" i="17"/>
  <c r="N16" i="16"/>
  <c r="L16" i="16"/>
  <c r="F16" i="16"/>
  <c r="D16" i="16"/>
  <c r="C16" i="16"/>
  <c r="B16" i="16"/>
  <c r="B13" i="15"/>
  <c r="O8" i="18" l="1"/>
  <c r="O10" i="18" s="1"/>
  <c r="I17" i="18"/>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H63" i="14"/>
  <c r="J22" i="16"/>
  <c r="K43" i="14" s="1"/>
  <c r="K46" i="14" s="1"/>
  <c r="K61"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<sst xmlns="http://schemas.openxmlformats.org/spreadsheetml/2006/main" count="2465" uniqueCount="931">
  <si>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</si>
  <si>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</si>
  <si>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</si>
  <si>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</si>
  <si>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</si>
  <si>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</si>
  <si>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</si>
  <si>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</si>
  <si>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</si>
  <si>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</si>
  <si>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</si>
  <si>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</si>
  <si>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</si>
  <si>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</si>
  <si>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</si>
  <si>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</si>
  <si>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</si>
  <si>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</si>
  <si>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</si>
  <si>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</si>
  <si>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</si>
  <si>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</si>
  <si>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</si>
  <si>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</si>
  <si>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</si>
  <si>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</si>
  <si>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</si>
  <si>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</si>
  <si>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</si>
  <si>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</si>
  <si>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</si>
  <si>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</si>
  <si>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</si>
  <si>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</si>
  <si>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</si>
  <si>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</si>
  <si>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</si>
  <si>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</si>
  <si>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</si>
  <si>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</si>
  <si>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</si>
  <si>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</si>
  <si>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</si>
  <si>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</si>
  <si>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</si>
  <si>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</si>
  <si>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</si>
  <si>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</si>
  <si>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</si>
  <si>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</si>
  <si>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</si>
  <si>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</si>
  <si>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</si>
  <si>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</si>
  <si>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</si>
  <si>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</si>
  <si>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</si>
  <si>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</si>
  <si>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</si>
  <si>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</si>
  <si>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</si>
  <si>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</si>
  <si>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</si>
  <si>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</si>
  <si>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</si>
  <si>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</si>
  <si>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</si>
  <si>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</si>
  <si>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</si>
  <si>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</si>
  <si>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</si>
  <si>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</si>
  <si>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</si>
  <si>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</si>
  <si>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</si>
  <si>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</si>
  <si>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</si>
  <si>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</si>
  <si>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</si>
  <si>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</si>
  <si>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</si>
  <si>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</si>
  <si>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</si>
  <si>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</si>
  <si>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</si>
  <si>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</si>
  <si>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</si>
  <si>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</si>
  <si>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</si>
  <si>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</si>
  <si>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</si>
  <si>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</si>
  <si>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</si>
  <si>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</si>
  <si>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</si>
  <si>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</si>
  <si>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</si>
  <si>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</si>
  <si>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</si>
  <si>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</si>
  <si>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</si>
  <si>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</si>
  <si>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</si>
  <si>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</si>
  <si>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</si>
  <si>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</si>
  <si>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</si>
  <si>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</si>
  <si>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</si>
  <si>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</si>
  <si>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</si>
  <si>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</si>
  <si>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</si>
  <si>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</si>
  <si>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</si>
  <si>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</si>
  <si>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</si>
  <si>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</si>
  <si>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</si>
  <si>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</si>
  <si>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</si>
  <si>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</si>
  <si>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</si>
  <si>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</si>
  <si>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</si>
  <si>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</si>
  <si>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</si>
  <si>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</si>
  <si>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</si>
  <si>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</si>
  <si>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</si>
  <si>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</si>
  <si>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</si>
  <si>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</si>
  <si>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</si>
  <si>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</si>
  <si>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</si>
  <si>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</si>
  <si>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</si>
  <si>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</si>
  <si>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</si>
  <si>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</si>
  <si>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</si>
  <si>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</si>
  <si>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</si>
  <si>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</si>
  <si>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</si>
  <si>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</si>
  <si>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</si>
  <si>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</si>
  <si>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</si>
  <si>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</si>
  <si>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</si>
  <si>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</si>
  <si>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</si>
  <si>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</si>
  <si>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</si>
  <si>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</si>
  <si>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</si>
  <si>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</si>
  <si>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</si>
  <si>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</si>
  <si>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</si>
  <si>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</si>
  <si>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</si>
  <si>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</si>
  <si>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</si>
  <si>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</si>
  <si>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</si>
  <si>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</si>
  <si>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</si>
  <si>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</si>
  <si>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</si>
  <si>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</si>
  <si>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</si>
  <si>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</si>
  <si>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</si>
  <si>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</si>
  <si>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</si>
  <si>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</si>
  <si>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</si>
  <si>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</si>
  <si>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</si>
  <si>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</si>
  <si>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</si>
  <si>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</si>
  <si>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</si>
  <si>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</si>
  <si>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</si>
  <si>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</si>
  <si>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</si>
  <si>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</si>
  <si>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</si>
  <si>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</si>
  <si>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</si>
  <si>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</si>
  <si>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</si>
  <si>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</si>
  <si>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</si>
  <si>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</si>
  <si>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</si>
  <si>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</si>
  <si>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</si>
  <si>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</si>
  <si>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</si>
  <si>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</si>
  <si>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</si>
  <si>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</si>
  <si>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</si>
  <si>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</si>
  <si>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</si>
  <si>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</si>
  <si>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</si>
  <si>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</si>
  <si>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</si>
  <si>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</si>
  <si>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</si>
  <si>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</si>
  <si>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</si>
  <si>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</si>
  <si>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</si>
  <si>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</si>
  <si>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</si>
  <si>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</si>
  <si>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</si>
  <si>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</si>
  <si>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</si>
  <si>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</si>
  <si>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</si>
  <si>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</si>
  <si>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</si>
  <si>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</si>
  <si>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</si>
  <si>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</si>
  <si>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</si>
  <si>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</si>
  <si>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</si>
  <si>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</si>
  <si>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</si>
  <si>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</si>
  <si>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</si>
  <si>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</si>
  <si>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</si>
  <si>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</si>
  <si>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</si>
  <si>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</si>
  <si>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</si>
  <si>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</si>
  <si>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</si>
  <si>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</si>
  <si>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</si>
  <si>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</si>
  <si>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</si>
  <si>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</si>
  <si>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</si>
  <si>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</si>
  <si>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</si>
  <si>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</si>
  <si>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</si>
  <si>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</si>
  <si>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</si>
  <si>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</si>
  <si>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</si>
  <si>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</si>
  <si>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</si>
  <si>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</si>
  <si>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</si>
  <si>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</si>
  <si>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</si>
  <si>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</si>
  <si>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</si>
  <si>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</si>
  <si>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</si>
  <si>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</si>
  <si>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</si>
  <si>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</si>
  <si>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</si>
  <si>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</si>
  <si>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</si>
  <si>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</si>
  <si>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</si>
  <si>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</si>
  <si>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</si>
  <si>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</si>
  <si>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</si>
  <si>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</si>
  <si>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</si>
  <si>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</si>
  <si>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</si>
  <si>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</si>
  <si>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</si>
  <si>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</si>
  <si>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</si>
  <si>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</si>
  <si>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</si>
  <si>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</si>
  <si>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</si>
  <si>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</si>
  <si>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</si>
  <si>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</si>
  <si>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</si>
  <si>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</si>
  <si>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</si>
  <si>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</si>
  <si>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</si>
  <si>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</si>
  <si>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</si>
  <si>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</si>
  <si>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</si>
  <si>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</si>
  <si>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</si>
  <si>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</si>
  <si>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</si>
  <si>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</si>
  <si>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</si>
  <si>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</si>
  <si>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</si>
  <si>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</si>
  <si>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</si>
  <si>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</si>
  <si>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</si>
  <si>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</si>
  <si>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</si>
  <si>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</si>
  <si>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</si>
  <si>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</si>
  <si>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</si>
  <si>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</si>
  <si>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</si>
  <si>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</si>
  <si>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</si>
  <si>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</si>
  <si>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</si>
  <si>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</si>
  <si>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</si>
  <si>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</si>
  <si>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</si>
  <si>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</si>
  <si>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</si>
  <si>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</si>
  <si>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</si>
  <si>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</si>
  <si>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</si>
  <si>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</si>
  <si>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</si>
  <si>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</si>
  <si>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</si>
  <si>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</si>
  <si>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</si>
  <si>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</si>
  <si>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</si>
  <si>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</si>
  <si>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</si>
  <si>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</si>
  <si>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</si>
  <si>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</si>
  <si>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</si>
  <si>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</si>
  <si>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</si>
  <si>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</si>
  <si>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</si>
  <si>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</si>
  <si>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</si>
  <si>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</si>
  <si>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</si>
  <si>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</si>
  <si>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</si>
  <si>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</si>
  <si>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</si>
  <si>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</si>
  <si>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</si>
  <si>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</si>
  <si>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</si>
  <si>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</si>
  <si>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</si>
  <si>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</si>
  <si>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</si>
  <si>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</si>
  <si>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</si>
  <si>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</si>
  <si>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</si>
  <si>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</si>
  <si>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</si>
  <si>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</si>
  <si>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</si>
  <si>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</si>
  <si>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</si>
  <si>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</si>
  <si>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</si>
  <si>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</si>
  <si>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</si>
  <si>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</si>
  <si>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</si>
  <si>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</si>
  <si>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</si>
  <si>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</si>
  <si>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</si>
  <si>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</si>
  <si>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</si>
  <si>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</si>
  <si>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</si>
  <si>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</si>
  <si>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</si>
  <si>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</si>
  <si>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</si>
  <si>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</si>
  <si>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</si>
  <si>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</si>
  <si>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</si>
  <si>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</si>
  <si>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</si>
  <si>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</si>
  <si>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</si>
  <si>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</si>
  <si>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</si>
  <si>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</si>
  <si>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</si>
  <si>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</si>
  <si>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</si>
  <si>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</si>
  <si>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</si>
  <si>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</si>
  <si>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</si>
  <si>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</si>
  <si>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</si>
  <si>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</si>
  <si>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</si>
  <si>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</si>
  <si>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</si>
  <si>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</si>
  <si>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</si>
  <si>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</si>
  <si>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</si>
  <si>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</si>
  <si>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</si>
  <si>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</si>
  <si>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</si>
  <si>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</si>
  <si>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</si>
  <si>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</si>
  <si>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</si>
  <si>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</si>
  <si>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</si>
  <si>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</si>
  <si>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</si>
  <si>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</si>
  <si>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</si>
  <si>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</si>
  <si>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</si>
  <si>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</si>
  <si>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</si>
  <si>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</si>
  <si>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</si>
  <si>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</si>
  <si>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</si>
  <si>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</si>
  <si>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</si>
  <si>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</si>
  <si>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</si>
  <si>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</si>
  <si>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</si>
  <si>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</si>
  <si>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</si>
  <si>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</si>
  <si>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</si>
  <si>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</si>
  <si>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</si>
  <si>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</si>
  <si>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</si>
  <si>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</si>
  <si>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</si>
  <si>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</si>
  <si>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</si>
  <si>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</si>
  <si>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</si>
  <si>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</si>
  <si>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</si>
  <si>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</si>
  <si>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</si>
  <si>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</si>
  <si>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</si>
  <si>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</si>
  <si>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</si>
  <si>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</si>
  <si>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</si>
  <si>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</si>
  <si>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</si>
  <si>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</si>
  <si>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</si>
  <si>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</si>
  <si>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</si>
  <si>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</si>
  <si>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</si>
  <si>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</si>
  <si>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</si>
  <si>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</si>
  <si>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</si>
  <si>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</si>
  <si>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</si>
  <si>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</si>
  <si>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</si>
  <si>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</si>
  <si>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</si>
  <si>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</si>
  <si>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</si>
  <si>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</si>
  <si>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</si>
  <si>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</si>
  <si>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</si>
  <si>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</si>
  <si>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</si>
  <si>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</si>
  <si>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</si>
  <si>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</si>
  <si>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</si>
  <si>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</si>
  <si>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</si>
  <si>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</si>
  <si>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</si>
  <si>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</si>
  <si>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</si>
  <si>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</si>
  <si>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</si>
  <si>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</si>
  <si>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</si>
  <si>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</si>
  <si>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</si>
  <si>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</si>
  <si>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</si>
  <si>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</si>
  <si>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</si>
  <si>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</si>
  <si>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</si>
  <si>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</si>
  <si>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</si>
  <si>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</si>
  <si>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</si>
  <si>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</si>
  <si>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</si>
  <si>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</si>
  <si>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</si>
  <si>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</si>
  <si>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</si>
  <si>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</si>
  <si>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</si>
  <si>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</si>
  <si>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</si>
  <si>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</si>
  <si>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</si>
  <si>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</si>
  <si>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</si>
  <si>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</si>
  <si>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</si>
  <si>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</si>
  <si>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</si>
  <si>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</si>
  <si>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</si>
  <si>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</si>
  <si>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</si>
  <si>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</si>
  <si>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</si>
  <si>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</si>
  <si>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</si>
  <si>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</si>
  <si>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</si>
  <si>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</si>
  <si>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</si>
  <si>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</si>
  <si>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</si>
  <si>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</si>
  <si>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</si>
  <si>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</si>
  <si>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</si>
  <si>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</si>
  <si>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</si>
  <si>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</si>
  <si>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</si>
  <si>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</si>
  <si>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</si>
  <si>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</si>
  <si>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</si>
  <si>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</si>
  <si>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</si>
  <si>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</si>
  <si>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</si>
  <si>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</si>
  <si>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</si>
  <si>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</si>
  <si>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</si>
  <si>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</si>
  <si>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</si>
  <si>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</si>
  <si>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</si>
  <si>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</si>
  <si>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</si>
  <si>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</si>
  <si>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</si>
  <si>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</si>
  <si>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</si>
  <si>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</si>
  <si>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</si>
  <si>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</si>
  <si>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</si>
  <si>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</si>
  <si>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</si>
  <si>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</si>
  <si>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</si>
  <si>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</si>
  <si>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</si>
  <si>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</si>
  <si>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</si>
  <si>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</si>
  <si>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</si>
  <si>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</si>
  <si>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</si>
  <si>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</si>
  <si>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</si>
  <si>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</si>
  <si>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</si>
  <si>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</si>
  <si>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</si>
  <si>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</si>
  <si>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</si>
  <si>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</si>
  <si>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</si>
  <si>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</si>
  <si>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</si>
  <si>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</si>
  <si>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</si>
  <si>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</si>
  <si>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</si>
  <si>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</si>
  <si>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</si>
  <si>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</si>
  <si>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</si>
  <si>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</si>
  <si>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</si>
  <si>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</si>
  <si>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</si>
  <si>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</si>
  <si>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</si>
  <si>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</si>
  <si>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</si>
  <si>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</si>
  <si>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</si>
  <si>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</si>
  <si>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</si>
  <si>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</si>
  <si>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</si>
  <si>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</si>
  <si>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</si>
  <si>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</si>
  <si>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</si>
  <si>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</si>
  <si>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</si>
  <si>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</si>
  <si>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</si>
  <si>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</si>
  <si>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</si>
  <si>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</si>
  <si>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</si>
  <si>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</si>
  <si>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</si>
  <si>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</si>
  <si>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</si>
  <si>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</si>
  <si>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</si>
  <si>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</si>
  <si>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</si>
  <si>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</si>
  <si>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</si>
  <si>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</si>
  <si>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</si>
  <si>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</si>
  <si>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</si>
  <si>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</si>
  <si>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</si>
  <si>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</si>
  <si>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</si>
  <si>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</si>
  <si>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</si>
  <si>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</si>
  <si>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</si>
  <si>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</si>
  <si>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</si>
  <si>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</si>
  <si>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</si>
  <si>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</si>
  <si>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</si>
  <si>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</si>
  <si>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</si>
  <si>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</si>
  <si>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</si>
  <si>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</si>
  <si>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</si>
  <si>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</si>
  <si>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</si>
  <si>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</si>
  <si>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</si>
  <si>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</si>
  <si>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</si>
  <si>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</si>
  <si>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</si>
  <si>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</si>
  <si>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</si>
  <si>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</si>
  <si>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</si>
  <si>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</si>
  <si>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</si>
  <si>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</si>
  <si>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</si>
  <si>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</si>
  <si>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</si>
  <si>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</si>
  <si>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</si>
  <si>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</si>
  <si>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</si>
  <si>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</si>
  <si>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</si>
  <si>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</si>
  <si>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</si>
  <si>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</si>
  <si>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</si>
  <si>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</si>
  <si>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</si>
  <si>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</si>
  <si>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</si>
  <si>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</si>
  <si>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</si>
  <si>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</si>
  <si>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</si>
  <si>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</si>
  <si>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</si>
  <si>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</si>
  <si>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</si>
  <si>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</si>
  <si>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</si>
  <si>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</si>
  <si>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</si>
  <si>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</si>
  <si>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</si>
  <si>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</si>
  <si>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</si>
  <si>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</si>
  <si>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</si>
  <si>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</si>
  <si>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</si>
  <si>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</si>
  <si>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</si>
  <si>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</si>
  <si>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</si>
  <si>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</si>
  <si>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</si>
  <si>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</si>
  <si>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</si>
  <si>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</si>
  <si>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</si>
  <si>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</si>
  <si>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</si>
  <si>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</si>
  <si>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</si>
  <si>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</si>
  <si>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</si>
  <si>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</si>
  <si>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</si>
  <si>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</si>
  <si>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</si>
  <si>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</si>
  <si>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</si>
  <si>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</si>
  <si>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</si>
  <si>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</si>
  <si>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</si>
  <si>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</si>
  <si>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</si>
  <si>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</si>
  <si>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</si>
  <si>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</si>
  <si>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</si>
  <si>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</si>
  <si>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</si>
  <si>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</si>
  <si>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</si>
  <si>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</si>
  <si>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</si>
  <si>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</si>
  <si>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</si>
  <si>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</si>
  <si>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</si>
  <si>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</si>
  <si>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</si>
  <si>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</si>
  <si>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</si>
  <si>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</si>
  <si>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</si>
  <si>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</si>
  <si>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</si>
  <si>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</si>
  <si>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</si>
  <si>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</si>
  <si>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</si>
  <si>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</si>
  <si>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</si>
  <si>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</si>
  <si>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</si>
  <si>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</si>
  <si>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</si>
  <si>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</si>
  <si>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</si>
  <si>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</si>
  <si>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</si>
  <si>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</si>
  <si>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</si>
  <si>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</si>
  <si>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</si>
  <si>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</si>
  <si>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</si>
  <si>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</si>
  <si>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</si>
  <si>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</si>
  <si>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</si>
  <si>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</si>
  <si>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</si>
  <si>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</si>
  <si>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</si>
  <si>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</si>
  <si>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</si>
  <si>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</si>
  <si>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</si>
  <si>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</si>
  <si>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</si>
  <si>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</si>
  <si>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</si>
  <si>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</si>
  <si>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</si>
  <si>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</si>
  <si>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</si>
  <si>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</si>
  <si>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</si>
  <si>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</si>
  <si>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</si>
  <si>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</si>
  <si>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</si>
  <si>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</si>
  <si>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</si>
  <si>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</si>
  <si>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</si>
  <si>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</si>
  <si>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</si>
  <si>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</si>
  <si>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</si>
  <si>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</si>
  <si>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</si>
  <si>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</si>
  <si>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</si>
  <si>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</si>
  <si>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</si>
  <si>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</si>
  <si>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</si>
  <si>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</si>
  <si>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</si>
  <si>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</si>
  <si>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</si>
  <si>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</si>
  <si>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</si>
  <si>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</si>
  <si>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</si>
  <si>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</si>
  <si>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</si>
  <si>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</si>
  <si>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</si>
  <si>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</si>
  <si>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</si>
  <si>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</si>
  <si>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</si>
  <si>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</si>
  <si>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</si>
  <si>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</si>
  <si>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</si>
  <si>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</si>
  <si>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</si>
  <si>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</si>
  <si>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</si>
  <si>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</si>
  <si>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</si>
  <si>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</si>
  <si>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</si>
  <si>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</si>
  <si>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</si>
  <si>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</si>
  <si>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</si>
  <si>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</si>
  <si>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</si>
  <si>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</si>
  <si>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</si>
  <si>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</si>
  <si>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</si>
  <si>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</si>
  <si>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</si>
  <si>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</si>
  <si>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</si>
  <si>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</si>
  <si>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</si>
  <si>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</si>
  <si>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</si>
  <si>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</si>
  <si>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</si>
  <si>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</si>
  <si>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</si>
  <si>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</si>
  <si>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</si>
  <si>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</si>
  <si>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</si>
  <si>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73040</t>
  </si>
  <si>
    <t>KORTESSEM</t>
  </si>
  <si>
    <t>Cultuurgrond (ha)</t>
  </si>
  <si>
    <t>Paarden&amp;pony's 200 - 600 kg</t>
  </si>
  <si>
    <t>Paarden&amp;pony's &lt; 200 kg</t>
  </si>
  <si>
    <t>Fluvius</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</si>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</sst>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85678.440775734081</c:v>
                </c:pt>
                <c:pt idx="1">
                  <c:v>11744.37990257079</c:v>
                </c:pt>
                <c:pt idx="2">
                  <c:v>455.39600000000002</c:v>
                </c:pt>
                <c:pt idx="3">
                  <c:v>23802.861167271429</c:v>
                </c:pt>
                <c:pt idx="4">
                  <c:v>2684.8949697784997</c:v>
                </c:pt>
                <c:pt idx="5">
                  <c:v>66016.497313501852</c:v>
                </c:pt>
                <c:pt idx="6">
                  <c:v>985.70573278034215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85678.440775734081</c:v>
                </c:pt>
                <c:pt idx="1">
                  <c:v>11744.37990257079</c:v>
                </c:pt>
                <c:pt idx="2">
                  <c:v>455.39600000000002</c:v>
                </c:pt>
                <c:pt idx="3">
                  <c:v>23802.861167271429</c:v>
                </c:pt>
                <c:pt idx="4">
                  <c:v>2684.8949697784997</c:v>
                </c:pt>
                <c:pt idx="5">
                  <c:v>66016.497313501852</c:v>
                </c:pt>
                <c:pt idx="6">
                  <c:v>985.70573278034215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15354.172758151755</c:v>
                </c:pt>
                <c:pt idx="2">
                  <c:v>1541.4444997568817</c:v>
                </c:pt>
                <c:pt idx="3">
                  <c:v>44.430585783672278</c:v>
                </c:pt>
                <c:pt idx="4">
                  <c:v>1841.766646219784</c:v>
                </c:pt>
                <c:pt idx="5">
                  <c:v>456.49247473596546</c:v>
                </c:pt>
                <c:pt idx="6">
                  <c:v>16675.52957721339</c:v>
                </c:pt>
                <c:pt idx="7">
                  <c:v>251.96812112961496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15354.172758151755</c:v>
                </c:pt>
                <c:pt idx="2">
                  <c:v>1541.4444997568817</c:v>
                </c:pt>
                <c:pt idx="3">
                  <c:v>44.430585783672278</c:v>
                </c:pt>
                <c:pt idx="4">
                  <c:v>1841.766646219784</c:v>
                </c:pt>
                <c:pt idx="5">
                  <c:v>456.49247473596546</c:v>
                </c:pt>
                <c:pt idx="6">
                  <c:v>16675.52957721339</c:v>
                </c:pt>
                <c:pt idx="7">
                  <c:v>251.96812112961496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73040</v>
      </c>
      <c r="B6" s="395"/>
      <c r="C6" s="396"/>
    </row>
    <row r="7" spans="1:7" s="393" customFormat="1" ht="15.75" customHeight="1">
      <c r="A7" s="397" t="str">
        <f>txtMunicipality</f>
        <v>KORTESSEM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9.7564725609518482E-2</v>
      </c>
      <c r="C17" s="508">
        <f ca="1">'EF ele_warmte'!B22</f>
        <v>2.2418289773042566E-4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9.7564725609518482E-2</v>
      </c>
      <c r="C29" s="509">
        <f ca="1">'EF ele_warmte'!B22</f>
        <v>2.2418289773042566E-4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1990</v>
      </c>
      <c r="C14" s="332"/>
      <c r="D14" s="332"/>
      <c r="E14" s="332"/>
      <c r="F14" s="332"/>
    </row>
    <row r="15" spans="1:6">
      <c r="A15" s="1306" t="s">
        <v>183</v>
      </c>
      <c r="B15" s="1307">
        <v>548</v>
      </c>
      <c r="C15" s="332"/>
      <c r="D15" s="332"/>
      <c r="E15" s="332"/>
      <c r="F15" s="332"/>
    </row>
    <row r="16" spans="1:6">
      <c r="A16" s="1306" t="s">
        <v>6</v>
      </c>
      <c r="B16" s="1307">
        <v>647</v>
      </c>
      <c r="C16" s="332"/>
      <c r="D16" s="332"/>
      <c r="E16" s="332"/>
      <c r="F16" s="332"/>
    </row>
    <row r="17" spans="1:6">
      <c r="A17" s="1306" t="s">
        <v>7</v>
      </c>
      <c r="B17" s="1307">
        <v>273</v>
      </c>
      <c r="C17" s="332"/>
      <c r="D17" s="332"/>
      <c r="E17" s="332"/>
      <c r="F17" s="332"/>
    </row>
    <row r="18" spans="1:6">
      <c r="A18" s="1306" t="s">
        <v>8</v>
      </c>
      <c r="B18" s="1307">
        <v>593</v>
      </c>
      <c r="C18" s="332"/>
      <c r="D18" s="332"/>
      <c r="E18" s="332"/>
      <c r="F18" s="332"/>
    </row>
    <row r="19" spans="1:6">
      <c r="A19" s="1306" t="s">
        <v>9</v>
      </c>
      <c r="B19" s="1307">
        <v>693</v>
      </c>
      <c r="C19" s="332"/>
      <c r="D19" s="332"/>
      <c r="E19" s="332"/>
      <c r="F19" s="332"/>
    </row>
    <row r="20" spans="1:6">
      <c r="A20" s="1306" t="s">
        <v>10</v>
      </c>
      <c r="B20" s="1307">
        <v>409</v>
      </c>
      <c r="C20" s="332"/>
      <c r="D20" s="332"/>
      <c r="E20" s="332"/>
      <c r="F20" s="332"/>
    </row>
    <row r="21" spans="1:6">
      <c r="A21" s="1306" t="s">
        <v>11</v>
      </c>
      <c r="B21" s="1307">
        <v>560</v>
      </c>
      <c r="C21" s="332"/>
      <c r="D21" s="332"/>
      <c r="E21" s="332"/>
      <c r="F21" s="332"/>
    </row>
    <row r="22" spans="1:6">
      <c r="A22" s="1306" t="s">
        <v>12</v>
      </c>
      <c r="B22" s="1307">
        <v>2763</v>
      </c>
      <c r="C22" s="332"/>
      <c r="D22" s="332"/>
      <c r="E22" s="332"/>
      <c r="F22" s="332"/>
    </row>
    <row r="23" spans="1:6">
      <c r="A23" s="1306" t="s">
        <v>13</v>
      </c>
      <c r="B23" s="1307">
        <v>43</v>
      </c>
      <c r="C23" s="332"/>
      <c r="D23" s="332"/>
      <c r="E23" s="332"/>
      <c r="F23" s="332"/>
    </row>
    <row r="24" spans="1:6">
      <c r="A24" s="1306" t="s">
        <v>14</v>
      </c>
      <c r="B24" s="1307">
        <v>2</v>
      </c>
      <c r="C24" s="332"/>
      <c r="D24" s="332"/>
      <c r="E24" s="332"/>
      <c r="F24" s="332"/>
    </row>
    <row r="25" spans="1:6">
      <c r="A25" s="1306" t="s">
        <v>15</v>
      </c>
      <c r="B25" s="1307">
        <v>241</v>
      </c>
      <c r="C25" s="332"/>
      <c r="D25" s="332"/>
      <c r="E25" s="332"/>
      <c r="F25" s="332"/>
    </row>
    <row r="26" spans="1:6">
      <c r="A26" s="1306" t="s">
        <v>16</v>
      </c>
      <c r="B26" s="1307">
        <v>70</v>
      </c>
      <c r="C26" s="332"/>
      <c r="D26" s="332"/>
      <c r="E26" s="332"/>
      <c r="F26" s="332"/>
    </row>
    <row r="27" spans="1:6">
      <c r="A27" s="1306" t="s">
        <v>17</v>
      </c>
      <c r="B27" s="1307">
        <v>0</v>
      </c>
      <c r="C27" s="332"/>
      <c r="D27" s="332"/>
      <c r="E27" s="332"/>
      <c r="F27" s="332"/>
    </row>
    <row r="28" spans="1:6" s="43" customFormat="1">
      <c r="A28" s="1308" t="s">
        <v>18</v>
      </c>
      <c r="B28" s="1309">
        <v>67004</v>
      </c>
      <c r="C28" s="338"/>
      <c r="D28" s="338"/>
      <c r="E28" s="338"/>
      <c r="F28" s="338"/>
    </row>
    <row r="29" spans="1:6">
      <c r="A29" s="1308" t="s">
        <v>916</v>
      </c>
      <c r="B29" s="1309">
        <v>116</v>
      </c>
      <c r="C29" s="338"/>
      <c r="D29" s="338"/>
      <c r="E29" s="338"/>
      <c r="F29" s="338"/>
    </row>
    <row r="30" spans="1:6">
      <c r="A30" s="1301" t="s">
        <v>917</v>
      </c>
      <c r="B30" s="1310">
        <v>32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2430</v>
      </c>
    </row>
    <row r="39" spans="1:6">
      <c r="A39" s="1306" t="s">
        <v>29</v>
      </c>
      <c r="B39" s="1306" t="s">
        <v>30</v>
      </c>
      <c r="C39" s="1307">
        <v>1297</v>
      </c>
      <c r="D39" s="1307">
        <v>22878002</v>
      </c>
      <c r="E39" s="1307">
        <v>3296</v>
      </c>
      <c r="F39" s="1307">
        <v>12767818</v>
      </c>
    </row>
    <row r="40" spans="1:6">
      <c r="A40" s="1306" t="s">
        <v>29</v>
      </c>
      <c r="B40" s="1306" t="s">
        <v>28</v>
      </c>
      <c r="C40" s="1307">
        <v>0</v>
      </c>
      <c r="D40" s="1307">
        <v>0</v>
      </c>
      <c r="E40" s="1307">
        <v>0</v>
      </c>
      <c r="F40" s="1307">
        <v>0</v>
      </c>
    </row>
    <row r="41" spans="1:6">
      <c r="A41" s="1306" t="s">
        <v>31</v>
      </c>
      <c r="B41" s="1306" t="s">
        <v>32</v>
      </c>
      <c r="C41" s="1307">
        <v>12</v>
      </c>
      <c r="D41" s="1307">
        <v>222623</v>
      </c>
      <c r="E41" s="1307">
        <v>62</v>
      </c>
      <c r="F41" s="1307">
        <v>520395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244331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538275</v>
      </c>
      <c r="E48" s="1307">
        <v>3</v>
      </c>
      <c r="F48" s="1307">
        <v>179248</v>
      </c>
    </row>
    <row r="49" spans="1:6">
      <c r="A49" s="1306" t="s">
        <v>31</v>
      </c>
      <c r="B49" s="1306" t="s">
        <v>39</v>
      </c>
      <c r="C49" s="1307">
        <v>0</v>
      </c>
      <c r="D49" s="1307">
        <v>0</v>
      </c>
      <c r="E49" s="1307">
        <v>0</v>
      </c>
      <c r="F49" s="1307">
        <v>0</v>
      </c>
    </row>
    <row r="50" spans="1:6">
      <c r="A50" s="1306" t="s">
        <v>31</v>
      </c>
      <c r="B50" s="1306" t="s">
        <v>40</v>
      </c>
      <c r="C50" s="1307">
        <v>0</v>
      </c>
      <c r="D50" s="1307">
        <v>0</v>
      </c>
      <c r="E50" s="1307">
        <v>8</v>
      </c>
      <c r="F50" s="1307">
        <v>134615</v>
      </c>
    </row>
    <row r="51" spans="1:6">
      <c r="A51" s="1306" t="s">
        <v>41</v>
      </c>
      <c r="B51" s="1306" t="s">
        <v>42</v>
      </c>
      <c r="C51" s="1307">
        <v>5</v>
      </c>
      <c r="D51" s="1307">
        <v>83671</v>
      </c>
      <c r="E51" s="1307">
        <v>61</v>
      </c>
      <c r="F51" s="1307">
        <v>1701600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52</v>
      </c>
      <c r="F54" s="1307">
        <v>455396</v>
      </c>
    </row>
    <row r="55" spans="1:6">
      <c r="A55" s="1306" t="s">
        <v>45</v>
      </c>
      <c r="B55" s="1306" t="s">
        <v>28</v>
      </c>
      <c r="C55" s="1307">
        <v>0</v>
      </c>
      <c r="D55" s="1307">
        <v>0</v>
      </c>
      <c r="E55" s="1307">
        <v>0</v>
      </c>
      <c r="F55" s="1307">
        <v>0</v>
      </c>
    </row>
    <row r="56" spans="1:6">
      <c r="A56" s="1306" t="s">
        <v>47</v>
      </c>
      <c r="B56" s="1306" t="s">
        <v>28</v>
      </c>
      <c r="C56" s="1307">
        <v>57</v>
      </c>
      <c r="D56" s="1307">
        <v>3705458</v>
      </c>
      <c r="E56" s="1307">
        <v>65</v>
      </c>
      <c r="F56" s="1307">
        <v>411874</v>
      </c>
    </row>
    <row r="57" spans="1:6">
      <c r="A57" s="1306" t="s">
        <v>48</v>
      </c>
      <c r="B57" s="1306" t="s">
        <v>49</v>
      </c>
      <c r="C57" s="1307">
        <v>10</v>
      </c>
      <c r="D57" s="1307">
        <v>273503</v>
      </c>
      <c r="E57" s="1307">
        <v>40</v>
      </c>
      <c r="F57" s="1307">
        <v>1487728</v>
      </c>
    </row>
    <row r="58" spans="1:6">
      <c r="A58" s="1306" t="s">
        <v>48</v>
      </c>
      <c r="B58" s="1306" t="s">
        <v>50</v>
      </c>
      <c r="C58" s="1307">
        <v>8</v>
      </c>
      <c r="D58" s="1307">
        <v>223025</v>
      </c>
      <c r="E58" s="1307">
        <v>16</v>
      </c>
      <c r="F58" s="1307">
        <v>349615</v>
      </c>
    </row>
    <row r="59" spans="1:6">
      <c r="A59" s="1306" t="s">
        <v>48</v>
      </c>
      <c r="B59" s="1306" t="s">
        <v>51</v>
      </c>
      <c r="C59" s="1307">
        <v>21</v>
      </c>
      <c r="D59" s="1307">
        <v>651278</v>
      </c>
      <c r="E59" s="1307">
        <v>73</v>
      </c>
      <c r="F59" s="1307">
        <v>2136183</v>
      </c>
    </row>
    <row r="60" spans="1:6">
      <c r="A60" s="1306" t="s">
        <v>48</v>
      </c>
      <c r="B60" s="1306" t="s">
        <v>52</v>
      </c>
      <c r="C60" s="1307">
        <v>9</v>
      </c>
      <c r="D60" s="1307">
        <v>415083</v>
      </c>
      <c r="E60" s="1307">
        <v>22</v>
      </c>
      <c r="F60" s="1307">
        <v>398928</v>
      </c>
    </row>
    <row r="61" spans="1:6">
      <c r="A61" s="1306" t="s">
        <v>48</v>
      </c>
      <c r="B61" s="1306" t="s">
        <v>53</v>
      </c>
      <c r="C61" s="1307">
        <v>27</v>
      </c>
      <c r="D61" s="1307">
        <v>854752</v>
      </c>
      <c r="E61" s="1307">
        <v>162</v>
      </c>
      <c r="F61" s="1307">
        <v>2175668</v>
      </c>
    </row>
    <row r="62" spans="1:6">
      <c r="A62" s="1306" t="s">
        <v>48</v>
      </c>
      <c r="B62" s="1306" t="s">
        <v>54</v>
      </c>
      <c r="C62" s="1307">
        <v>0</v>
      </c>
      <c r="D62" s="1307">
        <v>0</v>
      </c>
      <c r="E62" s="1307">
        <v>3</v>
      </c>
      <c r="F62" s="1307">
        <v>279423</v>
      </c>
    </row>
    <row r="63" spans="1:6">
      <c r="A63" s="1306" t="s">
        <v>48</v>
      </c>
      <c r="B63" s="1306" t="s">
        <v>28</v>
      </c>
      <c r="C63" s="1307">
        <v>2</v>
      </c>
      <c r="D63" s="1307">
        <v>219533</v>
      </c>
      <c r="E63" s="1307">
        <v>2</v>
      </c>
      <c r="F63" s="1307">
        <v>3034</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36020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59242745</v>
      </c>
      <c r="E73" s="456"/>
      <c r="F73" s="332"/>
    </row>
    <row r="74" spans="1:6">
      <c r="A74" s="1306" t="s">
        <v>63</v>
      </c>
      <c r="B74" s="1306" t="s">
        <v>724</v>
      </c>
      <c r="C74" s="1320" t="s">
        <v>725</v>
      </c>
      <c r="D74" s="1321">
        <v>5344947.7849078653</v>
      </c>
      <c r="E74" s="456"/>
      <c r="F74" s="332"/>
    </row>
    <row r="75" spans="1:6">
      <c r="A75" s="1306" t="s">
        <v>64</v>
      </c>
      <c r="B75" s="1306" t="s">
        <v>722</v>
      </c>
      <c r="C75" s="1320" t="s">
        <v>726</v>
      </c>
      <c r="D75" s="1321">
        <v>16273883</v>
      </c>
      <c r="E75" s="456"/>
      <c r="F75" s="332"/>
    </row>
    <row r="76" spans="1:6">
      <c r="A76" s="1306" t="s">
        <v>64</v>
      </c>
      <c r="B76" s="1306" t="s">
        <v>724</v>
      </c>
      <c r="C76" s="1320" t="s">
        <v>727</v>
      </c>
      <c r="D76" s="1321">
        <v>12408.300000000001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260824.43018426953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2429.6222168200097</v>
      </c>
      <c r="C91" s="332"/>
      <c r="D91" s="332"/>
      <c r="E91" s="332"/>
      <c r="F91" s="332"/>
    </row>
    <row r="92" spans="1:6">
      <c r="A92" s="1301" t="s">
        <v>68</v>
      </c>
      <c r="B92" s="1302">
        <v>800.02445035623327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236</v>
      </c>
      <c r="C97" s="332"/>
      <c r="D97" s="332"/>
      <c r="E97" s="332"/>
      <c r="F97" s="332"/>
    </row>
    <row r="98" spans="1:6">
      <c r="A98" s="1306" t="s">
        <v>71</v>
      </c>
      <c r="B98" s="1307">
        <v>1</v>
      </c>
      <c r="C98" s="332"/>
      <c r="D98" s="332"/>
      <c r="E98" s="332"/>
      <c r="F98" s="332"/>
    </row>
    <row r="99" spans="1:6">
      <c r="A99" s="1306" t="s">
        <v>72</v>
      </c>
      <c r="B99" s="1307">
        <v>52</v>
      </c>
      <c r="C99" s="332"/>
      <c r="D99" s="332"/>
      <c r="E99" s="332"/>
      <c r="F99" s="332"/>
    </row>
    <row r="100" spans="1:6">
      <c r="A100" s="1306" t="s">
        <v>73</v>
      </c>
      <c r="B100" s="1307">
        <v>78</v>
      </c>
      <c r="C100" s="332"/>
      <c r="D100" s="332"/>
      <c r="E100" s="332"/>
      <c r="F100" s="332"/>
    </row>
    <row r="101" spans="1:6">
      <c r="A101" s="1306" t="s">
        <v>74</v>
      </c>
      <c r="B101" s="1307">
        <v>39</v>
      </c>
      <c r="C101" s="332"/>
      <c r="D101" s="332"/>
      <c r="E101" s="332"/>
      <c r="F101" s="332"/>
    </row>
    <row r="102" spans="1:6">
      <c r="A102" s="1306" t="s">
        <v>75</v>
      </c>
      <c r="B102" s="1307">
        <v>30</v>
      </c>
      <c r="C102" s="332"/>
      <c r="D102" s="332"/>
      <c r="E102" s="332"/>
      <c r="F102" s="332"/>
    </row>
    <row r="103" spans="1:6">
      <c r="A103" s="1306" t="s">
        <v>76</v>
      </c>
      <c r="B103" s="1307">
        <v>98</v>
      </c>
      <c r="C103" s="332"/>
      <c r="D103" s="332"/>
      <c r="E103" s="332"/>
      <c r="F103" s="332"/>
    </row>
    <row r="104" spans="1:6">
      <c r="A104" s="1306" t="s">
        <v>77</v>
      </c>
      <c r="B104" s="1307">
        <v>2326</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10</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25678.73825811351</v>
      </c>
      <c r="C3" s="43" t="s">
        <v>169</v>
      </c>
      <c r="D3" s="43"/>
      <c r="E3" s="156"/>
      <c r="F3" s="43"/>
      <c r="G3" s="43"/>
      <c r="H3" s="43"/>
      <c r="I3" s="43"/>
      <c r="J3" s="43"/>
      <c r="K3" s="96"/>
    </row>
    <row r="4" spans="1:11">
      <c r="A4" s="363" t="s">
        <v>170</v>
      </c>
      <c r="B4" s="49">
        <f>IF(ISERROR('SEAP template'!B78+'SEAP template'!C78),0,'SEAP template'!B78+'SEAP template'!C78)</f>
        <v>14353.646667176243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2.4938105543532547</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9.7564725609518482E-2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3.5661894456467462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15907.5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2.2418289773042566E-4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455.39600000000002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455.39600000000002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9.7564725609518482E-2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44.430585783672278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12767.817999999999</v>
      </c>
      <c r="C5" s="17">
        <f>IF(ISERROR('Eigen informatie GS &amp; warmtenet'!B57),0,'Eigen informatie GS &amp; warmtenet'!B57)</f>
        <v>0</v>
      </c>
      <c r="D5" s="30">
        <f>(SUM(HH_hh_gas_kWh,HH_rest_gas_kWh)/1000)*0.902</f>
        <v>20635.957804000001</v>
      </c>
      <c r="E5" s="17">
        <f>B46*B57</f>
        <v>4790.1713985478536</v>
      </c>
      <c r="F5" s="17">
        <f>B51*B62</f>
        <v>32268.188350383101</v>
      </c>
      <c r="G5" s="18"/>
      <c r="H5" s="17"/>
      <c r="I5" s="17"/>
      <c r="J5" s="17">
        <f>B50*B61+C50*C61</f>
        <v>0</v>
      </c>
      <c r="K5" s="17"/>
      <c r="L5" s="17"/>
      <c r="M5" s="17"/>
      <c r="N5" s="17">
        <f>B48*B59+C48*C59</f>
        <v>12297.479672649792</v>
      </c>
      <c r="O5" s="17">
        <f>B69*B70*B71</f>
        <v>107.87</v>
      </c>
      <c r="P5" s="17">
        <f>B77*B78*B79/1000-B77*B78*B79/1000/B80</f>
        <v>381.33333333333337</v>
      </c>
    </row>
    <row r="6" spans="1:16">
      <c r="A6" s="16" t="s">
        <v>633</v>
      </c>
      <c r="B6" s="779">
        <f>kWh_PV_kleiner_dan_10kW</f>
        <v>2429.6222168200097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15197.440216820009</v>
      </c>
      <c r="C8" s="21">
        <f>C5</f>
        <v>0</v>
      </c>
      <c r="D8" s="21">
        <f>D5</f>
        <v>20635.957804000001</v>
      </c>
      <c r="E8" s="21">
        <f>E5</f>
        <v>4790.1713985478536</v>
      </c>
      <c r="F8" s="21">
        <f>F5</f>
        <v>32268.188350383101</v>
      </c>
      <c r="G8" s="21"/>
      <c r="H8" s="21"/>
      <c r="I8" s="21"/>
      <c r="J8" s="21">
        <f>J5</f>
        <v>0</v>
      </c>
      <c r="K8" s="21"/>
      <c r="L8" s="21">
        <f>L5</f>
        <v>0</v>
      </c>
      <c r="M8" s="21">
        <f>M5</f>
        <v>0</v>
      </c>
      <c r="N8" s="21">
        <f>N5</f>
        <v>12297.479672649792</v>
      </c>
      <c r="O8" s="21">
        <f>O5</f>
        <v>107.87</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9.7564725609518482E-2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1482.7340847211053</v>
      </c>
      <c r="C12" s="23">
        <f ca="1">C10*C8</f>
        <v>0</v>
      </c>
      <c r="D12" s="23">
        <f>D8*D10</f>
        <v>4168.4634764080001</v>
      </c>
      <c r="E12" s="23">
        <f>E10*E8</f>
        <v>1087.3689074703627</v>
      </c>
      <c r="F12" s="23">
        <f>F10*F8</f>
        <v>8615.6062895522882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236</v>
      </c>
      <c r="C18" s="168" t="s">
        <v>110</v>
      </c>
      <c r="D18" s="230"/>
      <c r="E18" s="15"/>
    </row>
    <row r="19" spans="1:7">
      <c r="A19" s="173" t="s">
        <v>71</v>
      </c>
      <c r="B19" s="37">
        <f>aantalw2001_ander</f>
        <v>1</v>
      </c>
      <c r="C19" s="168" t="s">
        <v>110</v>
      </c>
      <c r="D19" s="231"/>
      <c r="E19" s="15"/>
    </row>
    <row r="20" spans="1:7">
      <c r="A20" s="173" t="s">
        <v>72</v>
      </c>
      <c r="B20" s="37">
        <f>aantalw2001_propaan</f>
        <v>52</v>
      </c>
      <c r="C20" s="169">
        <f>IF(ISERROR(B20/SUM($B$20,$B$21,$B$22)*100),0,B20/SUM($B$20,$B$21,$B$22)*100)</f>
        <v>30.76923076923077</v>
      </c>
      <c r="D20" s="231"/>
      <c r="E20" s="15"/>
    </row>
    <row r="21" spans="1:7">
      <c r="A21" s="173" t="s">
        <v>73</v>
      </c>
      <c r="B21" s="37">
        <f>aantalw2001_elektriciteit</f>
        <v>78</v>
      </c>
      <c r="C21" s="169">
        <f>IF(ISERROR(B21/SUM($B$20,$B$21,$B$22)*100),0,B21/SUM($B$20,$B$21,$B$22)*100)</f>
        <v>46.153846153846153</v>
      </c>
      <c r="D21" s="231"/>
      <c r="E21" s="15"/>
    </row>
    <row r="22" spans="1:7">
      <c r="A22" s="173" t="s">
        <v>74</v>
      </c>
      <c r="B22" s="37">
        <f>aantalw2001_hout</f>
        <v>39</v>
      </c>
      <c r="C22" s="169">
        <f>IF(ISERROR(B22/SUM($B$20,$B$21,$B$22)*100),0,B22/SUM($B$20,$B$21,$B$22)*100)</f>
        <v>23.076923076923077</v>
      </c>
      <c r="D22" s="231"/>
      <c r="E22" s="15"/>
    </row>
    <row r="23" spans="1:7">
      <c r="A23" s="173" t="s">
        <v>75</v>
      </c>
      <c r="B23" s="37">
        <f>aantalw2001_niet_gespec</f>
        <v>30</v>
      </c>
      <c r="C23" s="168" t="s">
        <v>110</v>
      </c>
      <c r="D23" s="230"/>
      <c r="E23" s="15"/>
    </row>
    <row r="24" spans="1:7">
      <c r="A24" s="173" t="s">
        <v>76</v>
      </c>
      <c r="B24" s="37">
        <f>aantalw2001_steenkool</f>
        <v>98</v>
      </c>
      <c r="C24" s="168" t="s">
        <v>110</v>
      </c>
      <c r="D24" s="231"/>
      <c r="E24" s="15"/>
    </row>
    <row r="25" spans="1:7">
      <c r="A25" s="173" t="s">
        <v>77</v>
      </c>
      <c r="B25" s="37">
        <f>aantalw2001_stookolie</f>
        <v>2326</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3367</v>
      </c>
      <c r="C28" s="36"/>
      <c r="D28" s="230"/>
    </row>
    <row r="29" spans="1:7" s="15" customFormat="1">
      <c r="A29" s="232" t="s">
        <v>743</v>
      </c>
      <c r="B29" s="37">
        <f>SUM(HH_hh_gas_aantal,HH_rest_gas_aantal)</f>
        <v>1297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1297</v>
      </c>
      <c r="C32" s="169">
        <f>IF(ISERROR(B32/SUM($B$32,$B$34,$B$35,$B$36,$B$38,$B$39)*100),0,B32/SUM($B$32,$B$34,$B$35,$B$36,$B$38,$B$39)*100)</f>
        <v>38.751120406334032</v>
      </c>
      <c r="D32" s="235"/>
      <c r="G32" s="15"/>
    </row>
    <row r="33" spans="1:7">
      <c r="A33" s="173" t="s">
        <v>71</v>
      </c>
      <c r="B33" s="34" t="s">
        <v>110</v>
      </c>
      <c r="C33" s="169"/>
      <c r="D33" s="235"/>
      <c r="G33" s="15"/>
    </row>
    <row r="34" spans="1:7">
      <c r="A34" s="173" t="s">
        <v>72</v>
      </c>
      <c r="B34" s="33">
        <f>IF((($B$28-$B$32-$B$39-$B$77-$B$38)*C20/100)&lt;0,0,($B$28-$B$32-$B$39-$B$77-$B$38)*C20/100)</f>
        <v>208.89230769230772</v>
      </c>
      <c r="C34" s="169">
        <f>IF(ISERROR(B34/SUM($B$32,$B$34,$B$35,$B$36,$B$38,$B$39)*100),0,B34/SUM($B$32,$B$34,$B$35,$B$36,$B$38,$B$39)*100)</f>
        <v>6.2411803911654529</v>
      </c>
      <c r="D34" s="235"/>
      <c r="G34" s="15"/>
    </row>
    <row r="35" spans="1:7">
      <c r="A35" s="173" t="s">
        <v>73</v>
      </c>
      <c r="B35" s="33">
        <f>IF((($B$28-$B$32-$B$39-$B$77-$B$38)*C21/100)&lt;0,0,($B$28-$B$32-$B$39-$B$77-$B$38)*C21/100)</f>
        <v>313.33846153846156</v>
      </c>
      <c r="C35" s="169">
        <f>IF(ISERROR(B35/SUM($B$32,$B$34,$B$35,$B$36,$B$38,$B$39)*100),0,B35/SUM($B$32,$B$34,$B$35,$B$36,$B$38,$B$39)*100)</f>
        <v>9.3617705867481789</v>
      </c>
      <c r="D35" s="235"/>
      <c r="G35" s="15"/>
    </row>
    <row r="36" spans="1:7">
      <c r="A36" s="173" t="s">
        <v>74</v>
      </c>
      <c r="B36" s="33">
        <f>IF((($B$28-$B$32-$B$39-$B$77-$B$38)*C22/100)&lt;0,0,($B$28-$B$32-$B$39-$B$77-$B$38)*C22/100)</f>
        <v>156.66923076923078</v>
      </c>
      <c r="C36" s="169">
        <f>IF(ISERROR(B36/SUM($B$32,$B$34,$B$35,$B$36,$B$38,$B$39)*100),0,B36/SUM($B$32,$B$34,$B$35,$B$36,$B$38,$B$39)*100)</f>
        <v>4.6808852933740894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1371.1</v>
      </c>
      <c r="C39" s="169">
        <f>IF(ISERROR(B39/SUM($B$32,$B$34,$B$35,$B$36,$B$38,$B$39)*100),0,B39/SUM($B$32,$B$34,$B$35,$B$36,$B$38,$B$39)*100)</f>
        <v>40.96504332237825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1297</v>
      </c>
      <c r="C44" s="34" t="s">
        <v>110</v>
      </c>
      <c r="D44" s="176"/>
    </row>
    <row r="45" spans="1:7">
      <c r="A45" s="173" t="s">
        <v>71</v>
      </c>
      <c r="B45" s="33" t="str">
        <f t="shared" si="0"/>
        <v>-</v>
      </c>
      <c r="C45" s="34" t="s">
        <v>110</v>
      </c>
      <c r="D45" s="176"/>
    </row>
    <row r="46" spans="1:7">
      <c r="A46" s="173" t="s">
        <v>72</v>
      </c>
      <c r="B46" s="33">
        <f t="shared" si="0"/>
        <v>208.89230769230772</v>
      </c>
      <c r="C46" s="34" t="s">
        <v>110</v>
      </c>
      <c r="D46" s="176"/>
    </row>
    <row r="47" spans="1:7">
      <c r="A47" s="173" t="s">
        <v>73</v>
      </c>
      <c r="B47" s="33">
        <f t="shared" si="0"/>
        <v>313.33846153846156</v>
      </c>
      <c r="C47" s="34" t="s">
        <v>110</v>
      </c>
      <c r="D47" s="176"/>
    </row>
    <row r="48" spans="1:7">
      <c r="A48" s="173" t="s">
        <v>74</v>
      </c>
      <c r="B48" s="33">
        <f t="shared" si="0"/>
        <v>156.66923076923078</v>
      </c>
      <c r="C48" s="33">
        <f>B48*10</f>
        <v>1566.6923076923078</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1371.1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6830.5789999999997</v>
      </c>
      <c r="C5" s="17">
        <f>IF(ISERROR('Eigen informatie GS &amp; warmtenet'!B58),0,'Eigen informatie GS &amp; warmtenet'!B58)</f>
        <v>0</v>
      </c>
      <c r="D5" s="30">
        <f>SUM(D6:D12)</f>
        <v>2378.7309480000004</v>
      </c>
      <c r="E5" s="17">
        <f>SUM(E6:E12)</f>
        <v>69.225612768804837</v>
      </c>
      <c r="F5" s="17">
        <f>SUM(F6:F12)</f>
        <v>1418.7380834203141</v>
      </c>
      <c r="G5" s="18"/>
      <c r="H5" s="17"/>
      <c r="I5" s="17"/>
      <c r="J5" s="17">
        <f>SUM(J6:J12)</f>
        <v>0</v>
      </c>
      <c r="K5" s="17"/>
      <c r="L5" s="17"/>
      <c r="M5" s="17"/>
      <c r="N5" s="17">
        <f>SUM(N6:N12)</f>
        <v>1047.1062583816704</v>
      </c>
      <c r="O5" s="17">
        <f>B38*B39*B40</f>
        <v>0</v>
      </c>
      <c r="P5" s="17">
        <f>B46*B47*B48/1000-B46*B47*B48/1000/B49</f>
        <v>0</v>
      </c>
      <c r="R5" s="32"/>
    </row>
    <row r="6" spans="1:18">
      <c r="A6" s="32" t="s">
        <v>53</v>
      </c>
      <c r="B6" s="37">
        <f>B26</f>
        <v>2175.6680000000001</v>
      </c>
      <c r="C6" s="33"/>
      <c r="D6" s="37">
        <f>IF(ISERROR(TER_kantoor_gas_kWh/1000),0,TER_kantoor_gas_kWh/1000)*0.902</f>
        <v>770.98630400000002</v>
      </c>
      <c r="E6" s="33">
        <f>$C$26*'E Balans VL '!I12/100/3.6*1000000</f>
        <v>8.4529307957533035</v>
      </c>
      <c r="F6" s="33">
        <f>$C$26*('E Balans VL '!L12+'E Balans VL '!N12)/100/3.6*1000000</f>
        <v>330.89930579955382</v>
      </c>
      <c r="G6" s="34"/>
      <c r="H6" s="33"/>
      <c r="I6" s="33"/>
      <c r="J6" s="33">
        <f>$C$26*('E Balans VL '!D12+'E Balans VL '!E12)/100/3.6*1000000</f>
        <v>0</v>
      </c>
      <c r="K6" s="33"/>
      <c r="L6" s="33"/>
      <c r="M6" s="33"/>
      <c r="N6" s="33">
        <f>$C$26*'E Balans VL '!Y12/100/3.6*1000000</f>
        <v>1.1990537066076679</v>
      </c>
      <c r="O6" s="33"/>
      <c r="P6" s="33"/>
      <c r="R6" s="32"/>
    </row>
    <row r="7" spans="1:18">
      <c r="A7" s="32" t="s">
        <v>52</v>
      </c>
      <c r="B7" s="37">
        <f t="shared" ref="B7:B12" si="0">B27</f>
        <v>398.928</v>
      </c>
      <c r="C7" s="33"/>
      <c r="D7" s="37">
        <f>IF(ISERROR(TER_horeca_gas_kWh/1000),0,TER_horeca_gas_kWh/1000)*0.902</f>
        <v>374.40486600000003</v>
      </c>
      <c r="E7" s="33">
        <f>$C$27*'E Balans VL '!I9/100/3.6*1000000</f>
        <v>22.471720895676224</v>
      </c>
      <c r="F7" s="33">
        <f>$C$27*('E Balans VL '!L9+'E Balans VL '!N9)/100/3.6*1000000</f>
        <v>115.02695186819427</v>
      </c>
      <c r="G7" s="34"/>
      <c r="H7" s="33"/>
      <c r="I7" s="33"/>
      <c r="J7" s="33">
        <f>$C$27*('E Balans VL '!D9+'E Balans VL '!E9)/100/3.6*1000000</f>
        <v>0</v>
      </c>
      <c r="K7" s="33"/>
      <c r="L7" s="33"/>
      <c r="M7" s="33"/>
      <c r="N7" s="33">
        <f>$C$27*'E Balans VL '!Y9/100/3.6*1000000</f>
        <v>0.11014194777506747</v>
      </c>
      <c r="O7" s="33"/>
      <c r="P7" s="33"/>
      <c r="R7" s="32"/>
    </row>
    <row r="8" spans="1:18">
      <c r="A8" s="6" t="s">
        <v>51</v>
      </c>
      <c r="B8" s="37">
        <f t="shared" si="0"/>
        <v>2136.183</v>
      </c>
      <c r="C8" s="33"/>
      <c r="D8" s="37">
        <f>IF(ISERROR(TER_handel_gas_kWh/1000),0,TER_handel_gas_kWh/1000)*0.902</f>
        <v>587.45275600000002</v>
      </c>
      <c r="E8" s="33">
        <f>$C$28*'E Balans VL '!I13/100/3.6*1000000</f>
        <v>30.789644377984164</v>
      </c>
      <c r="F8" s="33">
        <f>$C$28*('E Balans VL '!L13+'E Balans VL '!N13)/100/3.6*1000000</f>
        <v>371.10473544510876</v>
      </c>
      <c r="G8" s="34"/>
      <c r="H8" s="33"/>
      <c r="I8" s="33"/>
      <c r="J8" s="33">
        <f>$C$28*('E Balans VL '!D13+'E Balans VL '!E13)/100/3.6*1000000</f>
        <v>0</v>
      </c>
      <c r="K8" s="33"/>
      <c r="L8" s="33"/>
      <c r="M8" s="33"/>
      <c r="N8" s="33">
        <f>$C$28*'E Balans VL '!Y13/100/3.6*1000000</f>
        <v>6.400242072790375</v>
      </c>
      <c r="O8" s="33"/>
      <c r="P8" s="33"/>
      <c r="R8" s="32"/>
    </row>
    <row r="9" spans="1:18">
      <c r="A9" s="32" t="s">
        <v>50</v>
      </c>
      <c r="B9" s="37">
        <f t="shared" si="0"/>
        <v>349.61500000000001</v>
      </c>
      <c r="C9" s="33"/>
      <c r="D9" s="37">
        <f>IF(ISERROR(TER_gezond_gas_kWh/1000),0,TER_gezond_gas_kWh/1000)*0.902</f>
        <v>201.16855000000001</v>
      </c>
      <c r="E9" s="33">
        <f>$C$29*'E Balans VL '!I10/100/3.6*1000000</f>
        <v>0.37347943688020047</v>
      </c>
      <c r="F9" s="33">
        <f>$C$29*('E Balans VL '!L10+'E Balans VL '!N10)/100/3.6*1000000</f>
        <v>57.032831698563129</v>
      </c>
      <c r="G9" s="34"/>
      <c r="H9" s="33"/>
      <c r="I9" s="33"/>
      <c r="J9" s="33">
        <f>$C$29*('E Balans VL '!D10+'E Balans VL '!E10)/100/3.6*1000000</f>
        <v>0</v>
      </c>
      <c r="K9" s="33"/>
      <c r="L9" s="33"/>
      <c r="M9" s="33"/>
      <c r="N9" s="33">
        <f>$C$29*'E Balans VL '!Y10/100/3.6*1000000</f>
        <v>3.5990869386608138</v>
      </c>
      <c r="O9" s="33"/>
      <c r="P9" s="33"/>
      <c r="R9" s="32"/>
    </row>
    <row r="10" spans="1:18">
      <c r="A10" s="32" t="s">
        <v>49</v>
      </c>
      <c r="B10" s="37">
        <f t="shared" si="0"/>
        <v>1487.7280000000001</v>
      </c>
      <c r="C10" s="33"/>
      <c r="D10" s="37">
        <f>IF(ISERROR(TER_ander_gas_kWh/1000),0,TER_ander_gas_kWh/1000)*0.902</f>
        <v>246.69970599999999</v>
      </c>
      <c r="E10" s="33">
        <f>$C$30*'E Balans VL '!I14/100/3.6*1000000</f>
        <v>6.8418347717721106</v>
      </c>
      <c r="F10" s="33">
        <f>$C$30*('E Balans VL '!L14+'E Balans VL '!N14)/100/3.6*1000000</f>
        <v>445.91900875885312</v>
      </c>
      <c r="G10" s="34"/>
      <c r="H10" s="33"/>
      <c r="I10" s="33"/>
      <c r="J10" s="33">
        <f>$C$30*('E Balans VL '!D14+'E Balans VL '!E14)/100/3.6*1000000</f>
        <v>0</v>
      </c>
      <c r="K10" s="33"/>
      <c r="L10" s="33"/>
      <c r="M10" s="33"/>
      <c r="N10" s="33">
        <f>$C$30*'E Balans VL '!Y14/100/3.6*1000000</f>
        <v>1035.5568940688752</v>
      </c>
      <c r="O10" s="33"/>
      <c r="P10" s="33"/>
      <c r="R10" s="32"/>
    </row>
    <row r="11" spans="1:18">
      <c r="A11" s="32" t="s">
        <v>54</v>
      </c>
      <c r="B11" s="37">
        <f t="shared" si="0"/>
        <v>279.423</v>
      </c>
      <c r="C11" s="33"/>
      <c r="D11" s="37">
        <f>IF(ISERROR(TER_onderwijs_gas_kWh/1000),0,TER_onderwijs_gas_kWh/1000)*0.902</f>
        <v>0</v>
      </c>
      <c r="E11" s="33">
        <f>$C$31*'E Balans VL '!I11/100/3.6*1000000</f>
        <v>0.25920157907733754</v>
      </c>
      <c r="F11" s="33">
        <f>$C$31*('E Balans VL '!L11+'E Balans VL '!N11)/100/3.6*1000000</f>
        <v>98.154877824067938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3.0339999999999998</v>
      </c>
      <c r="C12" s="33"/>
      <c r="D12" s="37">
        <f>IF(ISERROR(TER_rest_gas_kWh/1000),0,TER_rest_gas_kWh/1000)*0.902</f>
        <v>198.018766</v>
      </c>
      <c r="E12" s="33">
        <f>$C$32*'E Balans VL '!I8/100/3.6*1000000</f>
        <v>3.6800911661493838E-2</v>
      </c>
      <c r="F12" s="33">
        <f>$C$32*('E Balans VL '!L8+'E Balans VL '!N8)/100/3.6*1000000</f>
        <v>0.60037202597322903</v>
      </c>
      <c r="G12" s="34"/>
      <c r="H12" s="33"/>
      <c r="I12" s="33"/>
      <c r="J12" s="33">
        <f>$C$32*('E Balans VL '!D8+'E Balans VL '!E8)/100/3.6*1000000</f>
        <v>0</v>
      </c>
      <c r="K12" s="33"/>
      <c r="L12" s="33"/>
      <c r="M12" s="33"/>
      <c r="N12" s="33">
        <f>$C$32*'E Balans VL '!Y8/100/3.6*1000000</f>
        <v>0.24083964696145826</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6830.5789999999997</v>
      </c>
      <c r="C16" s="21">
        <f t="shared" ca="1" si="1"/>
        <v>0</v>
      </c>
      <c r="D16" s="21">
        <f t="shared" ca="1" si="1"/>
        <v>2378.7309480000004</v>
      </c>
      <c r="E16" s="21">
        <f t="shared" si="1"/>
        <v>69.225612768804837</v>
      </c>
      <c r="F16" s="21">
        <f t="shared" ca="1" si="1"/>
        <v>1418.7380834203141</v>
      </c>
      <c r="G16" s="21">
        <f t="shared" si="1"/>
        <v>0</v>
      </c>
      <c r="H16" s="21">
        <f t="shared" si="1"/>
        <v>0</v>
      </c>
      <c r="I16" s="21">
        <f t="shared" si="1"/>
        <v>0</v>
      </c>
      <c r="J16" s="21">
        <f t="shared" si="1"/>
        <v>0</v>
      </c>
      <c r="K16" s="21">
        <f t="shared" si="1"/>
        <v>0</v>
      </c>
      <c r="L16" s="21">
        <f t="shared" ca="1" si="1"/>
        <v>0</v>
      </c>
      <c r="M16" s="21">
        <f t="shared" si="1"/>
        <v>0</v>
      </c>
      <c r="N16" s="21">
        <f t="shared" ca="1" si="1"/>
        <v>1047.1062583816704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9.7564725609518482E-2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666.42356588913913</v>
      </c>
      <c r="C20" s="23">
        <f t="shared" ref="C20:P20" ca="1" si="2">C16*C18</f>
        <v>0</v>
      </c>
      <c r="D20" s="23">
        <f t="shared" ca="1" si="2"/>
        <v>480.50365149600009</v>
      </c>
      <c r="E20" s="23">
        <f t="shared" si="2"/>
        <v>15.714214098518699</v>
      </c>
      <c r="F20" s="23">
        <f t="shared" ca="1" si="2"/>
        <v>378.80306827322386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2175.6680000000001</v>
      </c>
      <c r="C26" s="39">
        <f>IF(ISERROR(B26*3.6/1000000/'E Balans VL '!Z12*100),0,B26*3.6/1000000/'E Balans VL '!Z12*100)</f>
        <v>4.6212266005829956E-2</v>
      </c>
      <c r="D26" s="239" t="s">
        <v>689</v>
      </c>
      <c r="F26" s="6"/>
    </row>
    <row r="27" spans="1:18">
      <c r="A27" s="233" t="s">
        <v>52</v>
      </c>
      <c r="B27" s="33">
        <f>IF(ISERROR(TER_horeca_ele_kWh/1000),0,TER_horeca_ele_kWh/1000)</f>
        <v>398.928</v>
      </c>
      <c r="C27" s="39">
        <f>IF(ISERROR(B27*3.6/1000000/'E Balans VL '!Z9*100),0,B27*3.6/1000000/'E Balans VL '!Z9*100)</f>
        <v>3.1019081502754384E-2</v>
      </c>
      <c r="D27" s="239" t="s">
        <v>689</v>
      </c>
      <c r="F27" s="6"/>
    </row>
    <row r="28" spans="1:18">
      <c r="A28" s="173" t="s">
        <v>51</v>
      </c>
      <c r="B28" s="33">
        <f>IF(ISERROR(TER_handel_ele_kWh/1000),0,TER_handel_ele_kWh/1000)</f>
        <v>2136.183</v>
      </c>
      <c r="C28" s="39">
        <f>IF(ISERROR(B28*3.6/1000000/'E Balans VL '!Z13*100),0,B28*3.6/1000000/'E Balans VL '!Z13*100)</f>
        <v>6.1118709665899225E-2</v>
      </c>
      <c r="D28" s="239" t="s">
        <v>689</v>
      </c>
      <c r="F28" s="6"/>
    </row>
    <row r="29" spans="1:18">
      <c r="A29" s="233" t="s">
        <v>50</v>
      </c>
      <c r="B29" s="33">
        <f>IF(ISERROR(TER_gezond_ele_kWh/1000),0,TER_gezond_ele_kWh/1000)</f>
        <v>349.61500000000001</v>
      </c>
      <c r="C29" s="39">
        <f>IF(ISERROR(B29*3.6/1000000/'E Balans VL '!Z10*100),0,B29*3.6/1000000/'E Balans VL '!Z10*100)</f>
        <v>3.8116159078264461E-2</v>
      </c>
      <c r="D29" s="239" t="s">
        <v>689</v>
      </c>
      <c r="F29" s="6"/>
    </row>
    <row r="30" spans="1:18">
      <c r="A30" s="233" t="s">
        <v>49</v>
      </c>
      <c r="B30" s="33">
        <f>IF(ISERROR(TER_ander_ele_kWh/1000),0,TER_ander_ele_kWh/1000)</f>
        <v>1487.7280000000001</v>
      </c>
      <c r="C30" s="39">
        <f>IF(ISERROR(B30*3.6/1000000/'E Balans VL '!Z14*100),0,B30*3.6/1000000/'E Balans VL '!Z14*100)</f>
        <v>0.10886856020903388</v>
      </c>
      <c r="D30" s="239" t="s">
        <v>689</v>
      </c>
      <c r="F30" s="6"/>
    </row>
    <row r="31" spans="1:18">
      <c r="A31" s="233" t="s">
        <v>54</v>
      </c>
      <c r="B31" s="33">
        <f>IF(ISERROR(TER_onderwijs_ele_kWh/1000),0,TER_onderwijs_ele_kWh/1000)</f>
        <v>279.423</v>
      </c>
      <c r="C31" s="39">
        <f>IF(ISERROR(B31*3.6/1000000/'E Balans VL '!Z11*100),0,B31*3.6/1000000/'E Balans VL '!Z11*100)</f>
        <v>5.6122317043798178E-2</v>
      </c>
      <c r="D31" s="239" t="s">
        <v>689</v>
      </c>
    </row>
    <row r="32" spans="1:18">
      <c r="A32" s="233" t="s">
        <v>259</v>
      </c>
      <c r="B32" s="33">
        <f>IF(ISERROR(TER_rest_ele_kWh/1000),0,TER_rest_ele_kWh/1000)</f>
        <v>3.0339999999999998</v>
      </c>
      <c r="C32" s="39">
        <f>IF(ISERROR(B32*3.6/1000000/'E Balans VL '!Z8*100),0,B32*3.6/1000000/'E Balans VL '!Z8*100)</f>
        <v>2.472525875895197E-5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1078.5889999999999</v>
      </c>
      <c r="C5" s="17">
        <f>IF(ISERROR('Eigen informatie GS &amp; warmtenet'!B59),0,'Eigen informatie GS &amp; warmtenet'!B59)</f>
        <v>0</v>
      </c>
      <c r="D5" s="30">
        <f>SUM(D6:D15)</f>
        <v>686.32999599999994</v>
      </c>
      <c r="E5" s="17">
        <f>SUM(E6:E15)</f>
        <v>168.85566063988674</v>
      </c>
      <c r="F5" s="17">
        <f>SUM(F6:F15)</f>
        <v>652.16507224067823</v>
      </c>
      <c r="G5" s="18"/>
      <c r="H5" s="17"/>
      <c r="I5" s="17"/>
      <c r="J5" s="17">
        <f>SUM(J6:J15)</f>
        <v>0.46120468927998526</v>
      </c>
      <c r="K5" s="17"/>
      <c r="L5" s="17"/>
      <c r="M5" s="17"/>
      <c r="N5" s="17">
        <f>SUM(N6:N15)</f>
        <v>98.494036208655061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244.33099999999999</v>
      </c>
      <c r="C8" s="33"/>
      <c r="D8" s="37">
        <f>IF( ISERROR(IND_metaal_Gas_kWH/1000),0,IND_metaal_Gas_kWH/1000)*0.902</f>
        <v>0</v>
      </c>
      <c r="E8" s="33">
        <f>C30*'E Balans VL '!I18/100/3.6*1000000</f>
        <v>7.0181034260647506</v>
      </c>
      <c r="F8" s="33">
        <f>C30*'E Balans VL '!L18/100/3.6*1000000+C30*'E Balans VL '!N18/100/3.6*1000000</f>
        <v>62.666202339547617</v>
      </c>
      <c r="G8" s="34"/>
      <c r="H8" s="33"/>
      <c r="I8" s="33"/>
      <c r="J8" s="40">
        <f>C30*'E Balans VL '!D18/100/3.6*1000000+C30*'E Balans VL '!E18/100/3.6*1000000</f>
        <v>0</v>
      </c>
      <c r="K8" s="33"/>
      <c r="L8" s="33"/>
      <c r="M8" s="33"/>
      <c r="N8" s="33">
        <f>C30*'E Balans VL '!Y18/100/3.6*1000000</f>
        <v>6.634085400232796</v>
      </c>
      <c r="O8" s="33"/>
      <c r="P8" s="33"/>
      <c r="R8" s="32"/>
    </row>
    <row r="9" spans="1:18">
      <c r="A9" s="6" t="s">
        <v>32</v>
      </c>
      <c r="B9" s="37">
        <f t="shared" si="0"/>
        <v>520.39499999999998</v>
      </c>
      <c r="C9" s="33"/>
      <c r="D9" s="37">
        <f>IF( ISERROR(IND_andere_gas_kWh/1000),0,IND_andere_gas_kWh/1000)*0.902</f>
        <v>200.80594600000001</v>
      </c>
      <c r="E9" s="33">
        <f>C31*'E Balans VL '!I19/100/3.6*1000000</f>
        <v>140.85813152708721</v>
      </c>
      <c r="F9" s="33">
        <f>C31*'E Balans VL '!L19/100/3.6*1000000+C31*'E Balans VL '!N19/100/3.6*1000000</f>
        <v>346.6381392944387</v>
      </c>
      <c r="G9" s="34"/>
      <c r="H9" s="33"/>
      <c r="I9" s="33"/>
      <c r="J9" s="40">
        <f>C31*'E Balans VL '!D19/100/3.6*1000000+C31*'E Balans VL '!E19/100/3.6*1000000</f>
        <v>0</v>
      </c>
      <c r="K9" s="33"/>
      <c r="L9" s="33"/>
      <c r="M9" s="33"/>
      <c r="N9" s="33">
        <f>C31*'E Balans VL '!Y19/100/3.6*1000000</f>
        <v>43.995950026776434</v>
      </c>
      <c r="O9" s="33"/>
      <c r="P9" s="33"/>
      <c r="R9" s="32"/>
    </row>
    <row r="10" spans="1:18">
      <c r="A10" s="6" t="s">
        <v>40</v>
      </c>
      <c r="B10" s="37">
        <f t="shared" si="0"/>
        <v>134.61500000000001</v>
      </c>
      <c r="C10" s="33"/>
      <c r="D10" s="37">
        <f>IF( ISERROR(IND_voed_gas_kWh/1000),0,IND_voed_gas_kWh/1000)*0.902</f>
        <v>0</v>
      </c>
      <c r="E10" s="33">
        <f>C32*'E Balans VL '!I20/100/3.6*1000000</f>
        <v>10.979508669914878</v>
      </c>
      <c r="F10" s="33">
        <f>C32*'E Balans VL '!L20/100/3.6*1000000+C32*'E Balans VL '!N20/100/3.6*1000000</f>
        <v>200.72317834294887</v>
      </c>
      <c r="G10" s="34"/>
      <c r="H10" s="33"/>
      <c r="I10" s="33"/>
      <c r="J10" s="40">
        <f>C32*'E Balans VL '!D20/100/3.6*1000000+C32*'E Balans VL '!E20/100/3.6*1000000</f>
        <v>1.7807930493103025E-3</v>
      </c>
      <c r="K10" s="33"/>
      <c r="L10" s="33"/>
      <c r="M10" s="33"/>
      <c r="N10" s="33">
        <f>C32*'E Balans VL '!Y20/100/3.6*1000000</f>
        <v>39.54513694883785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179.24799999999999</v>
      </c>
      <c r="C15" s="33"/>
      <c r="D15" s="37">
        <f>IF( ISERROR(IND_rest_gas_kWh/1000),0,IND_rest_gas_kWh/1000)*0.902</f>
        <v>485.52404999999999</v>
      </c>
      <c r="E15" s="33">
        <f>C37*'E Balans VL '!I15/100/3.6*1000000</f>
        <v>9.9999170168198948</v>
      </c>
      <c r="F15" s="33">
        <f>C37*'E Balans VL '!L15/100/3.6*1000000+C37*'E Balans VL '!N15/100/3.6*1000000</f>
        <v>42.137552263743011</v>
      </c>
      <c r="G15" s="34"/>
      <c r="H15" s="33"/>
      <c r="I15" s="33"/>
      <c r="J15" s="40">
        <f>C37*'E Balans VL '!D15/100/3.6*1000000+C37*'E Balans VL '!E15/100/3.6*1000000</f>
        <v>0.45942389623067498</v>
      </c>
      <c r="K15" s="33"/>
      <c r="L15" s="33"/>
      <c r="M15" s="33"/>
      <c r="N15" s="33">
        <f>C37*'E Balans VL '!Y15/100/3.6*1000000</f>
        <v>8.3188638328079776</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1078.5889999999999</v>
      </c>
      <c r="C18" s="21">
        <f>C5+C16</f>
        <v>0</v>
      </c>
      <c r="D18" s="21">
        <f>MAX((D5+D16),0)</f>
        <v>686.32999599999994</v>
      </c>
      <c r="E18" s="21">
        <f>MAX((E5+E16),0)</f>
        <v>168.85566063988674</v>
      </c>
      <c r="F18" s="21">
        <f>MAX((F5+F16),0)</f>
        <v>652.16507224067823</v>
      </c>
      <c r="G18" s="21"/>
      <c r="H18" s="21"/>
      <c r="I18" s="21"/>
      <c r="J18" s="21">
        <f>MAX((J5+J16),0)</f>
        <v>0.46120468927998526</v>
      </c>
      <c r="K18" s="21"/>
      <c r="L18" s="21">
        <f>MAX((L5+L16),0)</f>
        <v>0</v>
      </c>
      <c r="M18" s="21"/>
      <c r="N18" s="21">
        <f>MAX((N5+N16),0)</f>
        <v>98.494036208655061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9.7564725609518482E-2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105.23223983044493</v>
      </c>
      <c r="C22" s="23">
        <f ca="1">C18*C20</f>
        <v>0</v>
      </c>
      <c r="D22" s="23">
        <f>D18*D20</f>
        <v>138.63865919200001</v>
      </c>
      <c r="E22" s="23">
        <f>E18*E20</f>
        <v>38.330234965254292</v>
      </c>
      <c r="F22" s="23">
        <f>F18*F20</f>
        <v>174.1280742882611</v>
      </c>
      <c r="G22" s="23"/>
      <c r="H22" s="23"/>
      <c r="I22" s="23"/>
      <c r="J22" s="23">
        <f>J18*J20</f>
        <v>0.16326646000511477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244.33099999999999</v>
      </c>
      <c r="C30" s="39">
        <f>IF(ISERROR(B30*3.6/1000000/'E Balans VL '!Z18*100),0,B30*3.6/1000000/'E Balans VL '!Z18*100)</f>
        <v>2.4041546689397807E-2</v>
      </c>
      <c r="D30" s="239" t="s">
        <v>689</v>
      </c>
    </row>
    <row r="31" spans="1:18">
      <c r="A31" s="6" t="s">
        <v>32</v>
      </c>
      <c r="B31" s="37">
        <f>IF( ISERROR(IND_ander_ele_kWh/1000),0,IND_ander_ele_kWh/1000)</f>
        <v>520.39499999999998</v>
      </c>
      <c r="C31" s="39">
        <f>IF(ISERROR(B31*3.6/1000000/'E Balans VL '!Z19*100),0,B31*3.6/1000000/'E Balans VL '!Z19*100)</f>
        <v>2.2662787134997652E-2</v>
      </c>
      <c r="D31" s="239" t="s">
        <v>689</v>
      </c>
    </row>
    <row r="32" spans="1:18">
      <c r="A32" s="173" t="s">
        <v>40</v>
      </c>
      <c r="B32" s="37">
        <f>IF( ISERROR(IND_voed_ele_kWh/1000),0,IND_voed_ele_kWh/1000)</f>
        <v>134.61500000000001</v>
      </c>
      <c r="C32" s="39">
        <f>IF(ISERROR(B32*3.6/1000000/'E Balans VL '!Z20*100),0,B32*3.6/1000000/'E Balans VL '!Z20*100)</f>
        <v>2.5541254890505325E-2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179.24799999999999</v>
      </c>
      <c r="C37" s="39">
        <f>IF(ISERROR(B37*3.6/1000000/'E Balans VL '!Z15*100),0,B37*3.6/1000000/'E Balans VL '!Z15*100)</f>
        <v>1.3813260019256578E-3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1701.6</v>
      </c>
      <c r="C5" s="17">
        <f>'Eigen informatie GS &amp; warmtenet'!B60</f>
        <v>0</v>
      </c>
      <c r="D5" s="30">
        <f>IF(ISERROR(SUM(LB_lb_gas_kWh,LB_rest_gas_kWh)/1000),0,SUM(LB_lb_gas_kWh,LB_rest_gas_kWh)/1000)*0.902</f>
        <v>75.471242000000004</v>
      </c>
      <c r="E5" s="17">
        <f>B17*'E Balans VL '!I25/3.6*1000000/100</f>
        <v>21.442352106500358</v>
      </c>
      <c r="F5" s="17">
        <f>B17*('E Balans VL '!L25/3.6*1000000+'E Balans VL '!N25/3.6*1000000)/100</f>
        <v>5870.9462762710518</v>
      </c>
      <c r="G5" s="18"/>
      <c r="H5" s="17"/>
      <c r="I5" s="17"/>
      <c r="J5" s="17">
        <f>('E Balans VL '!D25+'E Balans VL '!E25)/3.6*1000000*landbouw!B17/100</f>
        <v>255.90129689388175</v>
      </c>
      <c r="K5" s="17"/>
      <c r="L5" s="17">
        <f>L6*(-1)</f>
        <v>0</v>
      </c>
      <c r="M5" s="17"/>
      <c r="N5" s="17">
        <f>N6*(-1)</f>
        <v>31770.000000000004</v>
      </c>
      <c r="O5" s="17"/>
      <c r="P5" s="17"/>
      <c r="R5" s="32"/>
    </row>
    <row r="6" spans="1:18">
      <c r="A6" s="16" t="s">
        <v>496</v>
      </c>
      <c r="B6" s="17" t="s">
        <v>210</v>
      </c>
      <c r="C6" s="17">
        <f>'lokale energieproductie'!O40+'lokale energieproductie'!O33</f>
        <v>15907.5</v>
      </c>
      <c r="D6" s="310">
        <f>('lokale energieproductie'!P33+'lokale energieproductie'!P40)*(-1)</f>
        <v>-30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-31770.000000000004</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1701.6</v>
      </c>
      <c r="C8" s="21">
        <f>C5+C6</f>
        <v>15907.5</v>
      </c>
      <c r="D8" s="21">
        <f>MAX((D5+D6),0)</f>
        <v>45.471242000000004</v>
      </c>
      <c r="E8" s="21">
        <f>MAX((E5+E6),0)</f>
        <v>21.442352106500358</v>
      </c>
      <c r="F8" s="21">
        <f>MAX((F5+F6),0)</f>
        <v>5870.9462762710518</v>
      </c>
      <c r="G8" s="21"/>
      <c r="H8" s="21"/>
      <c r="I8" s="21"/>
      <c r="J8" s="21">
        <f>MAX((J5+J6),0)</f>
        <v>255.90129689388175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9.7564725609518482E-2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166.01613709715664</v>
      </c>
      <c r="C12" s="23">
        <f ca="1">C8*C10</f>
        <v>3.5661894456467462</v>
      </c>
      <c r="D12" s="23">
        <f>D8*D10</f>
        <v>9.1851908840000007</v>
      </c>
      <c r="E12" s="23">
        <f>E8*E10</f>
        <v>4.8674139281755817</v>
      </c>
      <c r="F12" s="23">
        <f>F8*F10</f>
        <v>1567.5426557643709</v>
      </c>
      <c r="G12" s="23"/>
      <c r="H12" s="23"/>
      <c r="I12" s="23"/>
      <c r="J12" s="23">
        <f>J8*J10</f>
        <v>90.589059100434127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0.23731956868109963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200.20410184168901</v>
      </c>
      <c r="C26" s="249">
        <f>B26*'GWP N2O_CH4'!B5</f>
        <v>4204.2861386754694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54.87987718993142</v>
      </c>
      <c r="C27" s="249">
        <f>B27*'GWP N2O_CH4'!B5</f>
        <v>1152.4774209885597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3.0934930424814975</v>
      </c>
      <c r="C28" s="249">
        <f>B28*'GWP N2O_CH4'!B4</f>
        <v>958.98284316926424</v>
      </c>
      <c r="D28" s="50"/>
    </row>
    <row r="29" spans="1:4">
      <c r="A29" s="41" t="s">
        <v>276</v>
      </c>
      <c r="B29" s="249">
        <f>B34*'ha_N2O bodem landbouw'!B4</f>
        <v>11.853682069800191</v>
      </c>
      <c r="C29" s="249">
        <f>B29*'GWP N2O_CH4'!B4</f>
        <v>3674.6414416380594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2.959745967532033E-3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1.1736148656590602E-5</v>
      </c>
      <c r="C5" s="444" t="s">
        <v>210</v>
      </c>
      <c r="D5" s="429">
        <f>SUM(D6:D11)</f>
        <v>2.0005157741311525E-5</v>
      </c>
      <c r="E5" s="429">
        <f>SUM(E6:E11)</f>
        <v>7.0411013257384956E-4</v>
      </c>
      <c r="F5" s="442" t="s">
        <v>210</v>
      </c>
      <c r="G5" s="429">
        <f>SUM(G6:G11)</f>
        <v>0.19029189513723968</v>
      </c>
      <c r="H5" s="429">
        <f>SUM(H6:H11)</f>
        <v>3.6381330924673903E-2</v>
      </c>
      <c r="I5" s="444" t="s">
        <v>210</v>
      </c>
      <c r="J5" s="444" t="s">
        <v>210</v>
      </c>
      <c r="K5" s="444" t="s">
        <v>210</v>
      </c>
      <c r="L5" s="444" t="s">
        <v>210</v>
      </c>
      <c r="M5" s="429">
        <f>SUM(M6:M11)</f>
        <v>1.0250312827721342E-2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9.2070009024302506E-6</v>
      </c>
      <c r="C6" s="883"/>
      <c r="D6" s="883">
        <f>vkm_GW_PW*SUMIFS(TableVerdeelsleutelVkm[CNG],TableVerdeelsleutelVkm[Voertuigtype],"Lichte voertuigen")*SUMIFS(TableECFTransport[EnergieConsumptieFactor (PJ per km)],TableECFTransport[Index],CONCATENATE($A6,"_CNG_CNG"))</f>
        <v>1.364450110113547E-5</v>
      </c>
      <c r="E6" s="883">
        <f>vkm_GW_PW*SUMIFS(TableVerdeelsleutelVkm[LPG],TableVerdeelsleutelVkm[Voertuigtype],"Lichte voertuigen")*SUMIFS(TableECFTransport[EnergieConsumptieFactor (PJ per km)],TableECFTransport[Index],CONCATENATE($A6,"_LPG_LPG"))</f>
        <v>4.8869617191788146E-4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9.8351574732399721E-2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2.5125315549246751E-2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5.5860262831566882E-3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5.0607006099413994E-2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1.1758206517405057E-6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2.2849853163840368E-3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2.5291477541603504E-6</v>
      </c>
      <c r="C8" s="883"/>
      <c r="D8" s="432">
        <f>vkm_NGW_PW*SUMIFS(TableVerdeelsleutelVkm[CNG],TableVerdeelsleutelVkm[Voertuigtype],"Lichte voertuigen")*SUMIFS(TableECFTransport[EnergieConsumptieFactor (PJ per km)],TableECFTransport[Index],CONCATENATE($A8,"_CNG_CNG"))</f>
        <v>6.3606566401760535E-6</v>
      </c>
      <c r="E8" s="432">
        <f>vkm_NGW_PW*SUMIFS(TableVerdeelsleutelVkm[LPG],TableVerdeelsleutelVkm[Voertuigtype],"Lichte voertuigen")*SUMIFS(TableECFTransport[EnergieConsumptieFactor (PJ per km)],TableECFTransport[Index],CONCATENATE($A8,"_LPG_LPG"))</f>
        <v>2.1541396065596812E-4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4.1181562515350059E-2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1.1254835467990653E-2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2.3724493724222389E-3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1.5175179007588584E-4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4.086784759977913E-9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6.8518557583784706E-6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3.2600412934973892</v>
      </c>
      <c r="C14" s="21"/>
      <c r="D14" s="21">
        <f t="shared" ref="D14:M14" si="0">((D5)*10^9/3600)+D12</f>
        <v>5.5569882614754231</v>
      </c>
      <c r="E14" s="21">
        <f t="shared" si="0"/>
        <v>195.58614793718041</v>
      </c>
      <c r="F14" s="21"/>
      <c r="G14" s="21">
        <f t="shared" si="0"/>
        <v>52858.859760344363</v>
      </c>
      <c r="H14" s="21">
        <f t="shared" si="0"/>
        <v>10105.925256853861</v>
      </c>
      <c r="I14" s="21"/>
      <c r="J14" s="21"/>
      <c r="K14" s="21"/>
      <c r="L14" s="21"/>
      <c r="M14" s="21">
        <f t="shared" si="0"/>
        <v>2847.309118811484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9.7564725609518482E-2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0.31806503427577248</v>
      </c>
      <c r="C18" s="23"/>
      <c r="D18" s="23">
        <f t="shared" ref="D18:M18" si="1">D14*D16</f>
        <v>1.1225116288180355</v>
      </c>
      <c r="E18" s="23">
        <f t="shared" si="1"/>
        <v>44.398055581739953</v>
      </c>
      <c r="F18" s="23"/>
      <c r="G18" s="23">
        <f t="shared" si="1"/>
        <v>14113.315556011945</v>
      </c>
      <c r="H18" s="23">
        <f t="shared" si="1"/>
        <v>2516.3753889566115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3.397322981522898E-3</v>
      </c>
      <c r="H50" s="321">
        <f t="shared" si="2"/>
        <v>0</v>
      </c>
      <c r="I50" s="321">
        <f t="shared" si="2"/>
        <v>0</v>
      </c>
      <c r="J50" s="321">
        <f t="shared" si="2"/>
        <v>0</v>
      </c>
      <c r="K50" s="321">
        <f t="shared" si="2"/>
        <v>0</v>
      </c>
      <c r="L50" s="321">
        <f t="shared" si="2"/>
        <v>0</v>
      </c>
      <c r="M50" s="321">
        <f t="shared" si="2"/>
        <v>1.5121765648633343E-4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3.397322981522898E-3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1.5121765648633343E-4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943.70082820080506</v>
      </c>
      <c r="H54" s="21">
        <f t="shared" si="3"/>
        <v>0</v>
      </c>
      <c r="I54" s="21">
        <f t="shared" si="3"/>
        <v>0</v>
      </c>
      <c r="J54" s="21">
        <f t="shared" si="3"/>
        <v>0</v>
      </c>
      <c r="K54" s="21">
        <f t="shared" si="3"/>
        <v>0</v>
      </c>
      <c r="L54" s="21">
        <f t="shared" si="3"/>
        <v>0</v>
      </c>
      <c r="M54" s="21">
        <f t="shared" si="3"/>
        <v>42.004904579537069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9.7564725609518482E-2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251.96812112961496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7285.9749999999995</v>
      </c>
      <c r="D10" s="686">
        <f ca="1">tertiair!C16</f>
        <v>0</v>
      </c>
      <c r="E10" s="686">
        <f ca="1">tertiair!D16</f>
        <v>2378.7309480000004</v>
      </c>
      <c r="F10" s="686">
        <f>tertiair!E16</f>
        <v>69.225612768804837</v>
      </c>
      <c r="G10" s="686">
        <f ca="1">tertiair!F16</f>
        <v>1418.7380834203141</v>
      </c>
      <c r="H10" s="686">
        <f>tertiair!G16</f>
        <v>0</v>
      </c>
      <c r="I10" s="686">
        <f>tertiair!H16</f>
        <v>0</v>
      </c>
      <c r="J10" s="686">
        <f>tertiair!I16</f>
        <v>0</v>
      </c>
      <c r="K10" s="686">
        <f>tertiair!J16</f>
        <v>0</v>
      </c>
      <c r="L10" s="686">
        <f>tertiair!K16</f>
        <v>0</v>
      </c>
      <c r="M10" s="686">
        <f ca="1">tertiair!L16</f>
        <v>0</v>
      </c>
      <c r="N10" s="686">
        <f>tertiair!M16</f>
        <v>0</v>
      </c>
      <c r="O10" s="686">
        <f ca="1">tertiair!N16</f>
        <v>1047.1062583816704</v>
      </c>
      <c r="P10" s="686">
        <f>tertiair!O16</f>
        <v>0</v>
      </c>
      <c r="Q10" s="687">
        <f>tertiair!P16</f>
        <v>0</v>
      </c>
      <c r="R10" s="689">
        <f ca="1">SUM(C10:Q10)</f>
        <v>12199.775902570789</v>
      </c>
      <c r="S10" s="67"/>
    </row>
    <row r="11" spans="1:19" s="454" customFormat="1">
      <c r="A11" s="801" t="s">
        <v>224</v>
      </c>
      <c r="B11" s="806"/>
      <c r="C11" s="686">
        <f>huishoudens!B8</f>
        <v>15197.440216820009</v>
      </c>
      <c r="D11" s="686">
        <f>huishoudens!C8</f>
        <v>0</v>
      </c>
      <c r="E11" s="686">
        <f>huishoudens!D8</f>
        <v>20635.957804000001</v>
      </c>
      <c r="F11" s="686">
        <f>huishoudens!E8</f>
        <v>4790.1713985478536</v>
      </c>
      <c r="G11" s="686">
        <f>huishoudens!F8</f>
        <v>32268.188350383101</v>
      </c>
      <c r="H11" s="686">
        <f>huishoudens!G8</f>
        <v>0</v>
      </c>
      <c r="I11" s="686">
        <f>huishoudens!H8</f>
        <v>0</v>
      </c>
      <c r="J11" s="686">
        <f>huishoudens!I8</f>
        <v>0</v>
      </c>
      <c r="K11" s="686">
        <f>huishoudens!J8</f>
        <v>0</v>
      </c>
      <c r="L11" s="686">
        <f>huishoudens!K8</f>
        <v>0</v>
      </c>
      <c r="M11" s="686">
        <f>huishoudens!L8</f>
        <v>0</v>
      </c>
      <c r="N11" s="686">
        <f>huishoudens!M8</f>
        <v>0</v>
      </c>
      <c r="O11" s="686">
        <f>huishoudens!N8</f>
        <v>12297.479672649792</v>
      </c>
      <c r="P11" s="686">
        <f>huishoudens!O8</f>
        <v>107.87</v>
      </c>
      <c r="Q11" s="687">
        <f>huishoudens!P8</f>
        <v>381.33333333333337</v>
      </c>
      <c r="R11" s="689">
        <f>SUM(C11:Q11)</f>
        <v>85678.440775734081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1078.5889999999999</v>
      </c>
      <c r="D13" s="686">
        <f>industrie!C18</f>
        <v>0</v>
      </c>
      <c r="E13" s="686">
        <f>industrie!D18</f>
        <v>686.32999599999994</v>
      </c>
      <c r="F13" s="686">
        <f>industrie!E18</f>
        <v>168.85566063988674</v>
      </c>
      <c r="G13" s="686">
        <f>industrie!F18</f>
        <v>652.16507224067823</v>
      </c>
      <c r="H13" s="686">
        <f>industrie!G18</f>
        <v>0</v>
      </c>
      <c r="I13" s="686">
        <f>industrie!H18</f>
        <v>0</v>
      </c>
      <c r="J13" s="686">
        <f>industrie!I18</f>
        <v>0</v>
      </c>
      <c r="K13" s="686">
        <f>industrie!J18</f>
        <v>0.46120468927998526</v>
      </c>
      <c r="L13" s="686">
        <f>industrie!K18</f>
        <v>0</v>
      </c>
      <c r="M13" s="686">
        <f>industrie!L18</f>
        <v>0</v>
      </c>
      <c r="N13" s="686">
        <f>industrie!M18</f>
        <v>0</v>
      </c>
      <c r="O13" s="686">
        <f>industrie!N18</f>
        <v>98.494036208655061</v>
      </c>
      <c r="P13" s="686">
        <f>industrie!O18</f>
        <v>0</v>
      </c>
      <c r="Q13" s="687">
        <f>industrie!P18</f>
        <v>0</v>
      </c>
      <c r="R13" s="689">
        <f>SUM(C13:Q13)</f>
        <v>2684.8949697784997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23562.004216820009</v>
      </c>
      <c r="D16" s="721">
        <f t="shared" ref="D16:R16" ca="1" si="0">SUM(D9:D15)</f>
        <v>0</v>
      </c>
      <c r="E16" s="721">
        <f t="shared" ca="1" si="0"/>
        <v>23701.018748000002</v>
      </c>
      <c r="F16" s="721">
        <f t="shared" si="0"/>
        <v>5028.2526719565458</v>
      </c>
      <c r="G16" s="721">
        <f t="shared" ca="1" si="0"/>
        <v>34339.091506044089</v>
      </c>
      <c r="H16" s="721">
        <f t="shared" si="0"/>
        <v>0</v>
      </c>
      <c r="I16" s="721">
        <f t="shared" si="0"/>
        <v>0</v>
      </c>
      <c r="J16" s="721">
        <f t="shared" si="0"/>
        <v>0</v>
      </c>
      <c r="K16" s="721">
        <f t="shared" si="0"/>
        <v>0.46120468927998526</v>
      </c>
      <c r="L16" s="721">
        <f t="shared" si="0"/>
        <v>0</v>
      </c>
      <c r="M16" s="721">
        <f t="shared" ca="1" si="0"/>
        <v>0</v>
      </c>
      <c r="N16" s="721">
        <f t="shared" si="0"/>
        <v>0</v>
      </c>
      <c r="O16" s="721">
        <f t="shared" ca="1" si="0"/>
        <v>13443.079967240117</v>
      </c>
      <c r="P16" s="721">
        <f t="shared" si="0"/>
        <v>107.87</v>
      </c>
      <c r="Q16" s="721">
        <f t="shared" si="0"/>
        <v>381.33333333333337</v>
      </c>
      <c r="R16" s="721">
        <f t="shared" ca="1" si="0"/>
        <v>100563.11164808337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943.70082820080506</v>
      </c>
      <c r="I19" s="686">
        <f>transport!H54</f>
        <v>0</v>
      </c>
      <c r="J19" s="686">
        <f>transport!I54</f>
        <v>0</v>
      </c>
      <c r="K19" s="686">
        <f>transport!J54</f>
        <v>0</v>
      </c>
      <c r="L19" s="686">
        <f>transport!K54</f>
        <v>0</v>
      </c>
      <c r="M19" s="686">
        <f>transport!L54</f>
        <v>0</v>
      </c>
      <c r="N19" s="686">
        <f>transport!M54</f>
        <v>42.004904579537069</v>
      </c>
      <c r="O19" s="686">
        <f>transport!N54</f>
        <v>0</v>
      </c>
      <c r="P19" s="686">
        <f>transport!O54</f>
        <v>0</v>
      </c>
      <c r="Q19" s="687">
        <f>transport!P54</f>
        <v>0</v>
      </c>
      <c r="R19" s="689">
        <f>SUM(C19:Q19)</f>
        <v>985.70573278034215</v>
      </c>
      <c r="S19" s="67"/>
    </row>
    <row r="20" spans="1:19" s="454" customFormat="1">
      <c r="A20" s="801" t="s">
        <v>306</v>
      </c>
      <c r="B20" s="806"/>
      <c r="C20" s="686">
        <f>transport!B14</f>
        <v>3.2600412934973892</v>
      </c>
      <c r="D20" s="686">
        <f>transport!C14</f>
        <v>0</v>
      </c>
      <c r="E20" s="686">
        <f>transport!D14</f>
        <v>5.5569882614754231</v>
      </c>
      <c r="F20" s="686">
        <f>transport!E14</f>
        <v>195.58614793718041</v>
      </c>
      <c r="G20" s="686">
        <f>transport!F14</f>
        <v>0</v>
      </c>
      <c r="H20" s="686">
        <f>transport!G14</f>
        <v>52858.859760344363</v>
      </c>
      <c r="I20" s="686">
        <f>transport!H14</f>
        <v>10105.925256853861</v>
      </c>
      <c r="J20" s="686">
        <f>transport!I14</f>
        <v>0</v>
      </c>
      <c r="K20" s="686">
        <f>transport!J14</f>
        <v>0</v>
      </c>
      <c r="L20" s="686">
        <f>transport!K14</f>
        <v>0</v>
      </c>
      <c r="M20" s="686">
        <f>transport!L14</f>
        <v>0</v>
      </c>
      <c r="N20" s="686">
        <f>transport!M14</f>
        <v>2847.309118811484</v>
      </c>
      <c r="O20" s="686">
        <f>transport!N14</f>
        <v>0</v>
      </c>
      <c r="P20" s="686">
        <f>transport!O14</f>
        <v>0</v>
      </c>
      <c r="Q20" s="687">
        <f>transport!P14</f>
        <v>0</v>
      </c>
      <c r="R20" s="689">
        <f>SUM(C20:Q20)</f>
        <v>66016.497313501852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3.2600412934973892</v>
      </c>
      <c r="D22" s="804">
        <f t="shared" ref="D22:R22" si="1">SUM(D18:D21)</f>
        <v>0</v>
      </c>
      <c r="E22" s="804">
        <f t="shared" si="1"/>
        <v>5.5569882614754231</v>
      </c>
      <c r="F22" s="804">
        <f t="shared" si="1"/>
        <v>195.58614793718041</v>
      </c>
      <c r="G22" s="804">
        <f t="shared" si="1"/>
        <v>0</v>
      </c>
      <c r="H22" s="804">
        <f t="shared" si="1"/>
        <v>53802.560588545166</v>
      </c>
      <c r="I22" s="804">
        <f t="shared" si="1"/>
        <v>10105.925256853861</v>
      </c>
      <c r="J22" s="804">
        <f t="shared" si="1"/>
        <v>0</v>
      </c>
      <c r="K22" s="804">
        <f t="shared" si="1"/>
        <v>0</v>
      </c>
      <c r="L22" s="804">
        <f t="shared" si="1"/>
        <v>0</v>
      </c>
      <c r="M22" s="804">
        <f t="shared" si="1"/>
        <v>0</v>
      </c>
      <c r="N22" s="804">
        <f t="shared" si="1"/>
        <v>2889.3140233910212</v>
      </c>
      <c r="O22" s="804">
        <f t="shared" si="1"/>
        <v>0</v>
      </c>
      <c r="P22" s="804">
        <f t="shared" si="1"/>
        <v>0</v>
      </c>
      <c r="Q22" s="804">
        <f t="shared" si="1"/>
        <v>0</v>
      </c>
      <c r="R22" s="804">
        <f t="shared" si="1"/>
        <v>67002.2030462822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1701.6</v>
      </c>
      <c r="D24" s="686">
        <f>+landbouw!C8</f>
        <v>15907.5</v>
      </c>
      <c r="E24" s="686">
        <f>+landbouw!D8</f>
        <v>45.471242000000004</v>
      </c>
      <c r="F24" s="686">
        <f>+landbouw!E8</f>
        <v>21.442352106500358</v>
      </c>
      <c r="G24" s="686">
        <f>+landbouw!F8</f>
        <v>5870.9462762710518</v>
      </c>
      <c r="H24" s="686">
        <f>+landbouw!G8</f>
        <v>0</v>
      </c>
      <c r="I24" s="686">
        <f>+landbouw!H8</f>
        <v>0</v>
      </c>
      <c r="J24" s="686">
        <f>+landbouw!I8</f>
        <v>0</v>
      </c>
      <c r="K24" s="686">
        <f>+landbouw!J8</f>
        <v>255.90129689388175</v>
      </c>
      <c r="L24" s="686">
        <f>+landbouw!K8</f>
        <v>0</v>
      </c>
      <c r="M24" s="686">
        <f>+landbouw!L8</f>
        <v>0</v>
      </c>
      <c r="N24" s="686">
        <f>+landbouw!M8</f>
        <v>0</v>
      </c>
      <c r="O24" s="686">
        <f>+landbouw!N8</f>
        <v>0</v>
      </c>
      <c r="P24" s="686">
        <f>+landbouw!O8</f>
        <v>0</v>
      </c>
      <c r="Q24" s="687">
        <f>+landbouw!P8</f>
        <v>0</v>
      </c>
      <c r="R24" s="689">
        <f>SUM(C24:Q24)</f>
        <v>23802.861167271429</v>
      </c>
      <c r="S24" s="67"/>
    </row>
    <row r="25" spans="1:19" s="454" customFormat="1" ht="15" thickBot="1">
      <c r="A25" s="823" t="s">
        <v>856</v>
      </c>
      <c r="B25" s="991"/>
      <c r="C25" s="992">
        <f>IF(Onbekend_ele_kWh="---",0,Onbekend_ele_kWh)/1000+IF(REST_rest_ele_kWh="---",0,REST_rest_ele_kWh)/1000</f>
        <v>411.87400000000002</v>
      </c>
      <c r="D25" s="992"/>
      <c r="E25" s="992">
        <f>IF(onbekend_gas_kWh="---",0,onbekend_gas_kWh)/1000+IF(REST_rest_gas_kWh="---",0,REST_rest_gas_kWh)/1000</f>
        <v>3705.4580000000001</v>
      </c>
      <c r="F25" s="992"/>
      <c r="G25" s="992"/>
      <c r="H25" s="992"/>
      <c r="I25" s="992"/>
      <c r="J25" s="992"/>
      <c r="K25" s="992"/>
      <c r="L25" s="992"/>
      <c r="M25" s="992"/>
      <c r="N25" s="992"/>
      <c r="O25" s="992"/>
      <c r="P25" s="992"/>
      <c r="Q25" s="993"/>
      <c r="R25" s="689">
        <f>SUM(C25:Q25)</f>
        <v>4117.3320000000003</v>
      </c>
      <c r="S25" s="67"/>
    </row>
    <row r="26" spans="1:19" s="454" customFormat="1" ht="15.75" thickBot="1">
      <c r="A26" s="694" t="s">
        <v>857</v>
      </c>
      <c r="B26" s="809"/>
      <c r="C26" s="804">
        <f>SUM(C24:C25)</f>
        <v>2113.4740000000002</v>
      </c>
      <c r="D26" s="804">
        <f t="shared" ref="D26:R26" si="2">SUM(D24:D25)</f>
        <v>15907.5</v>
      </c>
      <c r="E26" s="804">
        <f t="shared" si="2"/>
        <v>3750.9292420000002</v>
      </c>
      <c r="F26" s="804">
        <f t="shared" si="2"/>
        <v>21.442352106500358</v>
      </c>
      <c r="G26" s="804">
        <f t="shared" si="2"/>
        <v>5870.9462762710518</v>
      </c>
      <c r="H26" s="804">
        <f t="shared" si="2"/>
        <v>0</v>
      </c>
      <c r="I26" s="804">
        <f t="shared" si="2"/>
        <v>0</v>
      </c>
      <c r="J26" s="804">
        <f t="shared" si="2"/>
        <v>0</v>
      </c>
      <c r="K26" s="804">
        <f t="shared" si="2"/>
        <v>255.90129689388175</v>
      </c>
      <c r="L26" s="804">
        <f t="shared" si="2"/>
        <v>0</v>
      </c>
      <c r="M26" s="804">
        <f t="shared" si="2"/>
        <v>0</v>
      </c>
      <c r="N26" s="804">
        <f t="shared" si="2"/>
        <v>0</v>
      </c>
      <c r="O26" s="804">
        <f t="shared" si="2"/>
        <v>0</v>
      </c>
      <c r="P26" s="804">
        <f t="shared" si="2"/>
        <v>0</v>
      </c>
      <c r="Q26" s="804">
        <f t="shared" si="2"/>
        <v>0</v>
      </c>
      <c r="R26" s="804">
        <f t="shared" si="2"/>
        <v>27920.193167271427</v>
      </c>
      <c r="S26" s="67"/>
    </row>
    <row r="27" spans="1:19" s="454" customFormat="1" ht="17.25" thickTop="1" thickBot="1">
      <c r="A27" s="695" t="s">
        <v>115</v>
      </c>
      <c r="B27" s="796"/>
      <c r="C27" s="696">
        <f ca="1">C22+C16+C26</f>
        <v>25678.73825811351</v>
      </c>
      <c r="D27" s="696">
        <f t="shared" ref="D27:R27" ca="1" si="3">D22+D16+D26</f>
        <v>15907.5</v>
      </c>
      <c r="E27" s="696">
        <f t="shared" ca="1" si="3"/>
        <v>27457.504978261481</v>
      </c>
      <c r="F27" s="696">
        <f t="shared" si="3"/>
        <v>5245.2811720002264</v>
      </c>
      <c r="G27" s="696">
        <f t="shared" ca="1" si="3"/>
        <v>40210.037782315143</v>
      </c>
      <c r="H27" s="696">
        <f t="shared" si="3"/>
        <v>53802.560588545166</v>
      </c>
      <c r="I27" s="696">
        <f t="shared" si="3"/>
        <v>10105.925256853861</v>
      </c>
      <c r="J27" s="696">
        <f t="shared" si="3"/>
        <v>0</v>
      </c>
      <c r="K27" s="696">
        <f t="shared" si="3"/>
        <v>256.36250158316176</v>
      </c>
      <c r="L27" s="696">
        <f t="shared" si="3"/>
        <v>0</v>
      </c>
      <c r="M27" s="696">
        <f t="shared" ca="1" si="3"/>
        <v>0</v>
      </c>
      <c r="N27" s="696">
        <f t="shared" si="3"/>
        <v>2889.3140233910212</v>
      </c>
      <c r="O27" s="696">
        <f t="shared" ca="1" si="3"/>
        <v>13443.079967240117</v>
      </c>
      <c r="P27" s="696">
        <f t="shared" si="3"/>
        <v>107.87</v>
      </c>
      <c r="Q27" s="696">
        <f t="shared" si="3"/>
        <v>381.33333333333337</v>
      </c>
      <c r="R27" s="696">
        <f t="shared" ca="1" si="3"/>
        <v>195485.50786163699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710.85415167281144</v>
      </c>
      <c r="D40" s="686">
        <f ca="1">tertiair!C20</f>
        <v>0</v>
      </c>
      <c r="E40" s="686">
        <f ca="1">tertiair!D20</f>
        <v>480.50365149600009</v>
      </c>
      <c r="F40" s="686">
        <f>tertiair!E20</f>
        <v>15.714214098518699</v>
      </c>
      <c r="G40" s="686">
        <f ca="1">tertiair!F20</f>
        <v>378.80306827322386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1585.8750855405542</v>
      </c>
    </row>
    <row r="41" spans="1:18">
      <c r="A41" s="814" t="s">
        <v>224</v>
      </c>
      <c r="B41" s="821"/>
      <c r="C41" s="686">
        <f ca="1">huishoudens!B12</f>
        <v>1482.7340847211053</v>
      </c>
      <c r="D41" s="686">
        <f ca="1">huishoudens!C12</f>
        <v>0</v>
      </c>
      <c r="E41" s="686">
        <f>huishoudens!D12</f>
        <v>4168.4634764080001</v>
      </c>
      <c r="F41" s="686">
        <f>huishoudens!E12</f>
        <v>1087.3689074703627</v>
      </c>
      <c r="G41" s="686">
        <f>huishoudens!F12</f>
        <v>8615.6062895522882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15354.172758151755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105.23223983044493</v>
      </c>
      <c r="D43" s="686">
        <f ca="1">industrie!C22</f>
        <v>0</v>
      </c>
      <c r="E43" s="686">
        <f>industrie!D22</f>
        <v>138.63865919200001</v>
      </c>
      <c r="F43" s="686">
        <f>industrie!E22</f>
        <v>38.330234965254292</v>
      </c>
      <c r="G43" s="686">
        <f>industrie!F22</f>
        <v>174.1280742882611</v>
      </c>
      <c r="H43" s="686">
        <f>industrie!G22</f>
        <v>0</v>
      </c>
      <c r="I43" s="686">
        <f>industrie!H22</f>
        <v>0</v>
      </c>
      <c r="J43" s="686">
        <f>industrie!I22</f>
        <v>0</v>
      </c>
      <c r="K43" s="686">
        <f>industrie!J22</f>
        <v>0.16326646000511477</v>
      </c>
      <c r="L43" s="686">
        <f>industrie!K22</f>
        <v>0</v>
      </c>
      <c r="M43" s="686">
        <f>industrie!L22</f>
        <v>0</v>
      </c>
      <c r="N43" s="686">
        <f>industrie!M22</f>
        <v>0</v>
      </c>
      <c r="O43" s="686">
        <f>industrie!N22</f>
        <v>0</v>
      </c>
      <c r="P43" s="686">
        <f>industrie!O22</f>
        <v>0</v>
      </c>
      <c r="Q43" s="763">
        <f>industrie!P22</f>
        <v>0</v>
      </c>
      <c r="R43" s="841">
        <f t="shared" ca="1" si="4"/>
        <v>456.49247473596546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2298.8204762243618</v>
      </c>
      <c r="D46" s="721">
        <f t="shared" ref="D46:Q46" ca="1" si="5">SUM(D39:D45)</f>
        <v>0</v>
      </c>
      <c r="E46" s="721">
        <f t="shared" ca="1" si="5"/>
        <v>4787.6057870960003</v>
      </c>
      <c r="F46" s="721">
        <f t="shared" si="5"/>
        <v>1141.4133565341356</v>
      </c>
      <c r="G46" s="721">
        <f t="shared" ca="1" si="5"/>
        <v>9168.5374321137733</v>
      </c>
      <c r="H46" s="721">
        <f t="shared" si="5"/>
        <v>0</v>
      </c>
      <c r="I46" s="721">
        <f t="shared" si="5"/>
        <v>0</v>
      </c>
      <c r="J46" s="721">
        <f t="shared" si="5"/>
        <v>0</v>
      </c>
      <c r="K46" s="721">
        <f t="shared" si="5"/>
        <v>0.16326646000511477</v>
      </c>
      <c r="L46" s="721">
        <f t="shared" si="5"/>
        <v>0</v>
      </c>
      <c r="M46" s="721">
        <f t="shared" ca="1" si="5"/>
        <v>0</v>
      </c>
      <c r="N46" s="721">
        <f t="shared" si="5"/>
        <v>0</v>
      </c>
      <c r="O46" s="721">
        <f t="shared" ca="1" si="5"/>
        <v>0</v>
      </c>
      <c r="P46" s="721">
        <f t="shared" si="5"/>
        <v>0</v>
      </c>
      <c r="Q46" s="721">
        <f t="shared" si="5"/>
        <v>0</v>
      </c>
      <c r="R46" s="721">
        <f ca="1">SUM(R39:R45)</f>
        <v>17396.540318428273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251.96812112961496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251.96812112961496</v>
      </c>
    </row>
    <row r="50" spans="1:18">
      <c r="A50" s="817" t="s">
        <v>306</v>
      </c>
      <c r="B50" s="827"/>
      <c r="C50" s="692">
        <f ca="1">transport!B18</f>
        <v>0.31806503427577248</v>
      </c>
      <c r="D50" s="692">
        <f>transport!C18</f>
        <v>0</v>
      </c>
      <c r="E50" s="692">
        <f>transport!D18</f>
        <v>1.1225116288180355</v>
      </c>
      <c r="F50" s="692">
        <f>transport!E18</f>
        <v>44.398055581739953</v>
      </c>
      <c r="G50" s="692">
        <f>transport!F18</f>
        <v>0</v>
      </c>
      <c r="H50" s="692">
        <f>transport!G18</f>
        <v>14113.315556011945</v>
      </c>
      <c r="I50" s="692">
        <f>transport!H18</f>
        <v>2516.3753889566115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16675.52957721339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0.31806503427577248</v>
      </c>
      <c r="D52" s="721">
        <f t="shared" ref="D52:Q52" ca="1" si="6">SUM(D48:D51)</f>
        <v>0</v>
      </c>
      <c r="E52" s="721">
        <f t="shared" si="6"/>
        <v>1.1225116288180355</v>
      </c>
      <c r="F52" s="721">
        <f t="shared" si="6"/>
        <v>44.398055581739953</v>
      </c>
      <c r="G52" s="721">
        <f t="shared" si="6"/>
        <v>0</v>
      </c>
      <c r="H52" s="721">
        <f t="shared" si="6"/>
        <v>14365.28367714156</v>
      </c>
      <c r="I52" s="721">
        <f t="shared" si="6"/>
        <v>2516.3753889566115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16927.497698343006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166.01613709715664</v>
      </c>
      <c r="D54" s="692">
        <f ca="1">+landbouw!C12</f>
        <v>3.5661894456467462</v>
      </c>
      <c r="E54" s="692">
        <f>+landbouw!D12</f>
        <v>9.1851908840000007</v>
      </c>
      <c r="F54" s="692">
        <f>+landbouw!E12</f>
        <v>4.8674139281755817</v>
      </c>
      <c r="G54" s="692">
        <f>+landbouw!F12</f>
        <v>1567.5426557643709</v>
      </c>
      <c r="H54" s="692">
        <f>+landbouw!G12</f>
        <v>0</v>
      </c>
      <c r="I54" s="692">
        <f>+landbouw!H12</f>
        <v>0</v>
      </c>
      <c r="J54" s="692">
        <f>+landbouw!I12</f>
        <v>0</v>
      </c>
      <c r="K54" s="692">
        <f>+landbouw!J12</f>
        <v>90.589059100434127</v>
      </c>
      <c r="L54" s="692">
        <f>+landbouw!K12</f>
        <v>0</v>
      </c>
      <c r="M54" s="692">
        <f>+landbouw!L12</f>
        <v>0</v>
      </c>
      <c r="N54" s="692">
        <f>+landbouw!M12</f>
        <v>0</v>
      </c>
      <c r="O54" s="692">
        <f>+landbouw!N12</f>
        <v>0</v>
      </c>
      <c r="P54" s="692">
        <f>+landbouw!O12</f>
        <v>0</v>
      </c>
      <c r="Q54" s="693">
        <f>+landbouw!P12</f>
        <v>0</v>
      </c>
      <c r="R54" s="720">
        <f ca="1">SUM(C54:Q54)</f>
        <v>1841.766646219784</v>
      </c>
    </row>
    <row r="55" spans="1:18" ht="15" thickBot="1">
      <c r="A55" s="817" t="s">
        <v>856</v>
      </c>
      <c r="B55" s="827"/>
      <c r="C55" s="692">
        <f ca="1">C25*'EF ele_warmte'!B12</f>
        <v>40.184373795694817</v>
      </c>
      <c r="D55" s="692"/>
      <c r="E55" s="692">
        <f>E25*EF_CO2_aardgas</f>
        <v>748.50251600000001</v>
      </c>
      <c r="F55" s="692"/>
      <c r="G55" s="692"/>
      <c r="H55" s="692"/>
      <c r="I55" s="692"/>
      <c r="J55" s="692"/>
      <c r="K55" s="692"/>
      <c r="L55" s="692"/>
      <c r="M55" s="692"/>
      <c r="N55" s="692"/>
      <c r="O55" s="692"/>
      <c r="P55" s="692"/>
      <c r="Q55" s="693"/>
      <c r="R55" s="720">
        <f ca="1">SUM(C55:Q55)</f>
        <v>788.68688979569481</v>
      </c>
    </row>
    <row r="56" spans="1:18" ht="15.75" thickBot="1">
      <c r="A56" s="815" t="s">
        <v>857</v>
      </c>
      <c r="B56" s="828"/>
      <c r="C56" s="721">
        <f ca="1">SUM(C54:C55)</f>
        <v>206.20051089285147</v>
      </c>
      <c r="D56" s="721">
        <f t="shared" ref="D56:Q56" ca="1" si="7">SUM(D54:D55)</f>
        <v>3.5661894456467462</v>
      </c>
      <c r="E56" s="721">
        <f t="shared" si="7"/>
        <v>757.68770688400002</v>
      </c>
      <c r="F56" s="721">
        <f t="shared" si="7"/>
        <v>4.8674139281755817</v>
      </c>
      <c r="G56" s="721">
        <f t="shared" si="7"/>
        <v>1567.5426557643709</v>
      </c>
      <c r="H56" s="721">
        <f t="shared" si="7"/>
        <v>0</v>
      </c>
      <c r="I56" s="721">
        <f t="shared" si="7"/>
        <v>0</v>
      </c>
      <c r="J56" s="721">
        <f t="shared" si="7"/>
        <v>0</v>
      </c>
      <c r="K56" s="721">
        <f t="shared" si="7"/>
        <v>90.589059100434127</v>
      </c>
      <c r="L56" s="721">
        <f t="shared" si="7"/>
        <v>0</v>
      </c>
      <c r="M56" s="721">
        <f t="shared" si="7"/>
        <v>0</v>
      </c>
      <c r="N56" s="721">
        <f t="shared" si="7"/>
        <v>0</v>
      </c>
      <c r="O56" s="721">
        <f t="shared" si="7"/>
        <v>0</v>
      </c>
      <c r="P56" s="721">
        <f t="shared" si="7"/>
        <v>0</v>
      </c>
      <c r="Q56" s="722">
        <f t="shared" si="7"/>
        <v>0</v>
      </c>
      <c r="R56" s="723">
        <f ca="1">SUM(R54:R55)</f>
        <v>2630.4535360154787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2505.3390521514889</v>
      </c>
      <c r="D61" s="729">
        <f t="shared" ref="D61:Q61" ca="1" si="8">D46+D52+D56</f>
        <v>3.5661894456467462</v>
      </c>
      <c r="E61" s="729">
        <f t="shared" ca="1" si="8"/>
        <v>5546.4160056088185</v>
      </c>
      <c r="F61" s="729">
        <f t="shared" si="8"/>
        <v>1190.6788260440512</v>
      </c>
      <c r="G61" s="729">
        <f t="shared" ca="1" si="8"/>
        <v>10736.080087878145</v>
      </c>
      <c r="H61" s="729">
        <f t="shared" si="8"/>
        <v>14365.28367714156</v>
      </c>
      <c r="I61" s="729">
        <f t="shared" si="8"/>
        <v>2516.3753889566115</v>
      </c>
      <c r="J61" s="729">
        <f t="shared" si="8"/>
        <v>0</v>
      </c>
      <c r="K61" s="729">
        <f t="shared" si="8"/>
        <v>90.752325560439246</v>
      </c>
      <c r="L61" s="729">
        <f t="shared" si="8"/>
        <v>0</v>
      </c>
      <c r="M61" s="729">
        <f t="shared" ca="1" si="8"/>
        <v>0</v>
      </c>
      <c r="N61" s="729">
        <f t="shared" si="8"/>
        <v>0</v>
      </c>
      <c r="O61" s="729">
        <f t="shared" ca="1" si="8"/>
        <v>0</v>
      </c>
      <c r="P61" s="729">
        <f t="shared" si="8"/>
        <v>0</v>
      </c>
      <c r="Q61" s="729">
        <f t="shared" si="8"/>
        <v>0</v>
      </c>
      <c r="R61" s="729">
        <f ca="1">R46+R52+R56</f>
        <v>36954.491552786756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9.7564725609518468E-2</v>
      </c>
      <c r="D63" s="772">
        <f t="shared" ca="1" si="9"/>
        <v>2.2418289773042566E-4</v>
      </c>
      <c r="E63" s="998">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3229.6466671762428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11113.505660377359</v>
      </c>
      <c r="C76" s="739">
        <f>'lokale energieproductie'!B8*IFERROR(SUM(D76:H76)/SUM(D76:O76),0)</f>
        <v>10.494339622641508</v>
      </c>
      <c r="D76" s="1008">
        <f>'lokale energieproductie'!C8</f>
        <v>12.345596803728982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13073.987015148994</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2.4938105543532547</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14343.152327553602</v>
      </c>
      <c r="C78" s="744">
        <f>SUM(C72:C77)</f>
        <v>10.494339622641508</v>
      </c>
      <c r="D78" s="745">
        <f t="shared" ref="D78:H78" si="10">SUM(D76:D77)</f>
        <v>12.345596803728982</v>
      </c>
      <c r="E78" s="745">
        <f t="shared" si="10"/>
        <v>0</v>
      </c>
      <c r="F78" s="745">
        <f t="shared" si="10"/>
        <v>0</v>
      </c>
      <c r="G78" s="745">
        <f t="shared" si="10"/>
        <v>0</v>
      </c>
      <c r="H78" s="745">
        <f t="shared" si="10"/>
        <v>0</v>
      </c>
      <c r="I78" s="745">
        <f>SUM(I76:I77)</f>
        <v>0</v>
      </c>
      <c r="J78" s="745">
        <f>SUM(J76:J77)</f>
        <v>13073.987015148994</v>
      </c>
      <c r="K78" s="745">
        <f t="shared" ref="K78:L78" si="11">SUM(K76:K77)</f>
        <v>0</v>
      </c>
      <c r="L78" s="745">
        <f t="shared" si="11"/>
        <v>0</v>
      </c>
      <c r="M78" s="745">
        <f>SUM(M76:M77)</f>
        <v>0</v>
      </c>
      <c r="N78" s="745">
        <f>SUM(N76:N77)</f>
        <v>0</v>
      </c>
      <c r="O78" s="852">
        <f>SUM(O76:O77)</f>
        <v>0</v>
      </c>
      <c r="P78" s="746">
        <v>0</v>
      </c>
      <c r="Q78" s="746">
        <f>SUM(Q76:Q77)</f>
        <v>2.4938105543532547</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15892.492924528302</v>
      </c>
      <c r="C87" s="755">
        <f>'lokale energieproductie'!B17*IFERROR(SUM(D87:H87)/SUM(D87:O87),0)</f>
        <v>15.007075471698114</v>
      </c>
      <c r="D87" s="766">
        <f>'lokale energieproductie'!C17</f>
        <v>17.654403196271019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18696.012984851011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3.5661894456467462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15892.492924528302</v>
      </c>
      <c r="C90" s="744">
        <f>SUM(C87:C89)</f>
        <v>15.007075471698114</v>
      </c>
      <c r="D90" s="744">
        <f t="shared" ref="D90:H90" si="12">SUM(D87:D89)</f>
        <v>17.654403196271019</v>
      </c>
      <c r="E90" s="744">
        <f t="shared" si="12"/>
        <v>0</v>
      </c>
      <c r="F90" s="744">
        <f t="shared" si="12"/>
        <v>0</v>
      </c>
      <c r="G90" s="744">
        <f t="shared" si="12"/>
        <v>0</v>
      </c>
      <c r="H90" s="744">
        <f t="shared" si="12"/>
        <v>0</v>
      </c>
      <c r="I90" s="744">
        <f>SUM(I87:I89)</f>
        <v>0</v>
      </c>
      <c r="J90" s="744">
        <f>SUM(J87:J89)</f>
        <v>18696.012984851011</v>
      </c>
      <c r="K90" s="744">
        <f t="shared" ref="K90:L90" si="13">SUM(K87:K89)</f>
        <v>0</v>
      </c>
      <c r="L90" s="744">
        <f t="shared" si="13"/>
        <v>0</v>
      </c>
      <c r="M90" s="744">
        <f>SUM(M87:M89)</f>
        <v>0</v>
      </c>
      <c r="N90" s="744">
        <f>SUM(N87:N89)</f>
        <v>0</v>
      </c>
      <c r="O90" s="744">
        <f>SUM(O87:O89)</f>
        <v>0</v>
      </c>
      <c r="P90" s="744">
        <v>0</v>
      </c>
      <c r="Q90" s="744">
        <f>SUM(Q87:Q89)</f>
        <v>3.5661894456467462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3229.6466671762428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11124</v>
      </c>
      <c r="C8" s="556">
        <f>B49</f>
        <v>12.345596803728982</v>
      </c>
      <c r="D8" s="1015"/>
      <c r="E8" s="1015">
        <f>E49</f>
        <v>0</v>
      </c>
      <c r="F8" s="1016"/>
      <c r="G8" s="557"/>
      <c r="H8" s="1015">
        <f>I49</f>
        <v>0</v>
      </c>
      <c r="I8" s="1015">
        <f>G49+F49</f>
        <v>0</v>
      </c>
      <c r="J8" s="1015">
        <f>H49+D49+C49</f>
        <v>13073.987015148994</v>
      </c>
      <c r="K8" s="1015"/>
      <c r="L8" s="1015"/>
      <c r="M8" s="1015"/>
      <c r="N8" s="558"/>
      <c r="O8" s="559">
        <f>C8*$C$12+D8*$D$12+E8*$E$12+F8*$F$12+G8*$G$12+H8*$H$12+I8*$I$12+J8*$J$12</f>
        <v>2.4938105543532547</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14353.646667176243</v>
      </c>
      <c r="C10" s="569">
        <f t="shared" ref="C10:L10" si="0">SUM(C8:C9)</f>
        <v>12.345596803728982</v>
      </c>
      <c r="D10" s="569">
        <f t="shared" si="0"/>
        <v>0</v>
      </c>
      <c r="E10" s="569">
        <f t="shared" si="0"/>
        <v>0</v>
      </c>
      <c r="F10" s="569">
        <f t="shared" si="0"/>
        <v>0</v>
      </c>
      <c r="G10" s="569">
        <f t="shared" si="0"/>
        <v>0</v>
      </c>
      <c r="H10" s="569">
        <f t="shared" si="0"/>
        <v>0</v>
      </c>
      <c r="I10" s="569">
        <f t="shared" si="0"/>
        <v>0</v>
      </c>
      <c r="J10" s="569">
        <f t="shared" si="0"/>
        <v>13073.987015148994</v>
      </c>
      <c r="K10" s="569">
        <f t="shared" si="0"/>
        <v>0</v>
      </c>
      <c r="L10" s="569">
        <f t="shared" si="0"/>
        <v>0</v>
      </c>
      <c r="M10" s="1018"/>
      <c r="N10" s="1018"/>
      <c r="O10" s="570">
        <f>SUM(O4:O9)</f>
        <v>2.4938105543532547</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15907.5</v>
      </c>
      <c r="C17" s="581">
        <f>B50</f>
        <v>17.654403196271019</v>
      </c>
      <c r="D17" s="582"/>
      <c r="E17" s="582">
        <f>E50</f>
        <v>0</v>
      </c>
      <c r="F17" s="1021"/>
      <c r="G17" s="583"/>
      <c r="H17" s="581">
        <f>I50</f>
        <v>0</v>
      </c>
      <c r="I17" s="582">
        <f>G50+F50</f>
        <v>0</v>
      </c>
      <c r="J17" s="582">
        <f>H50+D50+C50</f>
        <v>18696.012984851011</v>
      </c>
      <c r="K17" s="582"/>
      <c r="L17" s="582"/>
      <c r="M17" s="582"/>
      <c r="N17" s="1022"/>
      <c r="O17" s="584">
        <f>C17*$C$22+E17*$E$22+H17*$H$22+I17*$I$22+J17*$J$22+D17*$D$22+F17*$F$22+G17*$G$22+K17*$K$22+L17*$L$22</f>
        <v>3.5661894456467462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15907.5</v>
      </c>
      <c r="C20" s="568">
        <f>SUM(C17:C19)</f>
        <v>17.654403196271019</v>
      </c>
      <c r="D20" s="568">
        <f t="shared" ref="D20:L20" si="1">SUM(D17:D19)</f>
        <v>0</v>
      </c>
      <c r="E20" s="568">
        <f t="shared" si="1"/>
        <v>0</v>
      </c>
      <c r="F20" s="568">
        <f t="shared" si="1"/>
        <v>0</v>
      </c>
      <c r="G20" s="568">
        <f t="shared" si="1"/>
        <v>0</v>
      </c>
      <c r="H20" s="568">
        <f t="shared" si="1"/>
        <v>0</v>
      </c>
      <c r="I20" s="568">
        <f t="shared" si="1"/>
        <v>0</v>
      </c>
      <c r="J20" s="568">
        <f t="shared" si="1"/>
        <v>18696.012984851011</v>
      </c>
      <c r="K20" s="568">
        <f t="shared" si="1"/>
        <v>0</v>
      </c>
      <c r="L20" s="568">
        <f t="shared" si="1"/>
        <v>0</v>
      </c>
      <c r="M20" s="568"/>
      <c r="N20" s="568"/>
      <c r="O20" s="588">
        <f>SUM(O17:O19)</f>
        <v>3.5661894456467462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73040</v>
      </c>
      <c r="C28" s="787">
        <v>3724</v>
      </c>
      <c r="D28" s="640" t="s">
        <v>920</v>
      </c>
      <c r="E28" s="639" t="s">
        <v>921</v>
      </c>
      <c r="F28" s="639" t="s">
        <v>922</v>
      </c>
      <c r="G28" s="639" t="s">
        <v>923</v>
      </c>
      <c r="H28" s="639" t="s">
        <v>924</v>
      </c>
      <c r="I28" s="639" t="s">
        <v>925</v>
      </c>
      <c r="J28" s="786">
        <v>40717</v>
      </c>
      <c r="K28" s="786">
        <v>39951</v>
      </c>
      <c r="L28" s="639" t="s">
        <v>926</v>
      </c>
      <c r="M28" s="639">
        <v>2471</v>
      </c>
      <c r="N28" s="639">
        <v>11119.5</v>
      </c>
      <c r="O28" s="639">
        <v>15885</v>
      </c>
      <c r="P28" s="639">
        <v>0</v>
      </c>
      <c r="Q28" s="639">
        <v>31770.000000000004</v>
      </c>
      <c r="R28" s="639">
        <v>0</v>
      </c>
      <c r="S28" s="639">
        <v>0</v>
      </c>
      <c r="T28" s="639">
        <v>0</v>
      </c>
      <c r="U28" s="639">
        <v>0</v>
      </c>
      <c r="V28" s="639">
        <v>0</v>
      </c>
      <c r="W28" s="639">
        <v>0</v>
      </c>
      <c r="X28" s="639">
        <v>10</v>
      </c>
      <c r="Y28" s="639" t="s">
        <v>111</v>
      </c>
      <c r="Z28" s="641" t="s">
        <v>111</v>
      </c>
    </row>
    <row r="29" spans="1:26" s="593" customFormat="1" ht="25.5">
      <c r="A29" s="592"/>
      <c r="B29" s="787">
        <v>73040</v>
      </c>
      <c r="C29" s="787">
        <v>3721</v>
      </c>
      <c r="D29" s="640" t="s">
        <v>927</v>
      </c>
      <c r="E29" s="639" t="s">
        <v>928</v>
      </c>
      <c r="F29" s="639" t="s">
        <v>929</v>
      </c>
      <c r="G29" s="639" t="s">
        <v>930</v>
      </c>
      <c r="H29" s="639" t="s">
        <v>930</v>
      </c>
      <c r="I29" s="639" t="s">
        <v>928</v>
      </c>
      <c r="J29" s="786">
        <v>41073</v>
      </c>
      <c r="K29" s="786">
        <v>41214</v>
      </c>
      <c r="L29" s="639" t="s">
        <v>926</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2472</v>
      </c>
      <c r="N30" s="597">
        <f>SUM(N28:N29)</f>
        <v>11124</v>
      </c>
      <c r="O30" s="597">
        <f>SUM(O28:O29)</f>
        <v>15907.5</v>
      </c>
      <c r="P30" s="597">
        <f>SUM(P28:P29)</f>
        <v>30</v>
      </c>
      <c r="Q30" s="597">
        <f>SUM(Q28:Q29)</f>
        <v>31770.000000000004</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2472</v>
      </c>
      <c r="N33" s="602">
        <f>SUMIF($Z$28:$Z$29,"landbouw",N28:N29)</f>
        <v>11124</v>
      </c>
      <c r="O33" s="602">
        <f>SUMIF($Z$28:$Z$29,"landbouw",O28:O29)</f>
        <v>15907.5</v>
      </c>
      <c r="P33" s="602">
        <f>SUMIF($Z$28:$Z$29,"landbouw",P28:P29)</f>
        <v>30</v>
      </c>
      <c r="Q33" s="602">
        <f>SUMIF($Z$28:$Z$29,"landbouw",Q28:Q29)</f>
        <v>31770.000000000004</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0.58848010654236727</v>
      </c>
      <c r="C46" s="622">
        <f>IF(ISERROR(N30/(O30+N30)),0,N30/(N30+O30))</f>
        <v>0.41151989345763273</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12.345596803728982</v>
      </c>
      <c r="C49" s="631">
        <f t="shared" si="2"/>
        <v>13073.987015148994</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17.654403196271019</v>
      </c>
      <c r="C50" s="634">
        <f t="shared" si="3"/>
        <v>18696.012984851011</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15197.440216820009</v>
      </c>
      <c r="C4" s="458">
        <f>huishoudens!C8</f>
        <v>0</v>
      </c>
      <c r="D4" s="458">
        <f>huishoudens!D8</f>
        <v>20635.957804000001</v>
      </c>
      <c r="E4" s="458">
        <f>huishoudens!E8</f>
        <v>4790.1713985478536</v>
      </c>
      <c r="F4" s="458">
        <f>huishoudens!F8</f>
        <v>32268.188350383101</v>
      </c>
      <c r="G4" s="458">
        <f>huishoudens!G8</f>
        <v>0</v>
      </c>
      <c r="H4" s="458">
        <f>huishoudens!H8</f>
        <v>0</v>
      </c>
      <c r="I4" s="458">
        <f>huishoudens!I8</f>
        <v>0</v>
      </c>
      <c r="J4" s="458">
        <f>huishoudens!J8</f>
        <v>0</v>
      </c>
      <c r="K4" s="458">
        <f>huishoudens!K8</f>
        <v>0</v>
      </c>
      <c r="L4" s="458">
        <f>huishoudens!L8</f>
        <v>0</v>
      </c>
      <c r="M4" s="458">
        <f>huishoudens!M8</f>
        <v>0</v>
      </c>
      <c r="N4" s="458">
        <f>huishoudens!N8</f>
        <v>12297.479672649792</v>
      </c>
      <c r="O4" s="458">
        <f>huishoudens!O8</f>
        <v>107.87</v>
      </c>
      <c r="P4" s="459">
        <f>huishoudens!P8</f>
        <v>381.33333333333337</v>
      </c>
      <c r="Q4" s="460">
        <f>SUM(B4:P4)</f>
        <v>85678.440775734081</v>
      </c>
    </row>
    <row r="5" spans="1:17">
      <c r="A5" s="457" t="s">
        <v>155</v>
      </c>
      <c r="B5" s="458">
        <f ca="1">tertiair!B16</f>
        <v>6830.5789999999997</v>
      </c>
      <c r="C5" s="458">
        <f ca="1">tertiair!C16</f>
        <v>0</v>
      </c>
      <c r="D5" s="458">
        <f ca="1">tertiair!D16</f>
        <v>2378.7309480000004</v>
      </c>
      <c r="E5" s="458">
        <f>tertiair!E16</f>
        <v>69.225612768804837</v>
      </c>
      <c r="F5" s="458">
        <f ca="1">tertiair!F16</f>
        <v>1418.7380834203141</v>
      </c>
      <c r="G5" s="458">
        <f>tertiair!G16</f>
        <v>0</v>
      </c>
      <c r="H5" s="458">
        <f>tertiair!H16</f>
        <v>0</v>
      </c>
      <c r="I5" s="458">
        <f>tertiair!I16</f>
        <v>0</v>
      </c>
      <c r="J5" s="458">
        <f>tertiair!J16</f>
        <v>0</v>
      </c>
      <c r="K5" s="458">
        <f>tertiair!K16</f>
        <v>0</v>
      </c>
      <c r="L5" s="458">
        <f ca="1">tertiair!L16</f>
        <v>0</v>
      </c>
      <c r="M5" s="458">
        <f>tertiair!M16</f>
        <v>0</v>
      </c>
      <c r="N5" s="458">
        <f ca="1">tertiair!N16</f>
        <v>1047.1062583816704</v>
      </c>
      <c r="O5" s="458">
        <f>tertiair!O16</f>
        <v>0</v>
      </c>
      <c r="P5" s="459">
        <f>tertiair!P16</f>
        <v>0</v>
      </c>
      <c r="Q5" s="457">
        <f t="shared" ref="Q5:Q14" ca="1" si="0">SUM(B5:P5)</f>
        <v>11744.37990257079</v>
      </c>
    </row>
    <row r="6" spans="1:17">
      <c r="A6" s="457" t="s">
        <v>193</v>
      </c>
      <c r="B6" s="458">
        <f>'openbare verlichting'!B8</f>
        <v>455.39600000000002</v>
      </c>
      <c r="C6" s="458"/>
      <c r="D6" s="458"/>
      <c r="E6" s="458"/>
      <c r="F6" s="458"/>
      <c r="G6" s="458"/>
      <c r="H6" s="458"/>
      <c r="I6" s="458"/>
      <c r="J6" s="458"/>
      <c r="K6" s="458"/>
      <c r="L6" s="458"/>
      <c r="M6" s="458"/>
      <c r="N6" s="458"/>
      <c r="O6" s="458"/>
      <c r="P6" s="459"/>
      <c r="Q6" s="457">
        <f t="shared" si="0"/>
        <v>455.39600000000002</v>
      </c>
    </row>
    <row r="7" spans="1:17">
      <c r="A7" s="457" t="s">
        <v>111</v>
      </c>
      <c r="B7" s="458">
        <f>landbouw!B8</f>
        <v>1701.6</v>
      </c>
      <c r="C7" s="458">
        <f>landbouw!C8</f>
        <v>15907.5</v>
      </c>
      <c r="D7" s="458">
        <f>landbouw!D8</f>
        <v>45.471242000000004</v>
      </c>
      <c r="E7" s="458">
        <f>landbouw!E8</f>
        <v>21.442352106500358</v>
      </c>
      <c r="F7" s="458">
        <f>landbouw!F8</f>
        <v>5870.9462762710518</v>
      </c>
      <c r="G7" s="458">
        <f>landbouw!G8</f>
        <v>0</v>
      </c>
      <c r="H7" s="458">
        <f>landbouw!H8</f>
        <v>0</v>
      </c>
      <c r="I7" s="458">
        <f>landbouw!I8</f>
        <v>0</v>
      </c>
      <c r="J7" s="458">
        <f>landbouw!J8</f>
        <v>255.90129689388175</v>
      </c>
      <c r="K7" s="458">
        <f>landbouw!K8</f>
        <v>0</v>
      </c>
      <c r="L7" s="458">
        <f>landbouw!L8</f>
        <v>0</v>
      </c>
      <c r="M7" s="458">
        <f>landbouw!M8</f>
        <v>0</v>
      </c>
      <c r="N7" s="458">
        <f>landbouw!N8</f>
        <v>0</v>
      </c>
      <c r="O7" s="458">
        <f>landbouw!O8</f>
        <v>0</v>
      </c>
      <c r="P7" s="459">
        <f>landbouw!P8</f>
        <v>0</v>
      </c>
      <c r="Q7" s="457">
        <f t="shared" si="0"/>
        <v>23802.861167271429</v>
      </c>
    </row>
    <row r="8" spans="1:17">
      <c r="A8" s="457" t="s">
        <v>655</v>
      </c>
      <c r="B8" s="458">
        <f>industrie!B18</f>
        <v>1078.5889999999999</v>
      </c>
      <c r="C8" s="458">
        <f>industrie!C18</f>
        <v>0</v>
      </c>
      <c r="D8" s="458">
        <f>industrie!D18</f>
        <v>686.32999599999994</v>
      </c>
      <c r="E8" s="458">
        <f>industrie!E18</f>
        <v>168.85566063988674</v>
      </c>
      <c r="F8" s="458">
        <f>industrie!F18</f>
        <v>652.16507224067823</v>
      </c>
      <c r="G8" s="458">
        <f>industrie!G18</f>
        <v>0</v>
      </c>
      <c r="H8" s="458">
        <f>industrie!H18</f>
        <v>0</v>
      </c>
      <c r="I8" s="458">
        <f>industrie!I18</f>
        <v>0</v>
      </c>
      <c r="J8" s="458">
        <f>industrie!J18</f>
        <v>0.46120468927998526</v>
      </c>
      <c r="K8" s="458">
        <f>industrie!K18</f>
        <v>0</v>
      </c>
      <c r="L8" s="458">
        <f>industrie!L18</f>
        <v>0</v>
      </c>
      <c r="M8" s="458">
        <f>industrie!M18</f>
        <v>0</v>
      </c>
      <c r="N8" s="458">
        <f>industrie!N18</f>
        <v>98.494036208655061</v>
      </c>
      <c r="O8" s="458">
        <f>industrie!O18</f>
        <v>0</v>
      </c>
      <c r="P8" s="459">
        <f>industrie!P18</f>
        <v>0</v>
      </c>
      <c r="Q8" s="457">
        <f t="shared" si="0"/>
        <v>2684.8949697784997</v>
      </c>
    </row>
    <row r="9" spans="1:17" s="463" customFormat="1">
      <c r="A9" s="461" t="s">
        <v>573</v>
      </c>
      <c r="B9" s="462">
        <f>transport!B14</f>
        <v>3.2600412934973892</v>
      </c>
      <c r="C9" s="462">
        <f>transport!C14</f>
        <v>0</v>
      </c>
      <c r="D9" s="462">
        <f>transport!D14</f>
        <v>5.5569882614754231</v>
      </c>
      <c r="E9" s="462">
        <f>transport!E14</f>
        <v>195.58614793718041</v>
      </c>
      <c r="F9" s="462">
        <f>transport!F14</f>
        <v>0</v>
      </c>
      <c r="G9" s="462">
        <f>transport!G14</f>
        <v>52858.859760344363</v>
      </c>
      <c r="H9" s="462">
        <f>transport!H14</f>
        <v>10105.925256853861</v>
      </c>
      <c r="I9" s="462">
        <f>transport!I14</f>
        <v>0</v>
      </c>
      <c r="J9" s="462">
        <f>transport!J14</f>
        <v>0</v>
      </c>
      <c r="K9" s="462">
        <f>transport!K14</f>
        <v>0</v>
      </c>
      <c r="L9" s="462">
        <f>transport!L14</f>
        <v>0</v>
      </c>
      <c r="M9" s="462">
        <f>transport!M14</f>
        <v>2847.309118811484</v>
      </c>
      <c r="N9" s="462">
        <f>transport!N14</f>
        <v>0</v>
      </c>
      <c r="O9" s="462">
        <f>transport!O14</f>
        <v>0</v>
      </c>
      <c r="P9" s="462">
        <f>transport!P14</f>
        <v>0</v>
      </c>
      <c r="Q9" s="461">
        <f>SUM(B9:P9)</f>
        <v>66016.497313501852</v>
      </c>
    </row>
    <row r="10" spans="1:17">
      <c r="A10" s="457" t="s">
        <v>563</v>
      </c>
      <c r="B10" s="458">
        <f>transport!B54</f>
        <v>0</v>
      </c>
      <c r="C10" s="458">
        <f>transport!C54</f>
        <v>0</v>
      </c>
      <c r="D10" s="458">
        <f>transport!D54</f>
        <v>0</v>
      </c>
      <c r="E10" s="458">
        <f>transport!E54</f>
        <v>0</v>
      </c>
      <c r="F10" s="458">
        <f>transport!F54</f>
        <v>0</v>
      </c>
      <c r="G10" s="458">
        <f>transport!G54</f>
        <v>943.70082820080506</v>
      </c>
      <c r="H10" s="458">
        <f>transport!H54</f>
        <v>0</v>
      </c>
      <c r="I10" s="458">
        <f>transport!I54</f>
        <v>0</v>
      </c>
      <c r="J10" s="458">
        <f>transport!J54</f>
        <v>0</v>
      </c>
      <c r="K10" s="458">
        <f>transport!K54</f>
        <v>0</v>
      </c>
      <c r="L10" s="458">
        <f>transport!L54</f>
        <v>0</v>
      </c>
      <c r="M10" s="458">
        <f>transport!M54</f>
        <v>42.004904579537069</v>
      </c>
      <c r="N10" s="458">
        <f>transport!N54</f>
        <v>0</v>
      </c>
      <c r="O10" s="458">
        <f>transport!O54</f>
        <v>0</v>
      </c>
      <c r="P10" s="459">
        <f>transport!P54</f>
        <v>0</v>
      </c>
      <c r="Q10" s="457">
        <f t="shared" si="0"/>
        <v>985.70573278034215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411.87400000000002</v>
      </c>
      <c r="C14" s="465"/>
      <c r="D14" s="465">
        <f>'SEAP template'!E25</f>
        <v>3705.4580000000001</v>
      </c>
      <c r="E14" s="465"/>
      <c r="F14" s="465"/>
      <c r="G14" s="465"/>
      <c r="H14" s="465"/>
      <c r="I14" s="465"/>
      <c r="J14" s="465"/>
      <c r="K14" s="465"/>
      <c r="L14" s="465"/>
      <c r="M14" s="465"/>
      <c r="N14" s="465"/>
      <c r="O14" s="465"/>
      <c r="P14" s="466"/>
      <c r="Q14" s="457">
        <f t="shared" si="0"/>
        <v>4117.3320000000003</v>
      </c>
    </row>
    <row r="15" spans="1:17" s="470" customFormat="1">
      <c r="A15" s="467" t="s">
        <v>567</v>
      </c>
      <c r="B15" s="468">
        <f ca="1">SUM(B4:B14)</f>
        <v>25678.738258113506</v>
      </c>
      <c r="C15" s="468">
        <f t="shared" ref="C15:Q15" ca="1" si="1">SUM(C4:C14)</f>
        <v>15907.5</v>
      </c>
      <c r="D15" s="468">
        <f t="shared" ca="1" si="1"/>
        <v>27457.504978261477</v>
      </c>
      <c r="E15" s="468">
        <f t="shared" si="1"/>
        <v>5245.2811720002264</v>
      </c>
      <c r="F15" s="468">
        <f t="shared" ca="1" si="1"/>
        <v>40210.037782315143</v>
      </c>
      <c r="G15" s="468">
        <f t="shared" si="1"/>
        <v>53802.560588545166</v>
      </c>
      <c r="H15" s="468">
        <f t="shared" si="1"/>
        <v>10105.925256853861</v>
      </c>
      <c r="I15" s="468">
        <f t="shared" si="1"/>
        <v>0</v>
      </c>
      <c r="J15" s="468">
        <f t="shared" si="1"/>
        <v>256.36250158316176</v>
      </c>
      <c r="K15" s="468">
        <f t="shared" si="1"/>
        <v>0</v>
      </c>
      <c r="L15" s="468">
        <f t="shared" ca="1" si="1"/>
        <v>0</v>
      </c>
      <c r="M15" s="468">
        <f t="shared" si="1"/>
        <v>2889.3140233910212</v>
      </c>
      <c r="N15" s="468">
        <f t="shared" ca="1" si="1"/>
        <v>13443.079967240117</v>
      </c>
      <c r="O15" s="468">
        <f t="shared" si="1"/>
        <v>107.87</v>
      </c>
      <c r="P15" s="468">
        <f t="shared" si="1"/>
        <v>381.33333333333337</v>
      </c>
      <c r="Q15" s="468">
        <f t="shared" ca="1" si="1"/>
        <v>195485.50786163699</v>
      </c>
    </row>
    <row r="17" spans="1:17">
      <c r="A17" s="471" t="s">
        <v>568</v>
      </c>
      <c r="B17" s="777">
        <f ca="1">huishoudens!B10</f>
        <v>9.7564725609518482E-2</v>
      </c>
      <c r="C17" s="777">
        <f ca="1">huishoudens!C10</f>
        <v>2.2418289773042566E-4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1482.7340847211053</v>
      </c>
      <c r="C22" s="458">
        <f t="shared" ref="C22:C32" ca="1" si="3">C4*$C$17</f>
        <v>0</v>
      </c>
      <c r="D22" s="458">
        <f t="shared" ref="D22:D32" si="4">D4*$D$17</f>
        <v>4168.4634764080001</v>
      </c>
      <c r="E22" s="458">
        <f t="shared" ref="E22:E32" si="5">E4*$E$17</f>
        <v>1087.3689074703627</v>
      </c>
      <c r="F22" s="458">
        <f t="shared" ref="F22:F32" si="6">F4*$F$17</f>
        <v>8615.6062895522882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15354.172758151755</v>
      </c>
    </row>
    <row r="23" spans="1:17">
      <c r="A23" s="457" t="s">
        <v>155</v>
      </c>
      <c r="B23" s="458">
        <f t="shared" ca="1" si="2"/>
        <v>666.42356588913913</v>
      </c>
      <c r="C23" s="458">
        <f t="shared" ca="1" si="3"/>
        <v>0</v>
      </c>
      <c r="D23" s="458">
        <f t="shared" ca="1" si="4"/>
        <v>480.50365149600009</v>
      </c>
      <c r="E23" s="458">
        <f t="shared" si="5"/>
        <v>15.714214098518699</v>
      </c>
      <c r="F23" s="458">
        <f t="shared" ca="1" si="6"/>
        <v>378.80306827322386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1541.4444997568817</v>
      </c>
    </row>
    <row r="24" spans="1:17">
      <c r="A24" s="457" t="s">
        <v>193</v>
      </c>
      <c r="B24" s="458">
        <f t="shared" ca="1" si="2"/>
        <v>44.430585783672278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44.430585783672278</v>
      </c>
    </row>
    <row r="25" spans="1:17">
      <c r="A25" s="457" t="s">
        <v>111</v>
      </c>
      <c r="B25" s="458">
        <f t="shared" ca="1" si="2"/>
        <v>166.01613709715664</v>
      </c>
      <c r="C25" s="458">
        <f t="shared" ca="1" si="3"/>
        <v>3.5661894456467462</v>
      </c>
      <c r="D25" s="458">
        <f t="shared" si="4"/>
        <v>9.1851908840000007</v>
      </c>
      <c r="E25" s="458">
        <f t="shared" si="5"/>
        <v>4.8674139281755817</v>
      </c>
      <c r="F25" s="458">
        <f t="shared" si="6"/>
        <v>1567.5426557643709</v>
      </c>
      <c r="G25" s="458">
        <f t="shared" si="7"/>
        <v>0</v>
      </c>
      <c r="H25" s="458">
        <f t="shared" si="8"/>
        <v>0</v>
      </c>
      <c r="I25" s="458">
        <f t="shared" si="9"/>
        <v>0</v>
      </c>
      <c r="J25" s="458">
        <f t="shared" si="10"/>
        <v>90.589059100434127</v>
      </c>
      <c r="K25" s="458">
        <f t="shared" si="11"/>
        <v>0</v>
      </c>
      <c r="L25" s="458">
        <f t="shared" si="12"/>
        <v>0</v>
      </c>
      <c r="M25" s="458">
        <f t="shared" si="13"/>
        <v>0</v>
      </c>
      <c r="N25" s="458">
        <f t="shared" si="14"/>
        <v>0</v>
      </c>
      <c r="O25" s="458">
        <f t="shared" si="15"/>
        <v>0</v>
      </c>
      <c r="P25" s="459">
        <f t="shared" si="16"/>
        <v>0</v>
      </c>
      <c r="Q25" s="457">
        <f t="shared" ca="1" si="17"/>
        <v>1841.766646219784</v>
      </c>
    </row>
    <row r="26" spans="1:17">
      <c r="A26" s="457" t="s">
        <v>655</v>
      </c>
      <c r="B26" s="458">
        <f t="shared" ca="1" si="2"/>
        <v>105.23223983044493</v>
      </c>
      <c r="C26" s="458">
        <f t="shared" ca="1" si="3"/>
        <v>0</v>
      </c>
      <c r="D26" s="458">
        <f t="shared" si="4"/>
        <v>138.63865919200001</v>
      </c>
      <c r="E26" s="458">
        <f t="shared" si="5"/>
        <v>38.330234965254292</v>
      </c>
      <c r="F26" s="458">
        <f t="shared" si="6"/>
        <v>174.1280742882611</v>
      </c>
      <c r="G26" s="458">
        <f t="shared" si="7"/>
        <v>0</v>
      </c>
      <c r="H26" s="458">
        <f t="shared" si="8"/>
        <v>0</v>
      </c>
      <c r="I26" s="458">
        <f t="shared" si="9"/>
        <v>0</v>
      </c>
      <c r="J26" s="458">
        <f t="shared" si="10"/>
        <v>0.16326646000511477</v>
      </c>
      <c r="K26" s="458">
        <f t="shared" si="11"/>
        <v>0</v>
      </c>
      <c r="L26" s="458">
        <f t="shared" si="12"/>
        <v>0</v>
      </c>
      <c r="M26" s="458">
        <f t="shared" si="13"/>
        <v>0</v>
      </c>
      <c r="N26" s="458">
        <f t="shared" si="14"/>
        <v>0</v>
      </c>
      <c r="O26" s="458">
        <f t="shared" si="15"/>
        <v>0</v>
      </c>
      <c r="P26" s="459">
        <f t="shared" si="16"/>
        <v>0</v>
      </c>
      <c r="Q26" s="457">
        <f t="shared" ca="1" si="17"/>
        <v>456.49247473596546</v>
      </c>
    </row>
    <row r="27" spans="1:17" s="463" customFormat="1">
      <c r="A27" s="461" t="s">
        <v>573</v>
      </c>
      <c r="B27" s="771">
        <f t="shared" ca="1" si="2"/>
        <v>0.31806503427577248</v>
      </c>
      <c r="C27" s="462">
        <f t="shared" ca="1" si="3"/>
        <v>0</v>
      </c>
      <c r="D27" s="462">
        <f t="shared" si="4"/>
        <v>1.1225116288180355</v>
      </c>
      <c r="E27" s="462">
        <f t="shared" si="5"/>
        <v>44.398055581739953</v>
      </c>
      <c r="F27" s="462">
        <f t="shared" si="6"/>
        <v>0</v>
      </c>
      <c r="G27" s="462">
        <f t="shared" si="7"/>
        <v>14113.315556011945</v>
      </c>
      <c r="H27" s="462">
        <f t="shared" si="8"/>
        <v>2516.3753889566115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16675.52957721339</v>
      </c>
    </row>
    <row r="28" spans="1:17">
      <c r="A28" s="457" t="s">
        <v>563</v>
      </c>
      <c r="B28" s="458">
        <f t="shared" ca="1" si="2"/>
        <v>0</v>
      </c>
      <c r="C28" s="458">
        <f t="shared" ca="1" si="3"/>
        <v>0</v>
      </c>
      <c r="D28" s="458">
        <f t="shared" si="4"/>
        <v>0</v>
      </c>
      <c r="E28" s="458">
        <f t="shared" si="5"/>
        <v>0</v>
      </c>
      <c r="F28" s="458">
        <f t="shared" si="6"/>
        <v>0</v>
      </c>
      <c r="G28" s="458">
        <f t="shared" si="7"/>
        <v>251.96812112961496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251.96812112961496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40.184373795694817</v>
      </c>
      <c r="C32" s="458">
        <f t="shared" ca="1" si="3"/>
        <v>0</v>
      </c>
      <c r="D32" s="458">
        <f t="shared" si="4"/>
        <v>748.50251600000001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788.68688979569481</v>
      </c>
    </row>
    <row r="33" spans="1:17" s="470" customFormat="1">
      <c r="A33" s="467" t="s">
        <v>567</v>
      </c>
      <c r="B33" s="468">
        <f ca="1">SUM(B22:B32)</f>
        <v>2505.3390521514889</v>
      </c>
      <c r="C33" s="468">
        <f t="shared" ref="C33:Q33" ca="1" si="18">SUM(C22:C32)</f>
        <v>3.5661894456467462</v>
      </c>
      <c r="D33" s="468">
        <f t="shared" ca="1" si="18"/>
        <v>5546.4160056088185</v>
      </c>
      <c r="E33" s="468">
        <f t="shared" si="18"/>
        <v>1190.6788260440512</v>
      </c>
      <c r="F33" s="468">
        <f t="shared" ca="1" si="18"/>
        <v>10736.080087878145</v>
      </c>
      <c r="G33" s="468">
        <f t="shared" si="18"/>
        <v>14365.28367714156</v>
      </c>
      <c r="H33" s="468">
        <f t="shared" si="18"/>
        <v>2516.3753889566115</v>
      </c>
      <c r="I33" s="468">
        <f t="shared" si="18"/>
        <v>0</v>
      </c>
      <c r="J33" s="468">
        <f t="shared" si="18"/>
        <v>90.752325560439246</v>
      </c>
      <c r="K33" s="468">
        <f t="shared" si="18"/>
        <v>0</v>
      </c>
      <c r="L33" s="468">
        <f t="shared" ca="1" si="18"/>
        <v>0</v>
      </c>
      <c r="M33" s="468">
        <f t="shared" si="18"/>
        <v>0</v>
      </c>
      <c r="N33" s="468">
        <f t="shared" ca="1" si="18"/>
        <v>0</v>
      </c>
      <c r="O33" s="468">
        <f t="shared" si="18"/>
        <v>0</v>
      </c>
      <c r="P33" s="468">
        <f t="shared" si="18"/>
        <v>0</v>
      </c>
      <c r="Q33" s="468">
        <f t="shared" ca="1" si="18"/>
        <v>36954.491552786763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3229.6466671762428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11113.505660377359</v>
      </c>
      <c r="C8" s="1034">
        <f>'SEAP template'!C76</f>
        <v>10.494339622641508</v>
      </c>
      <c r="D8" s="1034">
        <f>'SEAP template'!D76</f>
        <v>12.345596803728982</v>
      </c>
      <c r="E8" s="1034">
        <f>'SEAP template'!E76</f>
        <v>0</v>
      </c>
      <c r="F8" s="1034">
        <f>'SEAP template'!F76</f>
        <v>0</v>
      </c>
      <c r="G8" s="1034">
        <f>'SEAP template'!G76</f>
        <v>0</v>
      </c>
      <c r="H8" s="1034">
        <f>'SEAP template'!H76</f>
        <v>0</v>
      </c>
      <c r="I8" s="1034">
        <f>'SEAP template'!I76</f>
        <v>0</v>
      </c>
      <c r="J8" s="1034">
        <f>'SEAP template'!J76</f>
        <v>13073.987015148994</v>
      </c>
      <c r="K8" s="1034">
        <f>'SEAP template'!K76</f>
        <v>0</v>
      </c>
      <c r="L8" s="1034">
        <f>'SEAP template'!L76</f>
        <v>0</v>
      </c>
      <c r="M8" s="1034">
        <f>'SEAP template'!M76</f>
        <v>0</v>
      </c>
      <c r="N8" s="1034">
        <f>'SEAP template'!N76</f>
        <v>0</v>
      </c>
      <c r="O8" s="1034">
        <f>'SEAP template'!O76</f>
        <v>0</v>
      </c>
      <c r="P8" s="1035">
        <f>'SEAP template'!Q76</f>
        <v>2.4938105543532547</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14343.152327553602</v>
      </c>
      <c r="C10" s="1038">
        <f>SUM(C4:C9)</f>
        <v>10.494339622641508</v>
      </c>
      <c r="D10" s="1038">
        <f t="shared" ref="D10:H10" si="0">SUM(D8:D9)</f>
        <v>12.345596803728982</v>
      </c>
      <c r="E10" s="1038">
        <f t="shared" si="0"/>
        <v>0</v>
      </c>
      <c r="F10" s="1038">
        <f t="shared" si="0"/>
        <v>0</v>
      </c>
      <c r="G10" s="1038">
        <f t="shared" si="0"/>
        <v>0</v>
      </c>
      <c r="H10" s="1038">
        <f t="shared" si="0"/>
        <v>0</v>
      </c>
      <c r="I10" s="1038">
        <f>SUM(I8:I9)</f>
        <v>0</v>
      </c>
      <c r="J10" s="1038">
        <f>SUM(J8:J9)</f>
        <v>13073.987015148994</v>
      </c>
      <c r="K10" s="1038">
        <f t="shared" ref="K10:L10" si="1">SUM(K8:K9)</f>
        <v>0</v>
      </c>
      <c r="L10" s="1038">
        <f t="shared" si="1"/>
        <v>0</v>
      </c>
      <c r="M10" s="1038">
        <f>SUM(M8:M9)</f>
        <v>0</v>
      </c>
      <c r="N10" s="1038">
        <f>SUM(N8:N9)</f>
        <v>0</v>
      </c>
      <c r="O10" s="1038">
        <f>SUM(O8:O9)</f>
        <v>0</v>
      </c>
      <c r="P10" s="1038">
        <f>SUM(P8:P9)</f>
        <v>2.4938105543532547</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9.7564725609518482E-2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15892.492924528302</v>
      </c>
      <c r="C17" s="1040">
        <f>'SEAP template'!C87</f>
        <v>15.007075471698114</v>
      </c>
      <c r="D17" s="1035">
        <f>'SEAP template'!D87</f>
        <v>17.654403196271019</v>
      </c>
      <c r="E17" s="1035">
        <f>'SEAP template'!E87</f>
        <v>0</v>
      </c>
      <c r="F17" s="1035">
        <f>'SEAP template'!F87</f>
        <v>0</v>
      </c>
      <c r="G17" s="1035">
        <f>'SEAP template'!G87</f>
        <v>0</v>
      </c>
      <c r="H17" s="1035">
        <f>'SEAP template'!H87</f>
        <v>0</v>
      </c>
      <c r="I17" s="1035">
        <f>'SEAP template'!I87</f>
        <v>0</v>
      </c>
      <c r="J17" s="1035">
        <f>'SEAP template'!J87</f>
        <v>18696.012984851011</v>
      </c>
      <c r="K17" s="1035">
        <f>'SEAP template'!K87</f>
        <v>0</v>
      </c>
      <c r="L17" s="1035">
        <f>'SEAP template'!L87</f>
        <v>0</v>
      </c>
      <c r="M17" s="1035">
        <f>'SEAP template'!M87</f>
        <v>0</v>
      </c>
      <c r="N17" s="1035">
        <f>'SEAP template'!N87</f>
        <v>0</v>
      </c>
      <c r="O17" s="1035">
        <f>'SEAP template'!O87</f>
        <v>0</v>
      </c>
      <c r="P17" s="1035">
        <f>'SEAP template'!Q87</f>
        <v>3.5661894456467462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15892.492924528302</v>
      </c>
      <c r="C20" s="1038">
        <f>SUM(C17:C19)</f>
        <v>15.007075471698114</v>
      </c>
      <c r="D20" s="1038">
        <f t="shared" ref="D20:H20" si="2">SUM(D17:D19)</f>
        <v>17.654403196271019</v>
      </c>
      <c r="E20" s="1038">
        <f t="shared" si="2"/>
        <v>0</v>
      </c>
      <c r="F20" s="1038">
        <f t="shared" si="2"/>
        <v>0</v>
      </c>
      <c r="G20" s="1038">
        <f t="shared" si="2"/>
        <v>0</v>
      </c>
      <c r="H20" s="1038">
        <f t="shared" si="2"/>
        <v>0</v>
      </c>
      <c r="I20" s="1038">
        <f>SUM(I17:I19)</f>
        <v>0</v>
      </c>
      <c r="J20" s="1038">
        <f>SUM(J17:J19)</f>
        <v>18696.012984851011</v>
      </c>
      <c r="K20" s="1038">
        <f t="shared" ref="K20:L20" si="3">SUM(K17:K19)</f>
        <v>0</v>
      </c>
      <c r="L20" s="1038">
        <f t="shared" si="3"/>
        <v>0</v>
      </c>
      <c r="M20" s="1038">
        <f>SUM(M17:M19)</f>
        <v>0</v>
      </c>
      <c r="N20" s="1038">
        <f>SUM(N17:N19)</f>
        <v>0</v>
      </c>
      <c r="O20" s="1038">
        <f>SUM(O17:O19)</f>
        <v>0</v>
      </c>
      <c r="P20" s="1038">
        <f>SUM(P17:P19)</f>
        <v>3.5661894456467462</v>
      </c>
    </row>
    <row r="22" spans="1:16">
      <c r="A22" s="471" t="s">
        <v>879</v>
      </c>
      <c r="B22" s="777" t="s">
        <v>873</v>
      </c>
      <c r="C22" s="777">
        <f ca="1">'EF ele_warmte'!B22</f>
        <v>2.2418289773042566E-4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9.7564725609518482E-2</v>
      </c>
      <c r="C17" s="508">
        <f ca="1">'EF ele_warmte'!B22</f>
        <v>2.2418289773042566E-4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2020-06-20T16:24:11Z</dcterms:modified>
</cp:coreProperties>
</file>