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I8" i="18" s="1"/>
  <c r="F48" i="18"/>
  <c r="H48" i="18"/>
  <c r="D48" i="18"/>
  <c r="C48" i="18"/>
  <c r="B48" i="18"/>
  <c r="C8" i="18" s="1"/>
  <c r="C10" i="18" s="1"/>
  <c r="I49" i="18"/>
  <c r="H17" i="18" s="1"/>
  <c r="F49" i="18"/>
  <c r="G49" i="18"/>
  <c r="I17" i="18" s="1"/>
  <c r="C49" i="18"/>
  <c r="B49" i="18"/>
  <c r="C17" i="18" s="1"/>
  <c r="C20" i="18" s="1"/>
  <c r="B20" i="18"/>
  <c r="F20" i="18"/>
  <c r="O18" i="18"/>
  <c r="H20" i="18"/>
  <c r="G20" i="18"/>
  <c r="K20" i="18"/>
  <c r="B10" i="18"/>
  <c r="O19" i="18"/>
  <c r="O9" i="18"/>
  <c r="I10" i="18"/>
  <c r="I20" i="18"/>
  <c r="D49" i="18"/>
  <c r="H49" i="18"/>
  <c r="E48" i="18"/>
  <c r="E8" i="18" s="1"/>
  <c r="E10" i="18" s="1"/>
  <c r="E49" i="18"/>
  <c r="E17" i="18" s="1"/>
  <c r="E20" i="18" s="1"/>
  <c r="N6" i="17"/>
  <c r="J8" i="18" l="1"/>
  <c r="J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K78" i="14" l="1"/>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O4" i="48"/>
  <c r="O22" i="48" s="1"/>
  <c r="P11" i="14"/>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J8" i="48"/>
  <c r="K13" i="14"/>
  <c r="K16" i="14" s="1"/>
  <c r="K27" i="14" s="1"/>
  <c r="E8" i="48"/>
  <c r="E26" i="48" s="1"/>
  <c r="F13" i="14"/>
  <c r="F16" i="14" s="1"/>
  <c r="F27" i="14" s="1"/>
  <c r="F63" i="14" s="1"/>
  <c r="N63" i="14"/>
  <c r="E23" i="48"/>
  <c r="E33" i="48" s="1"/>
  <c r="Q5" i="48"/>
  <c r="E22" i="16"/>
  <c r="F43" i="14" s="1"/>
  <c r="F46" i="14" s="1"/>
  <c r="F61" i="14" s="1"/>
  <c r="H63" i="14"/>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<sst xmlns="http://schemas.openxmlformats.org/spreadsheetml/2006/main" count="2447" uniqueCount="920">
  <si>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</si>
  <si>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</si>
  <si>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</si>
  <si>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</si>
  <si>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</si>
  <si>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</si>
  <si>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</si>
  <si>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</si>
  <si>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</si>
  <si>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</si>
  <si>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</si>
  <si>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</si>
  <si>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</si>
  <si>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</si>
  <si>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</si>
  <si>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</si>
  <si>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</si>
  <si>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</si>
  <si>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</si>
  <si>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</si>
  <si>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</si>
  <si>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</si>
  <si>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</si>
  <si>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</si>
  <si>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</si>
  <si>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</si>
  <si>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</si>
  <si>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</si>
  <si>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</si>
  <si>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</si>
  <si>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</si>
  <si>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</si>
  <si>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</si>
  <si>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</si>
  <si>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</si>
  <si>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</si>
  <si>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</si>
  <si>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</si>
  <si>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</si>
  <si>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</si>
  <si>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</si>
  <si>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</si>
  <si>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</si>
  <si>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</si>
  <si>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</si>
  <si>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</si>
  <si>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</si>
  <si>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</si>
  <si>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</si>
  <si>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</si>
  <si>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</si>
  <si>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</si>
  <si>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</si>
  <si>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</si>
  <si>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</si>
  <si>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</si>
  <si>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</si>
  <si>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</si>
  <si>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</si>
  <si>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</si>
  <si>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</si>
  <si>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</si>
  <si>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</si>
  <si>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</si>
  <si>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</si>
  <si>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</si>
  <si>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</si>
  <si>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</si>
  <si>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</si>
  <si>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</si>
  <si>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</si>
  <si>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</si>
  <si>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</si>
  <si>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</si>
  <si>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</si>
  <si>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</si>
  <si>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</si>
  <si>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</si>
  <si>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</si>
  <si>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</si>
  <si>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</si>
  <si>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</si>
  <si>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</si>
  <si>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</si>
  <si>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</si>
  <si>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</si>
  <si>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</si>
  <si>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</si>
  <si>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</si>
  <si>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</si>
  <si>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</si>
  <si>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</si>
  <si>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</si>
  <si>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</si>
  <si>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</si>
  <si>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</si>
  <si>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</si>
  <si>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</si>
  <si>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</si>
  <si>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</si>
  <si>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</si>
  <si>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</si>
  <si>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</si>
  <si>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</si>
  <si>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</si>
  <si>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</si>
  <si>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</si>
  <si>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</si>
  <si>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</si>
  <si>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</si>
  <si>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</si>
  <si>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</si>
  <si>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</si>
  <si>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</si>
  <si>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</si>
  <si>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</si>
  <si>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</si>
  <si>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</si>
  <si>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</si>
  <si>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</si>
  <si>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</si>
  <si>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</si>
  <si>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</si>
  <si>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</si>
  <si>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</si>
  <si>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</si>
  <si>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</si>
  <si>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</si>
  <si>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</si>
  <si>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</si>
  <si>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</si>
  <si>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</si>
  <si>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</si>
  <si>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</si>
  <si>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</si>
  <si>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</si>
  <si>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</si>
  <si>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</si>
  <si>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</si>
  <si>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</si>
  <si>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</si>
  <si>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</si>
  <si>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</si>
  <si>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</si>
  <si>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</si>
  <si>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</si>
  <si>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</si>
  <si>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</si>
  <si>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</si>
  <si>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</si>
  <si>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</si>
  <si>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</si>
  <si>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</si>
  <si>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</si>
  <si>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</si>
  <si>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</si>
  <si>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</si>
  <si>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</si>
  <si>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</si>
  <si>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</si>
  <si>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</si>
  <si>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</si>
  <si>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</si>
  <si>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</si>
  <si>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</si>
  <si>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</si>
  <si>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</si>
  <si>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</si>
  <si>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</si>
  <si>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</si>
  <si>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</si>
  <si>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</si>
  <si>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</si>
  <si>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</si>
  <si>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</si>
  <si>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</si>
  <si>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</si>
  <si>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</si>
  <si>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</si>
  <si>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</si>
  <si>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</si>
  <si>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</si>
  <si>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</si>
  <si>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</si>
  <si>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</si>
  <si>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</si>
  <si>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</si>
  <si>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</si>
  <si>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</si>
  <si>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</si>
  <si>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</si>
  <si>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</si>
  <si>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</si>
  <si>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</si>
  <si>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</si>
  <si>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</si>
  <si>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</si>
  <si>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</si>
  <si>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</si>
  <si>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</si>
  <si>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</si>
  <si>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</si>
  <si>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</si>
  <si>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</si>
  <si>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</si>
  <si>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</si>
  <si>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</si>
  <si>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</si>
  <si>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</si>
  <si>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</si>
  <si>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</si>
  <si>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</si>
  <si>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</si>
  <si>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</si>
  <si>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</si>
  <si>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</si>
  <si>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</si>
  <si>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</si>
  <si>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</si>
  <si>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</si>
  <si>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</si>
  <si>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</si>
  <si>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</si>
  <si>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</si>
  <si>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</si>
  <si>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</si>
  <si>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</si>
  <si>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</si>
  <si>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</si>
  <si>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</si>
  <si>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</si>
  <si>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</si>
  <si>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</si>
  <si>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</si>
  <si>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</si>
  <si>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</si>
  <si>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</si>
  <si>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</si>
  <si>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</si>
  <si>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</si>
  <si>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</si>
  <si>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</si>
  <si>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</si>
  <si>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</si>
  <si>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</si>
  <si>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</si>
  <si>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</si>
  <si>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</si>
  <si>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</si>
  <si>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</si>
  <si>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</si>
  <si>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</si>
  <si>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</si>
  <si>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</si>
  <si>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</si>
  <si>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</si>
  <si>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</si>
  <si>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</si>
  <si>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</si>
  <si>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</si>
  <si>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</si>
  <si>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</si>
  <si>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</si>
  <si>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</si>
  <si>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</si>
  <si>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</si>
  <si>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</si>
  <si>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</si>
  <si>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</si>
  <si>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</si>
  <si>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</si>
  <si>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</si>
  <si>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</si>
  <si>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</si>
  <si>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</si>
  <si>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</si>
  <si>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</si>
  <si>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</si>
  <si>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</si>
  <si>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</si>
  <si>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</si>
  <si>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</si>
  <si>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</si>
  <si>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</si>
  <si>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</si>
  <si>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</si>
  <si>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</si>
  <si>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</si>
  <si>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</si>
  <si>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</si>
  <si>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</si>
  <si>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</si>
  <si>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</si>
  <si>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</si>
  <si>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</si>
  <si>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</si>
  <si>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</si>
  <si>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</si>
  <si>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</si>
  <si>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</si>
  <si>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</si>
  <si>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</si>
  <si>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</si>
  <si>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</si>
  <si>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</si>
  <si>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</si>
  <si>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</si>
  <si>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</si>
  <si>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</si>
  <si>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</si>
  <si>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</si>
  <si>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</si>
  <si>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</si>
  <si>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</si>
  <si>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</si>
  <si>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</si>
  <si>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</si>
  <si>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</si>
  <si>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</si>
  <si>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</si>
  <si>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</si>
  <si>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</si>
  <si>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</si>
  <si>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</si>
  <si>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</si>
  <si>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</si>
  <si>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</si>
  <si>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</si>
  <si>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</si>
  <si>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</si>
  <si>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</si>
  <si>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</si>
  <si>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</si>
  <si>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</si>
  <si>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</si>
  <si>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</si>
  <si>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</si>
  <si>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</si>
  <si>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</si>
  <si>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</si>
  <si>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</si>
  <si>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</si>
  <si>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</si>
  <si>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</si>
  <si>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</si>
  <si>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</si>
  <si>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</si>
  <si>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</si>
  <si>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</si>
  <si>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</si>
  <si>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</si>
  <si>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</si>
  <si>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</si>
  <si>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</si>
  <si>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</si>
  <si>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</si>
  <si>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</si>
  <si>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</si>
  <si>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</si>
  <si>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</si>
  <si>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</si>
  <si>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</si>
  <si>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</si>
  <si>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</si>
  <si>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</si>
  <si>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</si>
  <si>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</si>
  <si>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</si>
  <si>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</si>
  <si>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</si>
  <si>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</si>
  <si>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</si>
  <si>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</si>
  <si>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</si>
  <si>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</si>
  <si>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</si>
  <si>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</si>
  <si>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</si>
  <si>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</si>
  <si>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</si>
  <si>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</si>
  <si>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</si>
  <si>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</si>
  <si>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</si>
  <si>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</si>
  <si>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</si>
  <si>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</si>
  <si>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</si>
  <si>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</si>
  <si>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</si>
  <si>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</si>
  <si>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</si>
  <si>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</si>
  <si>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</si>
  <si>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</si>
  <si>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</si>
  <si>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</si>
  <si>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</si>
  <si>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</si>
  <si>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</si>
  <si>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</si>
  <si>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</si>
  <si>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</si>
  <si>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</si>
  <si>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</si>
  <si>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</si>
  <si>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</si>
  <si>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</si>
  <si>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</si>
  <si>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</si>
  <si>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</si>
  <si>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</si>
  <si>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</si>
  <si>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</si>
  <si>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</si>
  <si>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</si>
  <si>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</si>
  <si>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</si>
  <si>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</si>
  <si>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</si>
  <si>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</si>
  <si>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</si>
  <si>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</si>
  <si>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</si>
  <si>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</si>
  <si>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</si>
  <si>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</si>
  <si>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</si>
  <si>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</si>
  <si>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</si>
  <si>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</si>
  <si>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</si>
  <si>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</si>
  <si>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</si>
  <si>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</si>
  <si>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</si>
  <si>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</si>
  <si>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</si>
  <si>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</si>
  <si>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</si>
  <si>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</si>
  <si>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</si>
  <si>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</si>
  <si>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</si>
  <si>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</si>
  <si>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</si>
  <si>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</si>
  <si>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</si>
  <si>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</si>
  <si>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</si>
  <si>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</si>
  <si>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</si>
  <si>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</si>
  <si>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</si>
  <si>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</si>
  <si>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</si>
  <si>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</si>
  <si>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</si>
  <si>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</si>
  <si>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</si>
  <si>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</si>
  <si>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</si>
  <si>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</si>
  <si>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</si>
  <si>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</si>
  <si>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</si>
  <si>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</si>
  <si>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</si>
  <si>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</si>
  <si>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</si>
  <si>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</si>
  <si>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</si>
  <si>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</si>
  <si>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</si>
  <si>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</si>
  <si>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</si>
  <si>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</si>
  <si>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</si>
  <si>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</si>
  <si>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</si>
  <si>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</si>
  <si>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</si>
  <si>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</si>
  <si>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</si>
  <si>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</si>
  <si>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</si>
  <si>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</si>
  <si>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</si>
  <si>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</si>
  <si>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</si>
  <si>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</si>
  <si>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</si>
  <si>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</si>
  <si>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</si>
  <si>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</si>
  <si>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</si>
  <si>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</si>
  <si>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</si>
  <si>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</si>
  <si>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</si>
  <si>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</si>
  <si>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</si>
  <si>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</si>
  <si>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</si>
  <si>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</si>
  <si>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</si>
  <si>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</si>
  <si>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</si>
  <si>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</si>
  <si>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</si>
  <si>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</si>
  <si>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</si>
  <si>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</si>
  <si>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</si>
  <si>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</si>
  <si>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</si>
  <si>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</si>
  <si>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</si>
  <si>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</si>
  <si>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</si>
  <si>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</si>
  <si>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</si>
  <si>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</si>
  <si>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</si>
  <si>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</si>
  <si>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</si>
  <si>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</si>
  <si>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</si>
  <si>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</si>
  <si>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</si>
  <si>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</si>
  <si>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</si>
  <si>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</si>
  <si>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</si>
  <si>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</si>
  <si>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</si>
  <si>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</si>
  <si>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</si>
  <si>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</si>
  <si>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</si>
  <si>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</si>
  <si>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</si>
  <si>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</si>
  <si>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</si>
  <si>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</si>
  <si>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</si>
  <si>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</si>
  <si>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</si>
  <si>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</si>
  <si>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</si>
  <si>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</si>
  <si>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</si>
  <si>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</si>
  <si>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</si>
  <si>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</si>
  <si>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</si>
  <si>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</si>
  <si>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</si>
  <si>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</si>
  <si>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</si>
  <si>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</si>
  <si>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</si>
  <si>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</si>
  <si>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</si>
  <si>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</si>
  <si>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</si>
  <si>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</si>
  <si>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</si>
  <si>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</si>
  <si>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</si>
  <si>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</si>
  <si>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</si>
  <si>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</si>
  <si>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</si>
  <si>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</si>
  <si>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</si>
  <si>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</si>
  <si>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</si>
  <si>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</si>
  <si>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</si>
  <si>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</si>
  <si>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</si>
  <si>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</si>
  <si>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</si>
  <si>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</si>
  <si>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</si>
  <si>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</si>
  <si>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</si>
  <si>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</si>
  <si>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</si>
  <si>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</si>
  <si>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</si>
  <si>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</si>
  <si>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</si>
  <si>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</si>
  <si>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</si>
  <si>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</si>
  <si>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</si>
  <si>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</si>
  <si>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</si>
  <si>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</si>
  <si>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</si>
  <si>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</si>
  <si>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</si>
  <si>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</si>
  <si>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</si>
  <si>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</si>
  <si>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</si>
  <si>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</si>
  <si>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</si>
  <si>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</si>
  <si>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</si>
  <si>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</si>
  <si>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</si>
  <si>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</si>
  <si>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</si>
  <si>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</si>
  <si>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</si>
  <si>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</si>
  <si>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</si>
  <si>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</si>
  <si>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</si>
  <si>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</si>
  <si>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</si>
  <si>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</si>
  <si>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</si>
  <si>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</si>
  <si>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</si>
  <si>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</si>
  <si>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</si>
  <si>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</si>
  <si>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</si>
  <si>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</si>
  <si>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</si>
  <si>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</si>
  <si>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</si>
  <si>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</si>
  <si>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</si>
  <si>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</si>
  <si>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</si>
  <si>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</si>
  <si>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</si>
  <si>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</si>
  <si>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</si>
  <si>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</si>
  <si>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</si>
  <si>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</si>
  <si>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</si>
  <si>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</si>
  <si>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</si>
  <si>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</si>
  <si>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</si>
  <si>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</si>
  <si>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</si>
  <si>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</si>
  <si>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</si>
  <si>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</si>
  <si>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</si>
  <si>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</si>
  <si>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</si>
  <si>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</si>
  <si>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</si>
  <si>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</si>
  <si>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</si>
  <si>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</si>
  <si>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</si>
  <si>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</si>
  <si>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</si>
  <si>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</si>
  <si>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</si>
  <si>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</si>
  <si>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</si>
  <si>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</si>
  <si>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</si>
  <si>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</si>
  <si>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</si>
  <si>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</si>
  <si>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</si>
  <si>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</si>
  <si>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</si>
  <si>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</si>
  <si>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</si>
  <si>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</si>
  <si>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</si>
  <si>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</si>
  <si>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</si>
  <si>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</si>
  <si>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</si>
  <si>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</si>
  <si>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</si>
  <si>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</si>
  <si>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</si>
  <si>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</si>
  <si>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</si>
  <si>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</si>
  <si>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</si>
  <si>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</si>
  <si>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</si>
  <si>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</si>
  <si>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</si>
  <si>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</si>
  <si>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</si>
  <si>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</si>
  <si>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</si>
  <si>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</si>
  <si>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</si>
  <si>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</si>
  <si>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</si>
  <si>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</si>
  <si>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</si>
  <si>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</si>
  <si>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</si>
  <si>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</si>
  <si>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</si>
  <si>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</si>
  <si>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</si>
  <si>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</si>
  <si>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</si>
  <si>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</si>
  <si>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</si>
  <si>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</si>
  <si>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</si>
  <si>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</si>
  <si>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</si>
  <si>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</si>
  <si>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</si>
  <si>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</si>
  <si>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</si>
  <si>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</si>
  <si>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</si>
  <si>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</si>
  <si>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</si>
  <si>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</si>
  <si>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</si>
  <si>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</si>
  <si>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</si>
  <si>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</si>
  <si>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</si>
  <si>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</si>
  <si>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</si>
  <si>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</si>
  <si>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</si>
  <si>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</si>
  <si>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</si>
  <si>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</si>
  <si>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</si>
  <si>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</si>
  <si>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</si>
  <si>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</si>
  <si>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</si>
  <si>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</si>
  <si>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</si>
  <si>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</si>
  <si>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</si>
  <si>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</si>
  <si>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</si>
  <si>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</si>
  <si>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</si>
  <si>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</si>
  <si>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</si>
  <si>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</si>
  <si>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</si>
  <si>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</si>
  <si>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</si>
  <si>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</si>
  <si>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</si>
  <si>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</si>
  <si>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</si>
  <si>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</si>
  <si>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</si>
  <si>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</si>
  <si>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</si>
  <si>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</si>
  <si>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</si>
  <si>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</si>
  <si>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</si>
  <si>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</si>
  <si>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</si>
  <si>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</si>
  <si>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</si>
  <si>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</si>
  <si>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</si>
  <si>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</si>
  <si>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</si>
  <si>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</si>
  <si>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</si>
  <si>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</si>
  <si>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</si>
  <si>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</si>
  <si>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</si>
  <si>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</si>
  <si>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</si>
  <si>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</si>
  <si>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</si>
  <si>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</si>
  <si>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</si>
  <si>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</si>
  <si>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</si>
  <si>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</si>
  <si>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</si>
  <si>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</si>
  <si>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</si>
  <si>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</si>
  <si>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</si>
  <si>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</si>
  <si>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</si>
  <si>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</si>
  <si>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</si>
  <si>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</si>
  <si>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</si>
  <si>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</si>
  <si>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</si>
  <si>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</si>
  <si>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</si>
  <si>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</si>
  <si>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</si>
  <si>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</si>
  <si>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</si>
  <si>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</si>
  <si>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</si>
  <si>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</si>
  <si>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</si>
  <si>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</si>
  <si>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</si>
  <si>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</si>
  <si>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</si>
  <si>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</si>
  <si>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</si>
  <si>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</si>
  <si>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</si>
  <si>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</si>
  <si>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</si>
  <si>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</si>
  <si>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</si>
  <si>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</si>
  <si>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</si>
  <si>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</si>
  <si>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</si>
  <si>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</si>
  <si>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</si>
  <si>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</si>
  <si>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</si>
  <si>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</si>
  <si>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</si>
  <si>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</si>
  <si>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</si>
  <si>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</si>
  <si>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</si>
  <si>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</si>
  <si>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</si>
  <si>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</si>
  <si>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</si>
  <si>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</si>
  <si>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</si>
  <si>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</si>
  <si>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</si>
  <si>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</si>
  <si>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</si>
  <si>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</si>
  <si>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</si>
  <si>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</si>
  <si>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</si>
  <si>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</si>
  <si>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</si>
  <si>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</si>
  <si>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</si>
  <si>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</si>
  <si>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</si>
  <si>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</si>
  <si>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</si>
  <si>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</si>
  <si>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</si>
  <si>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</si>
  <si>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</si>
  <si>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</si>
  <si>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</si>
  <si>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</si>
  <si>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</si>
  <si>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</si>
  <si>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</si>
  <si>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</si>
  <si>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</si>
  <si>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</si>
  <si>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</si>
  <si>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</si>
  <si>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</si>
  <si>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</si>
  <si>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</si>
  <si>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</si>
  <si>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</si>
  <si>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</si>
  <si>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</si>
  <si>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</si>
  <si>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</si>
  <si>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</si>
  <si>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</si>
  <si>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</si>
  <si>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</si>
  <si>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</si>
  <si>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</si>
  <si>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</si>
  <si>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</si>
  <si>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</si>
  <si>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</si>
  <si>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</si>
  <si>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</si>
  <si>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</si>
  <si>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</si>
  <si>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</si>
  <si>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</si>
  <si>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</si>
  <si>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</si>
  <si>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</si>
  <si>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73022</t>
  </si>
  <si>
    <t>HEERS</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</si>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</sst>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76140.133719254023</c:v>
                </c:pt>
                <c:pt idx="1">
                  <c:v>9250.7447392820632</c:v>
                </c:pt>
                <c:pt idx="2">
                  <c:v>413.57400000000001</c:v>
                </c:pt>
                <c:pt idx="3">
                  <c:v>8876.5316859450795</c:v>
                </c:pt>
                <c:pt idx="4">
                  <c:v>1600.9990950838787</c:v>
                </c:pt>
                <c:pt idx="5">
                  <c:v>50749.437470822551</c:v>
                </c:pt>
                <c:pt idx="6">
                  <c:v>430.39142044211718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76140.133719254023</c:v>
                </c:pt>
                <c:pt idx="1">
                  <c:v>9250.7447392820632</c:v>
                </c:pt>
                <c:pt idx="2">
                  <c:v>413.57400000000001</c:v>
                </c:pt>
                <c:pt idx="3">
                  <c:v>8876.5316859450795</c:v>
                </c:pt>
                <c:pt idx="4">
                  <c:v>1600.9990950838787</c:v>
                </c:pt>
                <c:pt idx="5">
                  <c:v>50749.437470822551</c:v>
                </c:pt>
                <c:pt idx="6">
                  <c:v>430.39142044211718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16120.346201404298</c:v>
                </c:pt>
                <c:pt idx="2">
                  <c:v>1756.5158909463744</c:v>
                </c:pt>
                <c:pt idx="3">
                  <c:v>83.474197455680951</c:v>
                </c:pt>
                <c:pt idx="4">
                  <c:v>2168.4341366596846</c:v>
                </c:pt>
                <c:pt idx="5">
                  <c:v>341.82458584755756</c:v>
                </c:pt>
                <c:pt idx="6">
                  <c:v>12819.904117687271</c:v>
                </c:pt>
                <c:pt idx="7">
                  <c:v>110.01753764099558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16120.346201404298</c:v>
                </c:pt>
                <c:pt idx="2">
                  <c:v>1756.5158909463744</c:v>
                </c:pt>
                <c:pt idx="3">
                  <c:v>83.474197455680951</c:v>
                </c:pt>
                <c:pt idx="4">
                  <c:v>2168.4341366596846</c:v>
                </c:pt>
                <c:pt idx="5">
                  <c:v>341.82458584755756</c:v>
                </c:pt>
                <c:pt idx="6">
                  <c:v>12819.904117687271</c:v>
                </c:pt>
                <c:pt idx="7">
                  <c:v>110.01753764099558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73022</v>
      </c>
      <c r="B6" s="395"/>
      <c r="C6" s="396"/>
    </row>
    <row r="7" spans="1:7" s="393" customFormat="1" ht="15.75" customHeight="1">
      <c r="A7" s="397" t="str">
        <f>txtMunicipality</f>
        <v>HEERS</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5622.8569999999991</v>
      </c>
      <c r="D10" s="686">
        <f ca="1">tertiair!C16</f>
        <v>0</v>
      </c>
      <c r="E10" s="686">
        <f ca="1">tertiair!D16</f>
        <v>1909.4609380000002</v>
      </c>
      <c r="F10" s="686">
        <f>tertiair!E16</f>
        <v>75.688176677550715</v>
      </c>
      <c r="G10" s="686">
        <f ca="1">tertiair!F16</f>
        <v>1131.8418338619479</v>
      </c>
      <c r="H10" s="686">
        <f>tertiair!G16</f>
        <v>0</v>
      </c>
      <c r="I10" s="686">
        <f>tertiair!H16</f>
        <v>0</v>
      </c>
      <c r="J10" s="686">
        <f>tertiair!I16</f>
        <v>0</v>
      </c>
      <c r="K10" s="686">
        <f>tertiair!J16</f>
        <v>0</v>
      </c>
      <c r="L10" s="686">
        <f>tertiair!K16</f>
        <v>0</v>
      </c>
      <c r="M10" s="686">
        <f ca="1">tertiair!L16</f>
        <v>0</v>
      </c>
      <c r="N10" s="686">
        <f>tertiair!M16</f>
        <v>0</v>
      </c>
      <c r="O10" s="686">
        <f ca="1">tertiair!N16</f>
        <v>905.40412407589724</v>
      </c>
      <c r="P10" s="686">
        <f>tertiair!O16</f>
        <v>0</v>
      </c>
      <c r="Q10" s="687">
        <f>tertiair!P16</f>
        <v>19.066666666666666</v>
      </c>
      <c r="R10" s="689">
        <f ca="1">SUM(C10:Q10)</f>
        <v>9664.3187392820637</v>
      </c>
      <c r="S10" s="67"/>
    </row>
    <row r="11" spans="1:19" s="454" customFormat="1">
      <c r="A11" s="801" t="s">
        <v>224</v>
      </c>
      <c r="B11" s="806"/>
      <c r="C11" s="686">
        <f>huishoudens!B8</f>
        <v>13375.370696490852</v>
      </c>
      <c r="D11" s="686">
        <f>huishoudens!C8</f>
        <v>0</v>
      </c>
      <c r="E11" s="686">
        <f>huishoudens!D8</f>
        <v>14774.223310000001</v>
      </c>
      <c r="F11" s="686">
        <f>huishoudens!E8</f>
        <v>1911.8968274418376</v>
      </c>
      <c r="G11" s="686">
        <f>huishoudens!F8</f>
        <v>35207.650625171846</v>
      </c>
      <c r="H11" s="686">
        <f>huishoudens!G8</f>
        <v>0</v>
      </c>
      <c r="I11" s="686">
        <f>huishoudens!H8</f>
        <v>0</v>
      </c>
      <c r="J11" s="686">
        <f>huishoudens!I8</f>
        <v>0</v>
      </c>
      <c r="K11" s="686">
        <f>huishoudens!J8</f>
        <v>1700.214778054795</v>
      </c>
      <c r="L11" s="686">
        <f>huishoudens!K8</f>
        <v>0</v>
      </c>
      <c r="M11" s="686">
        <f>huishoudens!L8</f>
        <v>0</v>
      </c>
      <c r="N11" s="686">
        <f>huishoudens!M8</f>
        <v>0</v>
      </c>
      <c r="O11" s="686">
        <f>huishoudens!N8</f>
        <v>8820.6808154280261</v>
      </c>
      <c r="P11" s="686">
        <f>huishoudens!O8</f>
        <v>64.096666666666678</v>
      </c>
      <c r="Q11" s="687">
        <f>huishoudens!P8</f>
        <v>286</v>
      </c>
      <c r="R11" s="689">
        <f>SUM(C11:Q11)</f>
        <v>76140.133719254023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608.27699999999993</v>
      </c>
      <c r="D13" s="686">
        <f>industrie!C18</f>
        <v>0</v>
      </c>
      <c r="E13" s="686">
        <f>industrie!D18</f>
        <v>245.812138</v>
      </c>
      <c r="F13" s="686">
        <f>industrie!E18</f>
        <v>79.800418157389444</v>
      </c>
      <c r="G13" s="686">
        <f>industrie!F18</f>
        <v>566.40294280764931</v>
      </c>
      <c r="H13" s="686">
        <f>industrie!G18</f>
        <v>0</v>
      </c>
      <c r="I13" s="686">
        <f>industrie!H18</f>
        <v>0</v>
      </c>
      <c r="J13" s="686">
        <f>industrie!I18</f>
        <v>0</v>
      </c>
      <c r="K13" s="686">
        <f>industrie!J18</f>
        <v>0.15238861395419842</v>
      </c>
      <c r="L13" s="686">
        <f>industrie!K18</f>
        <v>0</v>
      </c>
      <c r="M13" s="686">
        <f>industrie!L18</f>
        <v>0</v>
      </c>
      <c r="N13" s="686">
        <f>industrie!M18</f>
        <v>0</v>
      </c>
      <c r="O13" s="686">
        <f>industrie!N18</f>
        <v>100.55420750488581</v>
      </c>
      <c r="P13" s="686">
        <f>industrie!O18</f>
        <v>0</v>
      </c>
      <c r="Q13" s="687">
        <f>industrie!P18</f>
        <v>0</v>
      </c>
      <c r="R13" s="689">
        <f>SUM(C13:Q13)</f>
        <v>1600.9990950838787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19606.504696490851</v>
      </c>
      <c r="D16" s="721">
        <f t="shared" ref="D16:R16" ca="1" si="0">SUM(D9:D15)</f>
        <v>0</v>
      </c>
      <c r="E16" s="721">
        <f t="shared" ca="1" si="0"/>
        <v>16929.496386000003</v>
      </c>
      <c r="F16" s="721">
        <f t="shared" si="0"/>
        <v>2067.3854222767777</v>
      </c>
      <c r="G16" s="721">
        <f t="shared" ca="1" si="0"/>
        <v>36905.895401841437</v>
      </c>
      <c r="H16" s="721">
        <f t="shared" si="0"/>
        <v>0</v>
      </c>
      <c r="I16" s="721">
        <f t="shared" si="0"/>
        <v>0</v>
      </c>
      <c r="J16" s="721">
        <f t="shared" si="0"/>
        <v>0</v>
      </c>
      <c r="K16" s="721">
        <f t="shared" si="0"/>
        <v>1700.3671666687492</v>
      </c>
      <c r="L16" s="721">
        <f t="shared" si="0"/>
        <v>0</v>
      </c>
      <c r="M16" s="721">
        <f t="shared" ca="1" si="0"/>
        <v>0</v>
      </c>
      <c r="N16" s="721">
        <f t="shared" si="0"/>
        <v>0</v>
      </c>
      <c r="O16" s="721">
        <f t="shared" ca="1" si="0"/>
        <v>9826.6391470088092</v>
      </c>
      <c r="P16" s="721">
        <f t="shared" si="0"/>
        <v>64.096666666666678</v>
      </c>
      <c r="Q16" s="721">
        <f t="shared" si="0"/>
        <v>305.06666666666666</v>
      </c>
      <c r="R16" s="721">
        <f t="shared" ca="1" si="0"/>
        <v>87405.451553619976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412.05070277526431</v>
      </c>
      <c r="I19" s="686">
        <f>transport!H54</f>
        <v>0</v>
      </c>
      <c r="J19" s="686">
        <f>transport!I54</f>
        <v>0</v>
      </c>
      <c r="K19" s="686">
        <f>transport!J54</f>
        <v>0</v>
      </c>
      <c r="L19" s="686">
        <f>transport!K54</f>
        <v>0</v>
      </c>
      <c r="M19" s="686">
        <f>transport!L54</f>
        <v>0</v>
      </c>
      <c r="N19" s="686">
        <f>transport!M54</f>
        <v>18.34071766685285</v>
      </c>
      <c r="O19" s="686">
        <f>transport!N54</f>
        <v>0</v>
      </c>
      <c r="P19" s="686">
        <f>transport!O54</f>
        <v>0</v>
      </c>
      <c r="Q19" s="687">
        <f>transport!P54</f>
        <v>0</v>
      </c>
      <c r="R19" s="689">
        <f>SUM(C19:Q19)</f>
        <v>430.39142044211718</v>
      </c>
      <c r="S19" s="67"/>
    </row>
    <row r="20" spans="1:19" s="454" customFormat="1">
      <c r="A20" s="801" t="s">
        <v>306</v>
      </c>
      <c r="B20" s="806"/>
      <c r="C20" s="686">
        <f>transport!B14</f>
        <v>2.5844401779848614</v>
      </c>
      <c r="D20" s="686">
        <f>transport!C14</f>
        <v>0</v>
      </c>
      <c r="E20" s="686">
        <f>transport!D14</f>
        <v>4.242757176587495</v>
      </c>
      <c r="F20" s="686">
        <f>transport!E14</f>
        <v>150.00103065242675</v>
      </c>
      <c r="G20" s="686">
        <f>transport!F14</f>
        <v>0</v>
      </c>
      <c r="H20" s="686">
        <f>transport!G14</f>
        <v>40663.122561151817</v>
      </c>
      <c r="I20" s="686">
        <f>transport!H14</f>
        <v>7740.6485518547197</v>
      </c>
      <c r="J20" s="686">
        <f>transport!I14</f>
        <v>0</v>
      </c>
      <c r="K20" s="686">
        <f>transport!J14</f>
        <v>0</v>
      </c>
      <c r="L20" s="686">
        <f>transport!K14</f>
        <v>0</v>
      </c>
      <c r="M20" s="686">
        <f>transport!L14</f>
        <v>0</v>
      </c>
      <c r="N20" s="686">
        <f>transport!M14</f>
        <v>2188.8381298090189</v>
      </c>
      <c r="O20" s="686">
        <f>transport!N14</f>
        <v>0</v>
      </c>
      <c r="P20" s="686">
        <f>transport!O14</f>
        <v>0</v>
      </c>
      <c r="Q20" s="687">
        <f>transport!P14</f>
        <v>0</v>
      </c>
      <c r="R20" s="689">
        <f>SUM(C20:Q20)</f>
        <v>50749.437470822551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2.5844401779848614</v>
      </c>
      <c r="D22" s="804">
        <f t="shared" ref="D22:R22" si="1">SUM(D18:D21)</f>
        <v>0</v>
      </c>
      <c r="E22" s="804">
        <f t="shared" si="1"/>
        <v>4.242757176587495</v>
      </c>
      <c r="F22" s="804">
        <f t="shared" si="1"/>
        <v>150.00103065242675</v>
      </c>
      <c r="G22" s="804">
        <f t="shared" si="1"/>
        <v>0</v>
      </c>
      <c r="H22" s="804">
        <f t="shared" si="1"/>
        <v>41075.173263927078</v>
      </c>
      <c r="I22" s="804">
        <f t="shared" si="1"/>
        <v>7740.6485518547197</v>
      </c>
      <c r="J22" s="804">
        <f t="shared" si="1"/>
        <v>0</v>
      </c>
      <c r="K22" s="804">
        <f t="shared" si="1"/>
        <v>0</v>
      </c>
      <c r="L22" s="804">
        <f t="shared" si="1"/>
        <v>0</v>
      </c>
      <c r="M22" s="804">
        <f t="shared" si="1"/>
        <v>0</v>
      </c>
      <c r="N22" s="804">
        <f t="shared" si="1"/>
        <v>2207.1788474758719</v>
      </c>
      <c r="O22" s="804">
        <f t="shared" si="1"/>
        <v>0</v>
      </c>
      <c r="P22" s="804">
        <f t="shared" si="1"/>
        <v>0</v>
      </c>
      <c r="Q22" s="804">
        <f t="shared" si="1"/>
        <v>0</v>
      </c>
      <c r="R22" s="804">
        <f t="shared" si="1"/>
        <v>51179.828891264668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1518.0360000000001</v>
      </c>
      <c r="D24" s="686">
        <f>+landbouw!C8</f>
        <v>0</v>
      </c>
      <c r="E24" s="686">
        <f>+landbouw!D8</f>
        <v>1873.4666280000001</v>
      </c>
      <c r="F24" s="686">
        <f>+landbouw!E8</f>
        <v>19.129209227987406</v>
      </c>
      <c r="G24" s="686">
        <f>+landbouw!F8</f>
        <v>5237.6044907413034</v>
      </c>
      <c r="H24" s="686">
        <f>+landbouw!G8</f>
        <v>0</v>
      </c>
      <c r="I24" s="686">
        <f>+landbouw!H8</f>
        <v>0</v>
      </c>
      <c r="J24" s="686">
        <f>+landbouw!I8</f>
        <v>0</v>
      </c>
      <c r="K24" s="686">
        <f>+landbouw!J8</f>
        <v>228.29535797578788</v>
      </c>
      <c r="L24" s="686">
        <f>+landbouw!K8</f>
        <v>0</v>
      </c>
      <c r="M24" s="686">
        <f>+landbouw!L8</f>
        <v>0</v>
      </c>
      <c r="N24" s="686">
        <f>+landbouw!M8</f>
        <v>0</v>
      </c>
      <c r="O24" s="686">
        <f>+landbouw!N8</f>
        <v>0</v>
      </c>
      <c r="P24" s="686">
        <f>+landbouw!O8</f>
        <v>0</v>
      </c>
      <c r="Q24" s="687">
        <f>+landbouw!P8</f>
        <v>0</v>
      </c>
      <c r="R24" s="689">
        <f>SUM(C24:Q24)</f>
        <v>8876.5316859450795</v>
      </c>
      <c r="S24" s="67"/>
    </row>
    <row r="25" spans="1:19" s="454" customFormat="1" ht="15" thickBot="1">
      <c r="A25" s="823" t="s">
        <v>856</v>
      </c>
      <c r="B25" s="991"/>
      <c r="C25" s="992">
        <f>IF(Onbekend_ele_kWh="---",0,Onbekend_ele_kWh)/1000+IF(REST_rest_ele_kWh="---",0,REST_rest_ele_kWh)/1000</f>
        <v>247.55199999999999</v>
      </c>
      <c r="D25" s="992"/>
      <c r="E25" s="992">
        <f>IF(onbekend_gas_kWh="---",0,onbekend_gas_kWh)/1000+IF(REST_rest_gas_kWh="---",0,REST_rest_gas_kWh)/1000</f>
        <v>1732.328</v>
      </c>
      <c r="F25" s="992"/>
      <c r="G25" s="992"/>
      <c r="H25" s="992"/>
      <c r="I25" s="992"/>
      <c r="J25" s="992"/>
      <c r="K25" s="992"/>
      <c r="L25" s="992"/>
      <c r="M25" s="992"/>
      <c r="N25" s="992"/>
      <c r="O25" s="992"/>
      <c r="P25" s="992"/>
      <c r="Q25" s="993"/>
      <c r="R25" s="689">
        <f>SUM(C25:Q25)</f>
        <v>1979.8799999999999</v>
      </c>
      <c r="S25" s="67"/>
    </row>
    <row r="26" spans="1:19" s="454" customFormat="1" ht="15.75" thickBot="1">
      <c r="A26" s="694" t="s">
        <v>857</v>
      </c>
      <c r="B26" s="809"/>
      <c r="C26" s="804">
        <f>SUM(C24:C25)</f>
        <v>1765.588</v>
      </c>
      <c r="D26" s="804">
        <f t="shared" ref="D26:R26" si="2">SUM(D24:D25)</f>
        <v>0</v>
      </c>
      <c r="E26" s="804">
        <f t="shared" si="2"/>
        <v>3605.7946280000001</v>
      </c>
      <c r="F26" s="804">
        <f t="shared" si="2"/>
        <v>19.129209227987406</v>
      </c>
      <c r="G26" s="804">
        <f t="shared" si="2"/>
        <v>5237.6044907413034</v>
      </c>
      <c r="H26" s="804">
        <f t="shared" si="2"/>
        <v>0</v>
      </c>
      <c r="I26" s="804">
        <f t="shared" si="2"/>
        <v>0</v>
      </c>
      <c r="J26" s="804">
        <f t="shared" si="2"/>
        <v>0</v>
      </c>
      <c r="K26" s="804">
        <f t="shared" si="2"/>
        <v>228.29535797578788</v>
      </c>
      <c r="L26" s="804">
        <f t="shared" si="2"/>
        <v>0</v>
      </c>
      <c r="M26" s="804">
        <f t="shared" si="2"/>
        <v>0</v>
      </c>
      <c r="N26" s="804">
        <f t="shared" si="2"/>
        <v>0</v>
      </c>
      <c r="O26" s="804">
        <f t="shared" si="2"/>
        <v>0</v>
      </c>
      <c r="P26" s="804">
        <f t="shared" si="2"/>
        <v>0</v>
      </c>
      <c r="Q26" s="804">
        <f t="shared" si="2"/>
        <v>0</v>
      </c>
      <c r="R26" s="804">
        <f t="shared" si="2"/>
        <v>10856.411685945079</v>
      </c>
      <c r="S26" s="67"/>
    </row>
    <row r="27" spans="1:19" s="454" customFormat="1" ht="17.25" thickTop="1" thickBot="1">
      <c r="A27" s="695" t="s">
        <v>115</v>
      </c>
      <c r="B27" s="796"/>
      <c r="C27" s="696">
        <f ca="1">C22+C16+C26</f>
        <v>21374.677136668834</v>
      </c>
      <c r="D27" s="696">
        <f t="shared" ref="D27:R27" ca="1" si="3">D22+D16+D26</f>
        <v>0</v>
      </c>
      <c r="E27" s="696">
        <f t="shared" ca="1" si="3"/>
        <v>20539.53377117659</v>
      </c>
      <c r="F27" s="696">
        <f t="shared" si="3"/>
        <v>2236.5156621571919</v>
      </c>
      <c r="G27" s="696">
        <f t="shared" ca="1" si="3"/>
        <v>42143.499892582739</v>
      </c>
      <c r="H27" s="696">
        <f t="shared" si="3"/>
        <v>41075.173263927078</v>
      </c>
      <c r="I27" s="696">
        <f t="shared" si="3"/>
        <v>7740.6485518547197</v>
      </c>
      <c r="J27" s="696">
        <f t="shared" si="3"/>
        <v>0</v>
      </c>
      <c r="K27" s="696">
        <f t="shared" si="3"/>
        <v>1928.6625246445371</v>
      </c>
      <c r="L27" s="696">
        <f t="shared" si="3"/>
        <v>0</v>
      </c>
      <c r="M27" s="696">
        <f t="shared" ca="1" si="3"/>
        <v>0</v>
      </c>
      <c r="N27" s="696">
        <f t="shared" si="3"/>
        <v>2207.1788474758719</v>
      </c>
      <c r="O27" s="696">
        <f t="shared" ca="1" si="3"/>
        <v>9826.6391470088092</v>
      </c>
      <c r="P27" s="696">
        <f t="shared" si="3"/>
        <v>64.096666666666678</v>
      </c>
      <c r="Q27" s="696">
        <f t="shared" si="3"/>
        <v>305.06666666666666</v>
      </c>
      <c r="R27" s="696">
        <f t="shared" ca="1" si="3"/>
        <v>149441.69213082973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1134.8959931791112</v>
      </c>
      <c r="D40" s="686">
        <f ca="1">tertiair!C20</f>
        <v>0</v>
      </c>
      <c r="E40" s="686">
        <f ca="1">tertiair!D20</f>
        <v>385.71110947600005</v>
      </c>
      <c r="F40" s="686">
        <f>tertiair!E20</f>
        <v>17.181216105804012</v>
      </c>
      <c r="G40" s="686">
        <f ca="1">tertiair!F20</f>
        <v>302.20176964114012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1839.9900884020553</v>
      </c>
    </row>
    <row r="41" spans="1:18">
      <c r="A41" s="814" t="s">
        <v>224</v>
      </c>
      <c r="B41" s="821"/>
      <c r="C41" s="686">
        <f ca="1">huishoudens!B12</f>
        <v>2699.6337646027218</v>
      </c>
      <c r="D41" s="686">
        <f ca="1">huishoudens!C12</f>
        <v>0</v>
      </c>
      <c r="E41" s="686">
        <f>huishoudens!D12</f>
        <v>2984.3931086200005</v>
      </c>
      <c r="F41" s="686">
        <f>huishoudens!E12</f>
        <v>434.00057982929712</v>
      </c>
      <c r="G41" s="686">
        <f>huishoudens!F12</f>
        <v>9400.442716920883</v>
      </c>
      <c r="H41" s="686">
        <f>huishoudens!G12</f>
        <v>0</v>
      </c>
      <c r="I41" s="686">
        <f>huishoudens!H12</f>
        <v>0</v>
      </c>
      <c r="J41" s="686">
        <f>huishoudens!I12</f>
        <v>0</v>
      </c>
      <c r="K41" s="686">
        <f>huishoudens!J12</f>
        <v>601.87603143139745</v>
      </c>
      <c r="L41" s="686">
        <f>huishoudens!K12</f>
        <v>0</v>
      </c>
      <c r="M41" s="686">
        <f>huishoudens!L12</f>
        <v>0</v>
      </c>
      <c r="N41" s="686">
        <f>huishoudens!M12</f>
        <v>0</v>
      </c>
      <c r="O41" s="686">
        <f>huishoudens!N12</f>
        <v>0</v>
      </c>
      <c r="P41" s="686">
        <f>huishoudens!O12</f>
        <v>0</v>
      </c>
      <c r="Q41" s="763">
        <f>huishoudens!P12</f>
        <v>0</v>
      </c>
      <c r="R41" s="842">
        <f t="shared" ca="1" si="4"/>
        <v>16120.346201404298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122.77230775084806</v>
      </c>
      <c r="D43" s="686">
        <f ca="1">industrie!C22</f>
        <v>0</v>
      </c>
      <c r="E43" s="686">
        <f>industrie!D22</f>
        <v>49.654051876000004</v>
      </c>
      <c r="F43" s="686">
        <f>industrie!E22</f>
        <v>18.114694921727406</v>
      </c>
      <c r="G43" s="686">
        <f>industrie!F22</f>
        <v>151.22958572964237</v>
      </c>
      <c r="H43" s="686">
        <f>industrie!G22</f>
        <v>0</v>
      </c>
      <c r="I43" s="686">
        <f>industrie!H22</f>
        <v>0</v>
      </c>
      <c r="J43" s="686">
        <f>industrie!I22</f>
        <v>0</v>
      </c>
      <c r="K43" s="686">
        <f>industrie!J22</f>
        <v>5.394556933978624E-2</v>
      </c>
      <c r="L43" s="686">
        <f>industrie!K22</f>
        <v>0</v>
      </c>
      <c r="M43" s="686">
        <f>industrie!L22</f>
        <v>0</v>
      </c>
      <c r="N43" s="686">
        <f>industrie!M22</f>
        <v>0</v>
      </c>
      <c r="O43" s="686">
        <f>industrie!N22</f>
        <v>0</v>
      </c>
      <c r="P43" s="686">
        <f>industrie!O22</f>
        <v>0</v>
      </c>
      <c r="Q43" s="763">
        <f>industrie!P22</f>
        <v>0</v>
      </c>
      <c r="R43" s="841">
        <f t="shared" ca="1" si="4"/>
        <v>341.82458584755756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3957.3020655326809</v>
      </c>
      <c r="D46" s="721">
        <f t="shared" ref="D46:Q46" ca="1" si="5">SUM(D39:D45)</f>
        <v>0</v>
      </c>
      <c r="E46" s="721">
        <f t="shared" ca="1" si="5"/>
        <v>3419.7582699720001</v>
      </c>
      <c r="F46" s="721">
        <f t="shared" si="5"/>
        <v>469.29649085682854</v>
      </c>
      <c r="G46" s="721">
        <f t="shared" ca="1" si="5"/>
        <v>9853.8740722916664</v>
      </c>
      <c r="H46" s="721">
        <f t="shared" si="5"/>
        <v>0</v>
      </c>
      <c r="I46" s="721">
        <f t="shared" si="5"/>
        <v>0</v>
      </c>
      <c r="J46" s="721">
        <f t="shared" si="5"/>
        <v>0</v>
      </c>
      <c r="K46" s="721">
        <f t="shared" si="5"/>
        <v>601.92997700073727</v>
      </c>
      <c r="L46" s="721">
        <f t="shared" si="5"/>
        <v>0</v>
      </c>
      <c r="M46" s="721">
        <f t="shared" ca="1" si="5"/>
        <v>0</v>
      </c>
      <c r="N46" s="721">
        <f t="shared" si="5"/>
        <v>0</v>
      </c>
      <c r="O46" s="721">
        <f t="shared" ca="1" si="5"/>
        <v>0</v>
      </c>
      <c r="P46" s="721">
        <f t="shared" si="5"/>
        <v>0</v>
      </c>
      <c r="Q46" s="721">
        <f t="shared" si="5"/>
        <v>0</v>
      </c>
      <c r="R46" s="721">
        <f ca="1">SUM(R39:R45)</f>
        <v>18302.16087565391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110.01753764099558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110.01753764099558</v>
      </c>
    </row>
    <row r="50" spans="1:18">
      <c r="A50" s="817" t="s">
        <v>306</v>
      </c>
      <c r="B50" s="827"/>
      <c r="C50" s="692">
        <f ca="1">transport!B18</f>
        <v>0.52163354013913721</v>
      </c>
      <c r="D50" s="692">
        <f>transport!C18</f>
        <v>0</v>
      </c>
      <c r="E50" s="692">
        <f>transport!D18</f>
        <v>0.85703694967067401</v>
      </c>
      <c r="F50" s="692">
        <f>transport!E18</f>
        <v>34.050233958100875</v>
      </c>
      <c r="G50" s="692">
        <f>transport!F18</f>
        <v>0</v>
      </c>
      <c r="H50" s="692">
        <f>transport!G18</f>
        <v>10857.053723827536</v>
      </c>
      <c r="I50" s="692">
        <f>transport!H18</f>
        <v>1927.4214894118252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12819.904117687271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0.52163354013913721</v>
      </c>
      <c r="D52" s="721">
        <f t="shared" ref="D52:Q52" ca="1" si="6">SUM(D48:D51)</f>
        <v>0</v>
      </c>
      <c r="E52" s="721">
        <f t="shared" si="6"/>
        <v>0.85703694967067401</v>
      </c>
      <c r="F52" s="721">
        <f t="shared" si="6"/>
        <v>34.050233958100875</v>
      </c>
      <c r="G52" s="721">
        <f t="shared" si="6"/>
        <v>0</v>
      </c>
      <c r="H52" s="721">
        <f t="shared" si="6"/>
        <v>10967.071261468531</v>
      </c>
      <c r="I52" s="721">
        <f t="shared" si="6"/>
        <v>1927.4214894118252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12929.921655328266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306.39459155757396</v>
      </c>
      <c r="D54" s="692">
        <f ca="1">+landbouw!C12</f>
        <v>0</v>
      </c>
      <c r="E54" s="692">
        <f>+landbouw!D12</f>
        <v>378.44025885600007</v>
      </c>
      <c r="F54" s="692">
        <f>+landbouw!E12</f>
        <v>4.3423304947531411</v>
      </c>
      <c r="G54" s="692">
        <f>+landbouw!F12</f>
        <v>1398.4403990279282</v>
      </c>
      <c r="H54" s="692">
        <f>+landbouw!G12</f>
        <v>0</v>
      </c>
      <c r="I54" s="692">
        <f>+landbouw!H12</f>
        <v>0</v>
      </c>
      <c r="J54" s="692">
        <f>+landbouw!I12</f>
        <v>0</v>
      </c>
      <c r="K54" s="692">
        <f>+landbouw!J12</f>
        <v>80.816556723428903</v>
      </c>
      <c r="L54" s="692">
        <f>+landbouw!K12</f>
        <v>0</v>
      </c>
      <c r="M54" s="692">
        <f>+landbouw!L12</f>
        <v>0</v>
      </c>
      <c r="N54" s="692">
        <f>+landbouw!M12</f>
        <v>0</v>
      </c>
      <c r="O54" s="692">
        <f>+landbouw!N12</f>
        <v>0</v>
      </c>
      <c r="P54" s="692">
        <f>+landbouw!O12</f>
        <v>0</v>
      </c>
      <c r="Q54" s="693">
        <f>+landbouw!P12</f>
        <v>0</v>
      </c>
      <c r="R54" s="720">
        <f ca="1">SUM(C54:Q54)</f>
        <v>2168.4341366596846</v>
      </c>
    </row>
    <row r="55" spans="1:18" ht="15" thickBot="1">
      <c r="A55" s="817" t="s">
        <v>856</v>
      </c>
      <c r="B55" s="827"/>
      <c r="C55" s="692">
        <f ca="1">C25*'EF ele_warmte'!B12</f>
        <v>49.964950718731664</v>
      </c>
      <c r="D55" s="692"/>
      <c r="E55" s="692">
        <f>E25*EF_CO2_aardgas</f>
        <v>349.93025600000004</v>
      </c>
      <c r="F55" s="692"/>
      <c r="G55" s="692"/>
      <c r="H55" s="692"/>
      <c r="I55" s="692"/>
      <c r="J55" s="692"/>
      <c r="K55" s="692"/>
      <c r="L55" s="692"/>
      <c r="M55" s="692"/>
      <c r="N55" s="692"/>
      <c r="O55" s="692"/>
      <c r="P55" s="692"/>
      <c r="Q55" s="693"/>
      <c r="R55" s="720">
        <f ca="1">SUM(C55:Q55)</f>
        <v>399.89520671873169</v>
      </c>
    </row>
    <row r="56" spans="1:18" ht="15.75" thickBot="1">
      <c r="A56" s="815" t="s">
        <v>857</v>
      </c>
      <c r="B56" s="828"/>
      <c r="C56" s="721">
        <f ca="1">SUM(C54:C55)</f>
        <v>356.3595422763056</v>
      </c>
      <c r="D56" s="721">
        <f t="shared" ref="D56:Q56" ca="1" si="7">SUM(D54:D55)</f>
        <v>0</v>
      </c>
      <c r="E56" s="721">
        <f t="shared" si="7"/>
        <v>728.37051485600011</v>
      </c>
      <c r="F56" s="721">
        <f t="shared" si="7"/>
        <v>4.3423304947531411</v>
      </c>
      <c r="G56" s="721">
        <f t="shared" si="7"/>
        <v>1398.4403990279282</v>
      </c>
      <c r="H56" s="721">
        <f t="shared" si="7"/>
        <v>0</v>
      </c>
      <c r="I56" s="721">
        <f t="shared" si="7"/>
        <v>0</v>
      </c>
      <c r="J56" s="721">
        <f t="shared" si="7"/>
        <v>0</v>
      </c>
      <c r="K56" s="721">
        <f t="shared" si="7"/>
        <v>80.816556723428903</v>
      </c>
      <c r="L56" s="721">
        <f t="shared" si="7"/>
        <v>0</v>
      </c>
      <c r="M56" s="721">
        <f t="shared" si="7"/>
        <v>0</v>
      </c>
      <c r="N56" s="721">
        <f t="shared" si="7"/>
        <v>0</v>
      </c>
      <c r="O56" s="721">
        <f t="shared" si="7"/>
        <v>0</v>
      </c>
      <c r="P56" s="721">
        <f t="shared" si="7"/>
        <v>0</v>
      </c>
      <c r="Q56" s="722">
        <f t="shared" si="7"/>
        <v>0</v>
      </c>
      <c r="R56" s="723">
        <f ca="1">SUM(R54:R55)</f>
        <v>2568.3293433784161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4314.1832413491256</v>
      </c>
      <c r="D61" s="729">
        <f t="shared" ref="D61:Q61" ca="1" si="8">D46+D52+D56</f>
        <v>0</v>
      </c>
      <c r="E61" s="729">
        <f t="shared" ca="1" si="8"/>
        <v>4148.9858217776709</v>
      </c>
      <c r="F61" s="729">
        <f t="shared" si="8"/>
        <v>507.68905530968254</v>
      </c>
      <c r="G61" s="729">
        <f t="shared" ca="1" si="8"/>
        <v>11252.314471319594</v>
      </c>
      <c r="H61" s="729">
        <f t="shared" si="8"/>
        <v>10967.071261468531</v>
      </c>
      <c r="I61" s="729">
        <f t="shared" si="8"/>
        <v>1927.4214894118252</v>
      </c>
      <c r="J61" s="729">
        <f t="shared" si="8"/>
        <v>0</v>
      </c>
      <c r="K61" s="729">
        <f t="shared" si="8"/>
        <v>682.74653372416617</v>
      </c>
      <c r="L61" s="729">
        <f t="shared" si="8"/>
        <v>0</v>
      </c>
      <c r="M61" s="729">
        <f t="shared" ca="1" si="8"/>
        <v>0</v>
      </c>
      <c r="N61" s="729">
        <f t="shared" si="8"/>
        <v>0</v>
      </c>
      <c r="O61" s="729">
        <f t="shared" ca="1" si="8"/>
        <v>0</v>
      </c>
      <c r="P61" s="729">
        <f t="shared" si="8"/>
        <v>0</v>
      </c>
      <c r="Q61" s="729">
        <f t="shared" si="8"/>
        <v>0</v>
      </c>
      <c r="R61" s="729">
        <f ca="1">R46+R52+R56</f>
        <v>33800.411874360587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0.20183618277667587</v>
      </c>
      <c r="D63" s="772">
        <f t="shared" ca="1" si="9"/>
        <v>0</v>
      </c>
      <c r="E63" s="998">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1853.4859993424739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1853.4859993424739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13375.370696490852</v>
      </c>
      <c r="C4" s="458">
        <f>huishoudens!C8</f>
        <v>0</v>
      </c>
      <c r="D4" s="458">
        <f>huishoudens!D8</f>
        <v>14774.223310000001</v>
      </c>
      <c r="E4" s="458">
        <f>huishoudens!E8</f>
        <v>1911.8968274418376</v>
      </c>
      <c r="F4" s="458">
        <f>huishoudens!F8</f>
        <v>35207.650625171846</v>
      </c>
      <c r="G4" s="458">
        <f>huishoudens!G8</f>
        <v>0</v>
      </c>
      <c r="H4" s="458">
        <f>huishoudens!H8</f>
        <v>0</v>
      </c>
      <c r="I4" s="458">
        <f>huishoudens!I8</f>
        <v>0</v>
      </c>
      <c r="J4" s="458">
        <f>huishoudens!J8</f>
        <v>1700.214778054795</v>
      </c>
      <c r="K4" s="458">
        <f>huishoudens!K8</f>
        <v>0</v>
      </c>
      <c r="L4" s="458">
        <f>huishoudens!L8</f>
        <v>0</v>
      </c>
      <c r="M4" s="458">
        <f>huishoudens!M8</f>
        <v>0</v>
      </c>
      <c r="N4" s="458">
        <f>huishoudens!N8</f>
        <v>8820.6808154280261</v>
      </c>
      <c r="O4" s="458">
        <f>huishoudens!O8</f>
        <v>64.096666666666678</v>
      </c>
      <c r="P4" s="459">
        <f>huishoudens!P8</f>
        <v>286</v>
      </c>
      <c r="Q4" s="460">
        <f>SUM(B4:P4)</f>
        <v>76140.133719254023</v>
      </c>
    </row>
    <row r="5" spans="1:17">
      <c r="A5" s="457" t="s">
        <v>155</v>
      </c>
      <c r="B5" s="458">
        <f ca="1">tertiair!B16</f>
        <v>5209.2829999999994</v>
      </c>
      <c r="C5" s="458">
        <f ca="1">tertiair!C16</f>
        <v>0</v>
      </c>
      <c r="D5" s="458">
        <f ca="1">tertiair!D16</f>
        <v>1909.4609380000002</v>
      </c>
      <c r="E5" s="458">
        <f>tertiair!E16</f>
        <v>75.688176677550715</v>
      </c>
      <c r="F5" s="458">
        <f ca="1">tertiair!F16</f>
        <v>1131.8418338619479</v>
      </c>
      <c r="G5" s="458">
        <f>tertiair!G16</f>
        <v>0</v>
      </c>
      <c r="H5" s="458">
        <f>tertiair!H16</f>
        <v>0</v>
      </c>
      <c r="I5" s="458">
        <f>tertiair!I16</f>
        <v>0</v>
      </c>
      <c r="J5" s="458">
        <f>tertiair!J16</f>
        <v>0</v>
      </c>
      <c r="K5" s="458">
        <f>tertiair!K16</f>
        <v>0</v>
      </c>
      <c r="L5" s="458">
        <f ca="1">tertiair!L16</f>
        <v>0</v>
      </c>
      <c r="M5" s="458">
        <f>tertiair!M16</f>
        <v>0</v>
      </c>
      <c r="N5" s="458">
        <f ca="1">tertiair!N16</f>
        <v>905.40412407589724</v>
      </c>
      <c r="O5" s="458">
        <f>tertiair!O16</f>
        <v>0</v>
      </c>
      <c r="P5" s="459">
        <f>tertiair!P16</f>
        <v>19.066666666666666</v>
      </c>
      <c r="Q5" s="457">
        <f t="shared" ref="Q5:Q14" ca="1" si="0">SUM(B5:P5)</f>
        <v>9250.7447392820632</v>
      </c>
    </row>
    <row r="6" spans="1:17">
      <c r="A6" s="457" t="s">
        <v>193</v>
      </c>
      <c r="B6" s="458">
        <f>'openbare verlichting'!B8</f>
        <v>413.57400000000001</v>
      </c>
      <c r="C6" s="458"/>
      <c r="D6" s="458"/>
      <c r="E6" s="458"/>
      <c r="F6" s="458"/>
      <c r="G6" s="458"/>
      <c r="H6" s="458"/>
      <c r="I6" s="458"/>
      <c r="J6" s="458"/>
      <c r="K6" s="458"/>
      <c r="L6" s="458"/>
      <c r="M6" s="458"/>
      <c r="N6" s="458"/>
      <c r="O6" s="458"/>
      <c r="P6" s="459"/>
      <c r="Q6" s="457">
        <f t="shared" si="0"/>
        <v>413.57400000000001</v>
      </c>
    </row>
    <row r="7" spans="1:17">
      <c r="A7" s="457" t="s">
        <v>111</v>
      </c>
      <c r="B7" s="458">
        <f>landbouw!B8</f>
        <v>1518.0360000000001</v>
      </c>
      <c r="C7" s="458">
        <f>landbouw!C8</f>
        <v>0</v>
      </c>
      <c r="D7" s="458">
        <f>landbouw!D8</f>
        <v>1873.4666280000001</v>
      </c>
      <c r="E7" s="458">
        <f>landbouw!E8</f>
        <v>19.129209227987406</v>
      </c>
      <c r="F7" s="458">
        <f>landbouw!F8</f>
        <v>5237.6044907413034</v>
      </c>
      <c r="G7" s="458">
        <f>landbouw!G8</f>
        <v>0</v>
      </c>
      <c r="H7" s="458">
        <f>landbouw!H8</f>
        <v>0</v>
      </c>
      <c r="I7" s="458">
        <f>landbouw!I8</f>
        <v>0</v>
      </c>
      <c r="J7" s="458">
        <f>landbouw!J8</f>
        <v>228.29535797578788</v>
      </c>
      <c r="K7" s="458">
        <f>landbouw!K8</f>
        <v>0</v>
      </c>
      <c r="L7" s="458">
        <f>landbouw!L8</f>
        <v>0</v>
      </c>
      <c r="M7" s="458">
        <f>landbouw!M8</f>
        <v>0</v>
      </c>
      <c r="N7" s="458">
        <f>landbouw!N8</f>
        <v>0</v>
      </c>
      <c r="O7" s="458">
        <f>landbouw!O8</f>
        <v>0</v>
      </c>
      <c r="P7" s="459">
        <f>landbouw!P8</f>
        <v>0</v>
      </c>
      <c r="Q7" s="457">
        <f t="shared" si="0"/>
        <v>8876.5316859450795</v>
      </c>
    </row>
    <row r="8" spans="1:17">
      <c r="A8" s="457" t="s">
        <v>655</v>
      </c>
      <c r="B8" s="458">
        <f>industrie!B18</f>
        <v>608.27699999999993</v>
      </c>
      <c r="C8" s="458">
        <f>industrie!C18</f>
        <v>0</v>
      </c>
      <c r="D8" s="458">
        <f>industrie!D18</f>
        <v>245.812138</v>
      </c>
      <c r="E8" s="458">
        <f>industrie!E18</f>
        <v>79.800418157389444</v>
      </c>
      <c r="F8" s="458">
        <f>industrie!F18</f>
        <v>566.40294280764931</v>
      </c>
      <c r="G8" s="458">
        <f>industrie!G18</f>
        <v>0</v>
      </c>
      <c r="H8" s="458">
        <f>industrie!H18</f>
        <v>0</v>
      </c>
      <c r="I8" s="458">
        <f>industrie!I18</f>
        <v>0</v>
      </c>
      <c r="J8" s="458">
        <f>industrie!J18</f>
        <v>0.15238861395419842</v>
      </c>
      <c r="K8" s="458">
        <f>industrie!K18</f>
        <v>0</v>
      </c>
      <c r="L8" s="458">
        <f>industrie!L18</f>
        <v>0</v>
      </c>
      <c r="M8" s="458">
        <f>industrie!M18</f>
        <v>0</v>
      </c>
      <c r="N8" s="458">
        <f>industrie!N18</f>
        <v>100.55420750488581</v>
      </c>
      <c r="O8" s="458">
        <f>industrie!O18</f>
        <v>0</v>
      </c>
      <c r="P8" s="459">
        <f>industrie!P18</f>
        <v>0</v>
      </c>
      <c r="Q8" s="457">
        <f t="shared" si="0"/>
        <v>1600.9990950838787</v>
      </c>
    </row>
    <row r="9" spans="1:17" s="463" customFormat="1">
      <c r="A9" s="461" t="s">
        <v>573</v>
      </c>
      <c r="B9" s="462">
        <f>transport!B14</f>
        <v>2.5844401779848614</v>
      </c>
      <c r="C9" s="462">
        <f>transport!C14</f>
        <v>0</v>
      </c>
      <c r="D9" s="462">
        <f>transport!D14</f>
        <v>4.242757176587495</v>
      </c>
      <c r="E9" s="462">
        <f>transport!E14</f>
        <v>150.00103065242675</v>
      </c>
      <c r="F9" s="462">
        <f>transport!F14</f>
        <v>0</v>
      </c>
      <c r="G9" s="462">
        <f>transport!G14</f>
        <v>40663.122561151817</v>
      </c>
      <c r="H9" s="462">
        <f>transport!H14</f>
        <v>7740.6485518547197</v>
      </c>
      <c r="I9" s="462">
        <f>transport!I14</f>
        <v>0</v>
      </c>
      <c r="J9" s="462">
        <f>transport!J14</f>
        <v>0</v>
      </c>
      <c r="K9" s="462">
        <f>transport!K14</f>
        <v>0</v>
      </c>
      <c r="L9" s="462">
        <f>transport!L14</f>
        <v>0</v>
      </c>
      <c r="M9" s="462">
        <f>transport!M14</f>
        <v>2188.8381298090189</v>
      </c>
      <c r="N9" s="462">
        <f>transport!N14</f>
        <v>0</v>
      </c>
      <c r="O9" s="462">
        <f>transport!O14</f>
        <v>0</v>
      </c>
      <c r="P9" s="462">
        <f>transport!P14</f>
        <v>0</v>
      </c>
      <c r="Q9" s="461">
        <f>SUM(B9:P9)</f>
        <v>50749.437470822551</v>
      </c>
    </row>
    <row r="10" spans="1:17">
      <c r="A10" s="457" t="s">
        <v>563</v>
      </c>
      <c r="B10" s="458">
        <f>transport!B54</f>
        <v>0</v>
      </c>
      <c r="C10" s="458">
        <f>transport!C54</f>
        <v>0</v>
      </c>
      <c r="D10" s="458">
        <f>transport!D54</f>
        <v>0</v>
      </c>
      <c r="E10" s="458">
        <f>transport!E54</f>
        <v>0</v>
      </c>
      <c r="F10" s="458">
        <f>transport!F54</f>
        <v>0</v>
      </c>
      <c r="G10" s="458">
        <f>transport!G54</f>
        <v>412.05070277526431</v>
      </c>
      <c r="H10" s="458">
        <f>transport!H54</f>
        <v>0</v>
      </c>
      <c r="I10" s="458">
        <f>transport!I54</f>
        <v>0</v>
      </c>
      <c r="J10" s="458">
        <f>transport!J54</f>
        <v>0</v>
      </c>
      <c r="K10" s="458">
        <f>transport!K54</f>
        <v>0</v>
      </c>
      <c r="L10" s="458">
        <f>transport!L54</f>
        <v>0</v>
      </c>
      <c r="M10" s="458">
        <f>transport!M54</f>
        <v>18.34071766685285</v>
      </c>
      <c r="N10" s="458">
        <f>transport!N54</f>
        <v>0</v>
      </c>
      <c r="O10" s="458">
        <f>transport!O54</f>
        <v>0</v>
      </c>
      <c r="P10" s="459">
        <f>transport!P54</f>
        <v>0</v>
      </c>
      <c r="Q10" s="457">
        <f t="shared" si="0"/>
        <v>430.39142044211718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247.55199999999999</v>
      </c>
      <c r="C14" s="465"/>
      <c r="D14" s="465">
        <f>'SEAP template'!E25</f>
        <v>1732.328</v>
      </c>
      <c r="E14" s="465"/>
      <c r="F14" s="465"/>
      <c r="G14" s="465"/>
      <c r="H14" s="465"/>
      <c r="I14" s="465"/>
      <c r="J14" s="465"/>
      <c r="K14" s="465"/>
      <c r="L14" s="465"/>
      <c r="M14" s="465"/>
      <c r="N14" s="465"/>
      <c r="O14" s="465"/>
      <c r="P14" s="466"/>
      <c r="Q14" s="457">
        <f t="shared" si="0"/>
        <v>1979.8799999999999</v>
      </c>
    </row>
    <row r="15" spans="1:17" s="470" customFormat="1">
      <c r="A15" s="467" t="s">
        <v>567</v>
      </c>
      <c r="B15" s="468">
        <f ca="1">SUM(B4:B14)</f>
        <v>21374.677136668834</v>
      </c>
      <c r="C15" s="468">
        <f t="shared" ref="C15:Q15" ca="1" si="1">SUM(C4:C14)</f>
        <v>0</v>
      </c>
      <c r="D15" s="468">
        <f t="shared" ca="1" si="1"/>
        <v>20539.53377117659</v>
      </c>
      <c r="E15" s="468">
        <f t="shared" si="1"/>
        <v>2236.5156621571919</v>
      </c>
      <c r="F15" s="468">
        <f t="shared" ca="1" si="1"/>
        <v>42143.499892582739</v>
      </c>
      <c r="G15" s="468">
        <f t="shared" si="1"/>
        <v>41075.173263927078</v>
      </c>
      <c r="H15" s="468">
        <f t="shared" si="1"/>
        <v>7740.6485518547197</v>
      </c>
      <c r="I15" s="468">
        <f t="shared" si="1"/>
        <v>0</v>
      </c>
      <c r="J15" s="468">
        <f t="shared" si="1"/>
        <v>1928.6625246445371</v>
      </c>
      <c r="K15" s="468">
        <f t="shared" si="1"/>
        <v>0</v>
      </c>
      <c r="L15" s="468">
        <f t="shared" ca="1" si="1"/>
        <v>0</v>
      </c>
      <c r="M15" s="468">
        <f t="shared" si="1"/>
        <v>2207.1788474758719</v>
      </c>
      <c r="N15" s="468">
        <f t="shared" ca="1" si="1"/>
        <v>9826.6391470088092</v>
      </c>
      <c r="O15" s="468">
        <f t="shared" si="1"/>
        <v>64.096666666666678</v>
      </c>
      <c r="P15" s="468">
        <f t="shared" si="1"/>
        <v>305.06666666666666</v>
      </c>
      <c r="Q15" s="468">
        <f t="shared" ca="1" si="1"/>
        <v>149441.6921308297</v>
      </c>
    </row>
    <row r="17" spans="1:17">
      <c r="A17" s="471" t="s">
        <v>568</v>
      </c>
      <c r="B17" s="777">
        <f ca="1">huishoudens!B10</f>
        <v>0.20183618277667587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2699.6337646027218</v>
      </c>
      <c r="C22" s="458">
        <f t="shared" ref="C22:C32" ca="1" si="3">C4*$C$17</f>
        <v>0</v>
      </c>
      <c r="D22" s="458">
        <f t="shared" ref="D22:D32" si="4">D4*$D$17</f>
        <v>2984.3931086200005</v>
      </c>
      <c r="E22" s="458">
        <f t="shared" ref="E22:E32" si="5">E4*$E$17</f>
        <v>434.00057982929712</v>
      </c>
      <c r="F22" s="458">
        <f t="shared" ref="F22:F32" si="6">F4*$F$17</f>
        <v>9400.442716920883</v>
      </c>
      <c r="G22" s="458">
        <f t="shared" ref="G22:G32" si="7">G4*$G$17</f>
        <v>0</v>
      </c>
      <c r="H22" s="458">
        <f t="shared" ref="H22:H32" si="8">H4*$H$17</f>
        <v>0</v>
      </c>
      <c r="I22" s="458">
        <f t="shared" ref="I22:I32" si="9">I4*$I$17</f>
        <v>0</v>
      </c>
      <c r="J22" s="458">
        <f t="shared" ref="J22:J32" si="10">J4*$J$17</f>
        <v>601.87603143139745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16120.346201404298</v>
      </c>
    </row>
    <row r="23" spans="1:17">
      <c r="A23" s="457" t="s">
        <v>155</v>
      </c>
      <c r="B23" s="458">
        <f t="shared" ca="1" si="2"/>
        <v>1051.4217957234303</v>
      </c>
      <c r="C23" s="458">
        <f t="shared" ca="1" si="3"/>
        <v>0</v>
      </c>
      <c r="D23" s="458">
        <f t="shared" ca="1" si="4"/>
        <v>385.71110947600005</v>
      </c>
      <c r="E23" s="458">
        <f t="shared" si="5"/>
        <v>17.181216105804012</v>
      </c>
      <c r="F23" s="458">
        <f t="shared" ca="1" si="6"/>
        <v>302.20176964114012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1756.5158909463744</v>
      </c>
    </row>
    <row r="24" spans="1:17">
      <c r="A24" s="457" t="s">
        <v>193</v>
      </c>
      <c r="B24" s="458">
        <f t="shared" ca="1" si="2"/>
        <v>83.474197455680951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83.474197455680951</v>
      </c>
    </row>
    <row r="25" spans="1:17">
      <c r="A25" s="457" t="s">
        <v>111</v>
      </c>
      <c r="B25" s="458">
        <f t="shared" ca="1" si="2"/>
        <v>306.39459155757396</v>
      </c>
      <c r="C25" s="458">
        <f t="shared" ca="1" si="3"/>
        <v>0</v>
      </c>
      <c r="D25" s="458">
        <f t="shared" si="4"/>
        <v>378.44025885600007</v>
      </c>
      <c r="E25" s="458">
        <f t="shared" si="5"/>
        <v>4.3423304947531411</v>
      </c>
      <c r="F25" s="458">
        <f t="shared" si="6"/>
        <v>1398.4403990279282</v>
      </c>
      <c r="G25" s="458">
        <f t="shared" si="7"/>
        <v>0</v>
      </c>
      <c r="H25" s="458">
        <f t="shared" si="8"/>
        <v>0</v>
      </c>
      <c r="I25" s="458">
        <f t="shared" si="9"/>
        <v>0</v>
      </c>
      <c r="J25" s="458">
        <f t="shared" si="10"/>
        <v>80.816556723428903</v>
      </c>
      <c r="K25" s="458">
        <f t="shared" si="11"/>
        <v>0</v>
      </c>
      <c r="L25" s="458">
        <f t="shared" si="12"/>
        <v>0</v>
      </c>
      <c r="M25" s="458">
        <f t="shared" si="13"/>
        <v>0</v>
      </c>
      <c r="N25" s="458">
        <f t="shared" si="14"/>
        <v>0</v>
      </c>
      <c r="O25" s="458">
        <f t="shared" si="15"/>
        <v>0</v>
      </c>
      <c r="P25" s="459">
        <f t="shared" si="16"/>
        <v>0</v>
      </c>
      <c r="Q25" s="457">
        <f t="shared" ca="1" si="17"/>
        <v>2168.4341366596846</v>
      </c>
    </row>
    <row r="26" spans="1:17">
      <c r="A26" s="457" t="s">
        <v>655</v>
      </c>
      <c r="B26" s="458">
        <f t="shared" ca="1" si="2"/>
        <v>122.77230775084806</v>
      </c>
      <c r="C26" s="458">
        <f t="shared" ca="1" si="3"/>
        <v>0</v>
      </c>
      <c r="D26" s="458">
        <f t="shared" si="4"/>
        <v>49.654051876000004</v>
      </c>
      <c r="E26" s="458">
        <f t="shared" si="5"/>
        <v>18.114694921727406</v>
      </c>
      <c r="F26" s="458">
        <f t="shared" si="6"/>
        <v>151.22958572964237</v>
      </c>
      <c r="G26" s="458">
        <f t="shared" si="7"/>
        <v>0</v>
      </c>
      <c r="H26" s="458">
        <f t="shared" si="8"/>
        <v>0</v>
      </c>
      <c r="I26" s="458">
        <f t="shared" si="9"/>
        <v>0</v>
      </c>
      <c r="J26" s="458">
        <f t="shared" si="10"/>
        <v>5.394556933978624E-2</v>
      </c>
      <c r="K26" s="458">
        <f t="shared" si="11"/>
        <v>0</v>
      </c>
      <c r="L26" s="458">
        <f t="shared" si="12"/>
        <v>0</v>
      </c>
      <c r="M26" s="458">
        <f t="shared" si="13"/>
        <v>0</v>
      </c>
      <c r="N26" s="458">
        <f t="shared" si="14"/>
        <v>0</v>
      </c>
      <c r="O26" s="458">
        <f t="shared" si="15"/>
        <v>0</v>
      </c>
      <c r="P26" s="459">
        <f t="shared" si="16"/>
        <v>0</v>
      </c>
      <c r="Q26" s="457">
        <f t="shared" ca="1" si="17"/>
        <v>341.82458584755756</v>
      </c>
    </row>
    <row r="27" spans="1:17" s="463" customFormat="1">
      <c r="A27" s="461" t="s">
        <v>573</v>
      </c>
      <c r="B27" s="771">
        <f t="shared" ca="1" si="2"/>
        <v>0.52163354013913721</v>
      </c>
      <c r="C27" s="462">
        <f t="shared" ca="1" si="3"/>
        <v>0</v>
      </c>
      <c r="D27" s="462">
        <f t="shared" si="4"/>
        <v>0.85703694967067401</v>
      </c>
      <c r="E27" s="462">
        <f t="shared" si="5"/>
        <v>34.050233958100875</v>
      </c>
      <c r="F27" s="462">
        <f t="shared" si="6"/>
        <v>0</v>
      </c>
      <c r="G27" s="462">
        <f t="shared" si="7"/>
        <v>10857.053723827536</v>
      </c>
      <c r="H27" s="462">
        <f t="shared" si="8"/>
        <v>1927.4214894118252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12819.904117687271</v>
      </c>
    </row>
    <row r="28" spans="1:17">
      <c r="A28" s="457" t="s">
        <v>563</v>
      </c>
      <c r="B28" s="458">
        <f t="shared" ca="1" si="2"/>
        <v>0</v>
      </c>
      <c r="C28" s="458">
        <f t="shared" ca="1" si="3"/>
        <v>0</v>
      </c>
      <c r="D28" s="458">
        <f t="shared" si="4"/>
        <v>0</v>
      </c>
      <c r="E28" s="458">
        <f t="shared" si="5"/>
        <v>0</v>
      </c>
      <c r="F28" s="458">
        <f t="shared" si="6"/>
        <v>0</v>
      </c>
      <c r="G28" s="458">
        <f t="shared" si="7"/>
        <v>110.01753764099558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110.01753764099558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49.964950718731664</v>
      </c>
      <c r="C32" s="458">
        <f t="shared" ca="1" si="3"/>
        <v>0</v>
      </c>
      <c r="D32" s="458">
        <f t="shared" si="4"/>
        <v>349.93025600000004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399.89520671873169</v>
      </c>
    </row>
    <row r="33" spans="1:17" s="470" customFormat="1">
      <c r="A33" s="467" t="s">
        <v>567</v>
      </c>
      <c r="B33" s="468">
        <f ca="1">SUM(B22:B32)</f>
        <v>4314.1832413491256</v>
      </c>
      <c r="C33" s="468">
        <f t="shared" ref="C33:Q33" ca="1" si="18">SUM(C22:C32)</f>
        <v>0</v>
      </c>
      <c r="D33" s="468">
        <f t="shared" ca="1" si="18"/>
        <v>4148.9858217776709</v>
      </c>
      <c r="E33" s="468">
        <f t="shared" si="18"/>
        <v>507.68905530968254</v>
      </c>
      <c r="F33" s="468">
        <f t="shared" ca="1" si="18"/>
        <v>11252.314471319594</v>
      </c>
      <c r="G33" s="468">
        <f t="shared" si="18"/>
        <v>10967.071261468531</v>
      </c>
      <c r="H33" s="468">
        <f t="shared" si="18"/>
        <v>1927.4214894118252</v>
      </c>
      <c r="I33" s="468">
        <f t="shared" si="18"/>
        <v>0</v>
      </c>
      <c r="J33" s="468">
        <f t="shared" si="18"/>
        <v>682.74653372416617</v>
      </c>
      <c r="K33" s="468">
        <f t="shared" si="18"/>
        <v>0</v>
      </c>
      <c r="L33" s="468">
        <f t="shared" ca="1" si="18"/>
        <v>0</v>
      </c>
      <c r="M33" s="468">
        <f t="shared" si="18"/>
        <v>0</v>
      </c>
      <c r="N33" s="468">
        <f t="shared" ca="1" si="18"/>
        <v>0</v>
      </c>
      <c r="O33" s="468">
        <f t="shared" si="18"/>
        <v>0</v>
      </c>
      <c r="P33" s="468">
        <f t="shared" si="18"/>
        <v>0</v>
      </c>
      <c r="Q33" s="468">
        <f t="shared" ca="1" si="18"/>
        <v>33800.411874360601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1853.4859993424739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1853.4859993424739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0.20183618277667587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0.20183618277667587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0.20183618277667587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0.20183618277667587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2889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3937</v>
      </c>
      <c r="C14" s="332"/>
      <c r="D14" s="332"/>
      <c r="E14" s="332"/>
      <c r="F14" s="332"/>
    </row>
    <row r="15" spans="1:6">
      <c r="A15" s="1306" t="s">
        <v>183</v>
      </c>
      <c r="B15" s="1307">
        <v>687</v>
      </c>
      <c r="C15" s="332"/>
      <c r="D15" s="332"/>
      <c r="E15" s="332"/>
      <c r="F15" s="332"/>
    </row>
    <row r="16" spans="1:6">
      <c r="A16" s="1306" t="s">
        <v>6</v>
      </c>
      <c r="B16" s="1307">
        <v>462</v>
      </c>
      <c r="C16" s="332"/>
      <c r="D16" s="332"/>
      <c r="E16" s="332"/>
      <c r="F16" s="332"/>
    </row>
    <row r="17" spans="1:6">
      <c r="A17" s="1306" t="s">
        <v>7</v>
      </c>
      <c r="B17" s="1307">
        <v>956</v>
      </c>
      <c r="C17" s="332"/>
      <c r="D17" s="332"/>
      <c r="E17" s="332"/>
      <c r="F17" s="332"/>
    </row>
    <row r="18" spans="1:6">
      <c r="A18" s="1306" t="s">
        <v>8</v>
      </c>
      <c r="B18" s="1307">
        <v>1089</v>
      </c>
      <c r="C18" s="332"/>
      <c r="D18" s="332"/>
      <c r="E18" s="332"/>
      <c r="F18" s="332"/>
    </row>
    <row r="19" spans="1:6">
      <c r="A19" s="1306" t="s">
        <v>9</v>
      </c>
      <c r="B19" s="1307">
        <v>896</v>
      </c>
      <c r="C19" s="332"/>
      <c r="D19" s="332"/>
      <c r="E19" s="332"/>
      <c r="F19" s="332"/>
    </row>
    <row r="20" spans="1:6">
      <c r="A20" s="1306" t="s">
        <v>10</v>
      </c>
      <c r="B20" s="1307">
        <v>660</v>
      </c>
      <c r="C20" s="332"/>
      <c r="D20" s="332"/>
      <c r="E20" s="332"/>
      <c r="F20" s="332"/>
    </row>
    <row r="21" spans="1:6">
      <c r="A21" s="1306" t="s">
        <v>11</v>
      </c>
      <c r="B21" s="1307">
        <v>2077</v>
      </c>
      <c r="C21" s="332"/>
      <c r="D21" s="332"/>
      <c r="E21" s="332"/>
      <c r="F21" s="332"/>
    </row>
    <row r="22" spans="1:6">
      <c r="A22" s="1306" t="s">
        <v>12</v>
      </c>
      <c r="B22" s="1307">
        <v>5871</v>
      </c>
      <c r="C22" s="332"/>
      <c r="D22" s="332"/>
      <c r="E22" s="332"/>
      <c r="F22" s="332"/>
    </row>
    <row r="23" spans="1:6">
      <c r="A23" s="1306" t="s">
        <v>13</v>
      </c>
      <c r="B23" s="1307">
        <v>69</v>
      </c>
      <c r="C23" s="332"/>
      <c r="D23" s="332"/>
      <c r="E23" s="332"/>
      <c r="F23" s="332"/>
    </row>
    <row r="24" spans="1:6">
      <c r="A24" s="1306" t="s">
        <v>14</v>
      </c>
      <c r="B24" s="1307">
        <v>6</v>
      </c>
      <c r="C24" s="332"/>
      <c r="D24" s="332"/>
      <c r="E24" s="332"/>
      <c r="F24" s="332"/>
    </row>
    <row r="25" spans="1:6">
      <c r="A25" s="1306" t="s">
        <v>15</v>
      </c>
      <c r="B25" s="1307">
        <v>493</v>
      </c>
      <c r="C25" s="332"/>
      <c r="D25" s="332"/>
      <c r="E25" s="332"/>
      <c r="F25" s="332"/>
    </row>
    <row r="26" spans="1:6">
      <c r="A26" s="1306" t="s">
        <v>16</v>
      </c>
      <c r="B26" s="1307">
        <v>38</v>
      </c>
      <c r="C26" s="332"/>
      <c r="D26" s="332"/>
      <c r="E26" s="332"/>
      <c r="F26" s="332"/>
    </row>
    <row r="27" spans="1:6">
      <c r="A27" s="1306" t="s">
        <v>17</v>
      </c>
      <c r="B27" s="1307">
        <v>4</v>
      </c>
      <c r="C27" s="332"/>
      <c r="D27" s="332"/>
      <c r="E27" s="332"/>
      <c r="F27" s="332"/>
    </row>
    <row r="28" spans="1:6" s="43" customFormat="1">
      <c r="A28" s="1308" t="s">
        <v>18</v>
      </c>
      <c r="B28" s="1309">
        <v>14899</v>
      </c>
      <c r="C28" s="338"/>
      <c r="D28" s="338"/>
      <c r="E28" s="338"/>
      <c r="F28" s="338"/>
    </row>
    <row r="29" spans="1:6">
      <c r="A29" s="1308" t="s">
        <v>916</v>
      </c>
      <c r="B29" s="1309">
        <v>35</v>
      </c>
      <c r="C29" s="338"/>
      <c r="D29" s="338"/>
      <c r="E29" s="338"/>
      <c r="F29" s="338"/>
    </row>
    <row r="30" spans="1:6">
      <c r="A30" s="1301" t="s">
        <v>917</v>
      </c>
      <c r="B30" s="1310">
        <v>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5307</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13838</v>
      </c>
    </row>
    <row r="39" spans="1:6">
      <c r="A39" s="1306" t="s">
        <v>29</v>
      </c>
      <c r="B39" s="1306" t="s">
        <v>30</v>
      </c>
      <c r="C39" s="1307">
        <v>866</v>
      </c>
      <c r="D39" s="1307">
        <v>16379405</v>
      </c>
      <c r="E39" s="1307">
        <v>2908</v>
      </c>
      <c r="F39" s="1307">
        <v>11783277</v>
      </c>
    </row>
    <row r="40" spans="1:6">
      <c r="A40" s="1306" t="s">
        <v>29</v>
      </c>
      <c r="B40" s="1306" t="s">
        <v>28</v>
      </c>
      <c r="C40" s="1307">
        <v>0</v>
      </c>
      <c r="D40" s="1307">
        <v>0</v>
      </c>
      <c r="E40" s="1307">
        <v>0</v>
      </c>
      <c r="F40" s="1307">
        <v>0</v>
      </c>
    </row>
    <row r="41" spans="1:6">
      <c r="A41" s="1306" t="s">
        <v>31</v>
      </c>
      <c r="B41" s="1306" t="s">
        <v>32</v>
      </c>
      <c r="C41" s="1307">
        <v>7</v>
      </c>
      <c r="D41" s="1307">
        <v>178500</v>
      </c>
      <c r="E41" s="1307">
        <v>34</v>
      </c>
      <c r="F41" s="1307">
        <v>192228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88351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v>
      </c>
      <c r="D48" s="1307">
        <v>94019</v>
      </c>
      <c r="E48" s="1307">
        <v>3</v>
      </c>
      <c r="F48" s="1307">
        <v>58064</v>
      </c>
    </row>
    <row r="49" spans="1:6">
      <c r="A49" s="1306" t="s">
        <v>31</v>
      </c>
      <c r="B49" s="1306" t="s">
        <v>39</v>
      </c>
      <c r="C49" s="1307">
        <v>0</v>
      </c>
      <c r="D49" s="1307">
        <v>0</v>
      </c>
      <c r="E49" s="1307">
        <v>0</v>
      </c>
      <c r="F49" s="1307">
        <v>0</v>
      </c>
    </row>
    <row r="50" spans="1:6">
      <c r="A50" s="1306" t="s">
        <v>31</v>
      </c>
      <c r="B50" s="1306" t="s">
        <v>40</v>
      </c>
      <c r="C50" s="1307">
        <v>0</v>
      </c>
      <c r="D50" s="1307">
        <v>0</v>
      </c>
      <c r="E50" s="1307">
        <v>7</v>
      </c>
      <c r="F50" s="1307">
        <v>269634</v>
      </c>
    </row>
    <row r="51" spans="1:6">
      <c r="A51" s="1306" t="s">
        <v>41</v>
      </c>
      <c r="B51" s="1306" t="s">
        <v>42</v>
      </c>
      <c r="C51" s="1307">
        <v>5</v>
      </c>
      <c r="D51" s="1307">
        <v>2077014</v>
      </c>
      <c r="E51" s="1307">
        <v>77</v>
      </c>
      <c r="F51" s="1307">
        <v>1518036</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28</v>
      </c>
      <c r="F54" s="1307">
        <v>413574</v>
      </c>
    </row>
    <row r="55" spans="1:6">
      <c r="A55" s="1306" t="s">
        <v>45</v>
      </c>
      <c r="B55" s="1306" t="s">
        <v>28</v>
      </c>
      <c r="C55" s="1307">
        <v>0</v>
      </c>
      <c r="D55" s="1307">
        <v>0</v>
      </c>
      <c r="E55" s="1307">
        <v>0</v>
      </c>
      <c r="F55" s="1307">
        <v>0</v>
      </c>
    </row>
    <row r="56" spans="1:6">
      <c r="A56" s="1306" t="s">
        <v>47</v>
      </c>
      <c r="B56" s="1306" t="s">
        <v>28</v>
      </c>
      <c r="C56" s="1307">
        <v>26</v>
      </c>
      <c r="D56" s="1307">
        <v>1732328</v>
      </c>
      <c r="E56" s="1307">
        <v>53</v>
      </c>
      <c r="F56" s="1307">
        <v>247552</v>
      </c>
    </row>
    <row r="57" spans="1:6">
      <c r="A57" s="1306" t="s">
        <v>48</v>
      </c>
      <c r="B57" s="1306" t="s">
        <v>49</v>
      </c>
      <c r="C57" s="1307">
        <v>3</v>
      </c>
      <c r="D57" s="1307">
        <v>77494</v>
      </c>
      <c r="E57" s="1307">
        <v>29</v>
      </c>
      <c r="F57" s="1307">
        <v>1290128</v>
      </c>
    </row>
    <row r="58" spans="1:6">
      <c r="A58" s="1306" t="s">
        <v>48</v>
      </c>
      <c r="B58" s="1306" t="s">
        <v>50</v>
      </c>
      <c r="C58" s="1307">
        <v>0</v>
      </c>
      <c r="D58" s="1307">
        <v>0</v>
      </c>
      <c r="E58" s="1307">
        <v>9</v>
      </c>
      <c r="F58" s="1307">
        <v>168032</v>
      </c>
    </row>
    <row r="59" spans="1:6">
      <c r="A59" s="1306" t="s">
        <v>48</v>
      </c>
      <c r="B59" s="1306" t="s">
        <v>51</v>
      </c>
      <c r="C59" s="1307">
        <v>14</v>
      </c>
      <c r="D59" s="1307">
        <v>496427</v>
      </c>
      <c r="E59" s="1307">
        <v>65</v>
      </c>
      <c r="F59" s="1307">
        <v>1566920</v>
      </c>
    </row>
    <row r="60" spans="1:6">
      <c r="A60" s="1306" t="s">
        <v>48</v>
      </c>
      <c r="B60" s="1306" t="s">
        <v>52</v>
      </c>
      <c r="C60" s="1307">
        <v>8</v>
      </c>
      <c r="D60" s="1307">
        <v>364971</v>
      </c>
      <c r="E60" s="1307">
        <v>43</v>
      </c>
      <c r="F60" s="1307">
        <v>737819</v>
      </c>
    </row>
    <row r="61" spans="1:6">
      <c r="A61" s="1306" t="s">
        <v>48</v>
      </c>
      <c r="B61" s="1306" t="s">
        <v>53</v>
      </c>
      <c r="C61" s="1307">
        <v>22</v>
      </c>
      <c r="D61" s="1307">
        <v>891915</v>
      </c>
      <c r="E61" s="1307">
        <v>119</v>
      </c>
      <c r="F61" s="1307">
        <v>1382105</v>
      </c>
    </row>
    <row r="62" spans="1:6">
      <c r="A62" s="1306" t="s">
        <v>48</v>
      </c>
      <c r="B62" s="1306" t="s">
        <v>54</v>
      </c>
      <c r="C62" s="1307">
        <v>3</v>
      </c>
      <c r="D62" s="1307">
        <v>274482</v>
      </c>
      <c r="E62" s="1307">
        <v>4</v>
      </c>
      <c r="F62" s="1307">
        <v>64279</v>
      </c>
    </row>
    <row r="63" spans="1:6">
      <c r="A63" s="1306" t="s">
        <v>48</v>
      </c>
      <c r="B63" s="1306" t="s">
        <v>28</v>
      </c>
      <c r="C63" s="1307">
        <v>1</v>
      </c>
      <c r="D63" s="1307">
        <v>11630</v>
      </c>
      <c r="E63" s="1307">
        <v>0</v>
      </c>
      <c r="F63" s="1307">
        <v>0</v>
      </c>
    </row>
    <row r="64" spans="1:6">
      <c r="A64" s="1306" t="s">
        <v>55</v>
      </c>
      <c r="B64" s="1306" t="s">
        <v>56</v>
      </c>
      <c r="C64" s="1307">
        <v>0</v>
      </c>
      <c r="D64" s="1307">
        <v>0</v>
      </c>
      <c r="E64" s="1307">
        <v>0</v>
      </c>
      <c r="F64" s="1307">
        <v>0</v>
      </c>
    </row>
    <row r="65" spans="1:6">
      <c r="A65" s="1306" t="s">
        <v>55</v>
      </c>
      <c r="B65" s="1306" t="s">
        <v>28</v>
      </c>
      <c r="C65" s="1307">
        <v>2</v>
      </c>
      <c r="D65" s="1307">
        <v>22669</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36583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50612150</v>
      </c>
      <c r="E73" s="456"/>
      <c r="F73" s="332"/>
    </row>
    <row r="74" spans="1:6">
      <c r="A74" s="1306" t="s">
        <v>63</v>
      </c>
      <c r="B74" s="1306" t="s">
        <v>724</v>
      </c>
      <c r="C74" s="1320" t="s">
        <v>725</v>
      </c>
      <c r="D74" s="1321">
        <v>3761724.7538205162</v>
      </c>
      <c r="E74" s="456"/>
      <c r="F74" s="332"/>
    </row>
    <row r="75" spans="1:6">
      <c r="A75" s="1306" t="s">
        <v>64</v>
      </c>
      <c r="B75" s="1306" t="s">
        <v>722</v>
      </c>
      <c r="C75" s="1320" t="s">
        <v>726</v>
      </c>
      <c r="D75" s="1321">
        <v>9254640</v>
      </c>
      <c r="E75" s="456"/>
      <c r="F75" s="332"/>
    </row>
    <row r="76" spans="1:6">
      <c r="A76" s="1306" t="s">
        <v>64</v>
      </c>
      <c r="B76" s="1306" t="s">
        <v>724</v>
      </c>
      <c r="C76" s="1320" t="s">
        <v>727</v>
      </c>
      <c r="D76" s="1321">
        <v>272105.75382051611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113884.49235896778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1592.0936964908519</v>
      </c>
      <c r="C91" s="332"/>
      <c r="D91" s="332"/>
      <c r="E91" s="332"/>
      <c r="F91" s="332"/>
    </row>
    <row r="92" spans="1:6">
      <c r="A92" s="1301" t="s">
        <v>68</v>
      </c>
      <c r="B92" s="1302">
        <v>261.39230285162199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176</v>
      </c>
      <c r="C97" s="332"/>
      <c r="D97" s="332"/>
      <c r="E97" s="332"/>
      <c r="F97" s="332"/>
    </row>
    <row r="98" spans="1:6">
      <c r="A98" s="1306" t="s">
        <v>71</v>
      </c>
      <c r="B98" s="1307">
        <v>2</v>
      </c>
      <c r="C98" s="332"/>
      <c r="D98" s="332"/>
      <c r="E98" s="332"/>
      <c r="F98" s="332"/>
    </row>
    <row r="99" spans="1:6">
      <c r="A99" s="1306" t="s">
        <v>72</v>
      </c>
      <c r="B99" s="1307">
        <v>23</v>
      </c>
      <c r="C99" s="332"/>
      <c r="D99" s="332"/>
      <c r="E99" s="332"/>
      <c r="F99" s="332"/>
    </row>
    <row r="100" spans="1:6">
      <c r="A100" s="1306" t="s">
        <v>73</v>
      </c>
      <c r="B100" s="1307">
        <v>74</v>
      </c>
      <c r="C100" s="332"/>
      <c r="D100" s="332"/>
      <c r="E100" s="332"/>
      <c r="F100" s="332"/>
    </row>
    <row r="101" spans="1:6">
      <c r="A101" s="1306" t="s">
        <v>74</v>
      </c>
      <c r="B101" s="1307">
        <v>31</v>
      </c>
      <c r="C101" s="332"/>
      <c r="D101" s="332"/>
      <c r="E101" s="332"/>
      <c r="F101" s="332"/>
    </row>
    <row r="102" spans="1:6">
      <c r="A102" s="1306" t="s">
        <v>75</v>
      </c>
      <c r="B102" s="1307">
        <v>20</v>
      </c>
      <c r="C102" s="332"/>
      <c r="D102" s="332"/>
      <c r="E102" s="332"/>
      <c r="F102" s="332"/>
    </row>
    <row r="103" spans="1:6">
      <c r="A103" s="1306" t="s">
        <v>76</v>
      </c>
      <c r="B103" s="1307">
        <v>117</v>
      </c>
      <c r="C103" s="332"/>
      <c r="D103" s="332"/>
      <c r="E103" s="332"/>
      <c r="F103" s="332"/>
    </row>
    <row r="104" spans="1:6">
      <c r="A104" s="1306" t="s">
        <v>77</v>
      </c>
      <c r="B104" s="1307">
        <v>2117</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7</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34</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21374.677136668834</v>
      </c>
      <c r="C3" s="43" t="s">
        <v>169</v>
      </c>
      <c r="D3" s="43"/>
      <c r="E3" s="156"/>
      <c r="F3" s="43"/>
      <c r="G3" s="43"/>
      <c r="H3" s="43"/>
      <c r="I3" s="43"/>
      <c r="J3" s="43"/>
      <c r="K3" s="96"/>
    </row>
    <row r="4" spans="1:11">
      <c r="A4" s="363" t="s">
        <v>170</v>
      </c>
      <c r="B4" s="49">
        <f>IF(ISERROR('SEAP template'!B78+'SEAP template'!C78),0,'SEAP template'!B78+'SEAP template'!C78)</f>
        <v>1853.4859993424739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0.20183618277667587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413.57400000000001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413.57400000000001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0.20183618277667587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83.474197455680951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11783.277</v>
      </c>
      <c r="C5" s="17">
        <f>IF(ISERROR('Eigen informatie GS &amp; warmtenet'!B57),0,'Eigen informatie GS &amp; warmtenet'!B57)</f>
        <v>0</v>
      </c>
      <c r="D5" s="30">
        <f>(SUM(HH_hh_gas_kWh,HH_rest_gas_kWh)/1000)*0.902</f>
        <v>14774.223310000001</v>
      </c>
      <c r="E5" s="17">
        <f>B46*B57</f>
        <v>1911.8968274418376</v>
      </c>
      <c r="F5" s="17">
        <f>B51*B62</f>
        <v>35207.650625171846</v>
      </c>
      <c r="G5" s="18"/>
      <c r="H5" s="17"/>
      <c r="I5" s="17"/>
      <c r="J5" s="17">
        <f>B50*B61+C50*C61</f>
        <v>1700.214778054795</v>
      </c>
      <c r="K5" s="17"/>
      <c r="L5" s="17"/>
      <c r="M5" s="17"/>
      <c r="N5" s="17">
        <f>B48*B59+C48*C59</f>
        <v>8820.6808154280261</v>
      </c>
      <c r="O5" s="17">
        <f>B69*B70*B71</f>
        <v>64.096666666666678</v>
      </c>
      <c r="P5" s="17">
        <f>B77*B78*B79/1000-B77*B78*B79/1000/B80</f>
        <v>286</v>
      </c>
    </row>
    <row r="6" spans="1:16">
      <c r="A6" s="16" t="s">
        <v>633</v>
      </c>
      <c r="B6" s="779">
        <f>kWh_PV_kleiner_dan_10kW</f>
        <v>1592.0936964908519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13375.370696490852</v>
      </c>
      <c r="C8" s="21">
        <f>C5</f>
        <v>0</v>
      </c>
      <c r="D8" s="21">
        <f>D5</f>
        <v>14774.223310000001</v>
      </c>
      <c r="E8" s="21">
        <f>E5</f>
        <v>1911.8968274418376</v>
      </c>
      <c r="F8" s="21">
        <f>F5</f>
        <v>35207.650625171846</v>
      </c>
      <c r="G8" s="21"/>
      <c r="H8" s="21"/>
      <c r="I8" s="21"/>
      <c r="J8" s="21">
        <f>J5</f>
        <v>1700.214778054795</v>
      </c>
      <c r="K8" s="21"/>
      <c r="L8" s="21">
        <f>L5</f>
        <v>0</v>
      </c>
      <c r="M8" s="21">
        <f>M5</f>
        <v>0</v>
      </c>
      <c r="N8" s="21">
        <f>N5</f>
        <v>8820.6808154280261</v>
      </c>
      <c r="O8" s="21">
        <f>O5</f>
        <v>64.096666666666678</v>
      </c>
      <c r="P8" s="21">
        <f>P5</f>
        <v>286</v>
      </c>
    </row>
    <row r="9" spans="1:16">
      <c r="B9" s="19"/>
      <c r="C9" s="19"/>
      <c r="D9" s="261"/>
      <c r="E9" s="19"/>
      <c r="F9" s="19"/>
      <c r="G9" s="19"/>
      <c r="H9" s="19"/>
      <c r="I9" s="19"/>
      <c r="J9" s="19"/>
      <c r="K9" s="19"/>
      <c r="L9" s="19"/>
      <c r="M9" s="19"/>
      <c r="N9" s="19"/>
      <c r="O9" s="19"/>
      <c r="P9" s="19"/>
    </row>
    <row r="10" spans="1:16">
      <c r="A10" s="24" t="s">
        <v>213</v>
      </c>
      <c r="B10" s="25">
        <f ca="1">'EF ele_warmte'!B12</f>
        <v>0.20183618277667587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2699.6337646027218</v>
      </c>
      <c r="C12" s="23">
        <f ca="1">C10*C8</f>
        <v>0</v>
      </c>
      <c r="D12" s="23">
        <f>D8*D10</f>
        <v>2984.3931086200005</v>
      </c>
      <c r="E12" s="23">
        <f>E10*E8</f>
        <v>434.00057982929712</v>
      </c>
      <c r="F12" s="23">
        <f>F10*F8</f>
        <v>9400.442716920883</v>
      </c>
      <c r="G12" s="23"/>
      <c r="H12" s="23"/>
      <c r="I12" s="23"/>
      <c r="J12" s="23">
        <f>J10*J8</f>
        <v>601.87603143139745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176</v>
      </c>
      <c r="C18" s="168" t="s">
        <v>110</v>
      </c>
      <c r="D18" s="230"/>
      <c r="E18" s="15"/>
    </row>
    <row r="19" spans="1:7">
      <c r="A19" s="173" t="s">
        <v>71</v>
      </c>
      <c r="B19" s="37">
        <f>aantalw2001_ander</f>
        <v>2</v>
      </c>
      <c r="C19" s="168" t="s">
        <v>110</v>
      </c>
      <c r="D19" s="231"/>
      <c r="E19" s="15"/>
    </row>
    <row r="20" spans="1:7">
      <c r="A20" s="173" t="s">
        <v>72</v>
      </c>
      <c r="B20" s="37">
        <f>aantalw2001_propaan</f>
        <v>23</v>
      </c>
      <c r="C20" s="169">
        <f>IF(ISERROR(B20/SUM($B$20,$B$21,$B$22)*100),0,B20/SUM($B$20,$B$21,$B$22)*100)</f>
        <v>17.96875</v>
      </c>
      <c r="D20" s="231"/>
      <c r="E20" s="15"/>
    </row>
    <row r="21" spans="1:7">
      <c r="A21" s="173" t="s">
        <v>73</v>
      </c>
      <c r="B21" s="37">
        <f>aantalw2001_elektriciteit</f>
        <v>74</v>
      </c>
      <c r="C21" s="169">
        <f>IF(ISERROR(B21/SUM($B$20,$B$21,$B$22)*100),0,B21/SUM($B$20,$B$21,$B$22)*100)</f>
        <v>57.8125</v>
      </c>
      <c r="D21" s="231"/>
      <c r="E21" s="15"/>
    </row>
    <row r="22" spans="1:7">
      <c r="A22" s="173" t="s">
        <v>74</v>
      </c>
      <c r="B22" s="37">
        <f>aantalw2001_hout</f>
        <v>31</v>
      </c>
      <c r="C22" s="169">
        <f>IF(ISERROR(B22/SUM($B$20,$B$21,$B$22)*100),0,B22/SUM($B$20,$B$21,$B$22)*100)</f>
        <v>24.21875</v>
      </c>
      <c r="D22" s="231"/>
      <c r="E22" s="15"/>
    </row>
    <row r="23" spans="1:7">
      <c r="A23" s="173" t="s">
        <v>75</v>
      </c>
      <c r="B23" s="37">
        <f>aantalw2001_niet_gespec</f>
        <v>20</v>
      </c>
      <c r="C23" s="168" t="s">
        <v>110</v>
      </c>
      <c r="D23" s="230"/>
      <c r="E23" s="15"/>
    </row>
    <row r="24" spans="1:7">
      <c r="A24" s="173" t="s">
        <v>76</v>
      </c>
      <c r="B24" s="37">
        <f>aantalw2001_steenkool</f>
        <v>117</v>
      </c>
      <c r="C24" s="168" t="s">
        <v>110</v>
      </c>
      <c r="D24" s="231"/>
      <c r="E24" s="15"/>
    </row>
    <row r="25" spans="1:7">
      <c r="A25" s="173" t="s">
        <v>77</v>
      </c>
      <c r="B25" s="37">
        <f>aantalw2001_stookolie</f>
        <v>2117</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2889</v>
      </c>
      <c r="C28" s="36"/>
      <c r="D28" s="230"/>
    </row>
    <row r="29" spans="1:7" s="15" customFormat="1">
      <c r="A29" s="232" t="s">
        <v>743</v>
      </c>
      <c r="B29" s="37">
        <f>SUM(HH_hh_gas_aantal,HH_rest_gas_aantal)</f>
        <v>866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866</v>
      </c>
      <c r="C32" s="169">
        <f>IF(ISERROR(B32/SUM($B$32,$B$34,$B$35,$B$36,$B$38,$B$39)*100),0,B32/SUM($B$32,$B$34,$B$35,$B$36,$B$38,$B$39)*100)</f>
        <v>30.132219902574807</v>
      </c>
      <c r="D32" s="235"/>
      <c r="G32" s="15"/>
    </row>
    <row r="33" spans="1:7">
      <c r="A33" s="173" t="s">
        <v>71</v>
      </c>
      <c r="B33" s="34" t="s">
        <v>110</v>
      </c>
      <c r="C33" s="169"/>
      <c r="D33" s="235"/>
      <c r="G33" s="15"/>
    </row>
    <row r="34" spans="1:7">
      <c r="A34" s="173" t="s">
        <v>72</v>
      </c>
      <c r="B34" s="33">
        <f>IF((($B$28-$B$32-$B$39-$B$77-$B$38)*C20/100)&lt;0,0,($B$28-$B$32-$B$39-$B$77-$B$38)*C20/100)</f>
        <v>83.375</v>
      </c>
      <c r="C34" s="169">
        <f>IF(ISERROR(B34/SUM($B$32,$B$34,$B$35,$B$36,$B$38,$B$39)*100),0,B34/SUM($B$32,$B$34,$B$35,$B$36,$B$38,$B$39)*100)</f>
        <v>2.901009046624913</v>
      </c>
      <c r="D34" s="235"/>
      <c r="G34" s="15"/>
    </row>
    <row r="35" spans="1:7">
      <c r="A35" s="173" t="s">
        <v>73</v>
      </c>
      <c r="B35" s="33">
        <f>IF((($B$28-$B$32-$B$39-$B$77-$B$38)*C21/100)&lt;0,0,($B$28-$B$32-$B$39-$B$77-$B$38)*C21/100)</f>
        <v>268.25</v>
      </c>
      <c r="C35" s="169">
        <f>IF(ISERROR(B35/SUM($B$32,$B$34,$B$35,$B$36,$B$38,$B$39)*100),0,B35/SUM($B$32,$B$34,$B$35,$B$36,$B$38,$B$39)*100)</f>
        <v>9.3336812804453722</v>
      </c>
      <c r="D35" s="235"/>
      <c r="G35" s="15"/>
    </row>
    <row r="36" spans="1:7">
      <c r="A36" s="173" t="s">
        <v>74</v>
      </c>
      <c r="B36" s="33">
        <f>IF((($B$28-$B$32-$B$39-$B$77-$B$38)*C22/100)&lt;0,0,($B$28-$B$32-$B$39-$B$77-$B$38)*C22/100)</f>
        <v>112.375</v>
      </c>
      <c r="C36" s="169">
        <f>IF(ISERROR(B36/SUM($B$32,$B$34,$B$35,$B$36,$B$38,$B$39)*100),0,B36/SUM($B$32,$B$34,$B$35,$B$36,$B$38,$B$39)*100)</f>
        <v>3.9100556715379264</v>
      </c>
      <c r="D36" s="235"/>
      <c r="G36" s="15"/>
    </row>
    <row r="37" spans="1:7">
      <c r="A37" s="173" t="s">
        <v>75</v>
      </c>
      <c r="B37" s="34" t="s">
        <v>110</v>
      </c>
      <c r="C37" s="169"/>
      <c r="D37" s="175"/>
      <c r="G37" s="15"/>
    </row>
    <row r="38" spans="1:7">
      <c r="A38" s="173" t="s">
        <v>76</v>
      </c>
      <c r="B38" s="33">
        <f>IF((B24-(B29-B18)*0.1)&lt;0,0,B24-(B29-B18)*0.1)</f>
        <v>48</v>
      </c>
      <c r="C38" s="169">
        <f>IF(ISERROR(B38/SUM($B$32,$B$34,$B$35,$B$36,$B$38,$B$39)*100),0,B38/SUM($B$32,$B$34,$B$35,$B$36,$B$38,$B$39)*100)</f>
        <v>1.6701461377870561</v>
      </c>
      <c r="D38" s="236"/>
      <c r="G38" s="15"/>
    </row>
    <row r="39" spans="1:7">
      <c r="A39" s="173" t="s">
        <v>77</v>
      </c>
      <c r="B39" s="33">
        <f>IF((B25-(B29-B18))&lt;0,0,B25-(B29-B18)*0.9)</f>
        <v>1496</v>
      </c>
      <c r="C39" s="169">
        <f>IF(ISERROR(B39/SUM($B$32,$B$34,$B$35,$B$36,$B$38,$B$39)*100),0,B39/SUM($B$32,$B$34,$B$35,$B$36,$B$38,$B$39)*100)</f>
        <v>52.052887961029924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866</v>
      </c>
      <c r="C44" s="34" t="s">
        <v>110</v>
      </c>
      <c r="D44" s="176"/>
    </row>
    <row r="45" spans="1:7">
      <c r="A45" s="173" t="s">
        <v>71</v>
      </c>
      <c r="B45" s="33" t="str">
        <f t="shared" si="0"/>
        <v>-</v>
      </c>
      <c r="C45" s="34" t="s">
        <v>110</v>
      </c>
      <c r="D45" s="176"/>
    </row>
    <row r="46" spans="1:7">
      <c r="A46" s="173" t="s">
        <v>72</v>
      </c>
      <c r="B46" s="33">
        <f t="shared" si="0"/>
        <v>83.375</v>
      </c>
      <c r="C46" s="34" t="s">
        <v>110</v>
      </c>
      <c r="D46" s="176"/>
    </row>
    <row r="47" spans="1:7">
      <c r="A47" s="173" t="s">
        <v>73</v>
      </c>
      <c r="B47" s="33">
        <f t="shared" si="0"/>
        <v>268.25</v>
      </c>
      <c r="C47" s="34" t="s">
        <v>110</v>
      </c>
      <c r="D47" s="176"/>
    </row>
    <row r="48" spans="1:7">
      <c r="A48" s="173" t="s">
        <v>74</v>
      </c>
      <c r="B48" s="33">
        <f t="shared" si="0"/>
        <v>112.375</v>
      </c>
      <c r="C48" s="33">
        <f>B48*10</f>
        <v>1123.75</v>
      </c>
      <c r="D48" s="236"/>
    </row>
    <row r="49" spans="1:6">
      <c r="A49" s="173" t="s">
        <v>75</v>
      </c>
      <c r="B49" s="33" t="str">
        <f t="shared" si="0"/>
        <v>-</v>
      </c>
      <c r="C49" s="34" t="s">
        <v>110</v>
      </c>
      <c r="D49" s="236"/>
    </row>
    <row r="50" spans="1:6">
      <c r="A50" s="173" t="s">
        <v>76</v>
      </c>
      <c r="B50" s="33">
        <f t="shared" si="0"/>
        <v>48</v>
      </c>
      <c r="C50" s="33">
        <f>B50*2</f>
        <v>96</v>
      </c>
      <c r="D50" s="236"/>
    </row>
    <row r="51" spans="1:6">
      <c r="A51" s="173" t="s">
        <v>77</v>
      </c>
      <c r="B51" s="33">
        <f t="shared" si="0"/>
        <v>1496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5209.2829999999994</v>
      </c>
      <c r="C5" s="17">
        <f>IF(ISERROR('Eigen informatie GS &amp; warmtenet'!B58),0,'Eigen informatie GS &amp; warmtenet'!B58)</f>
        <v>0</v>
      </c>
      <c r="D5" s="30">
        <f>SUM(D6:D12)</f>
        <v>1909.4609380000002</v>
      </c>
      <c r="E5" s="17">
        <f>SUM(E6:E12)</f>
        <v>75.688176677550715</v>
      </c>
      <c r="F5" s="17">
        <f>SUM(F6:F12)</f>
        <v>1131.8418338619479</v>
      </c>
      <c r="G5" s="18"/>
      <c r="H5" s="17"/>
      <c r="I5" s="17"/>
      <c r="J5" s="17">
        <f>SUM(J6:J12)</f>
        <v>0</v>
      </c>
      <c r="K5" s="17"/>
      <c r="L5" s="17"/>
      <c r="M5" s="17"/>
      <c r="N5" s="17">
        <f>SUM(N6:N12)</f>
        <v>905.40412407589724</v>
      </c>
      <c r="O5" s="17">
        <f>B38*B39*B40</f>
        <v>0</v>
      </c>
      <c r="P5" s="17">
        <f>B46*B47*B48/1000-B46*B47*B48/1000/B49</f>
        <v>19.066666666666666</v>
      </c>
      <c r="R5" s="32"/>
    </row>
    <row r="6" spans="1:18">
      <c r="A6" s="32" t="s">
        <v>53</v>
      </c>
      <c r="B6" s="37">
        <f>B26</f>
        <v>1382.105</v>
      </c>
      <c r="C6" s="33"/>
      <c r="D6" s="37">
        <f>IF(ISERROR(TER_kantoor_gas_kWh/1000),0,TER_kantoor_gas_kWh/1000)*0.902</f>
        <v>804.50733000000002</v>
      </c>
      <c r="E6" s="33">
        <f>$C$26*'E Balans VL '!I12/100/3.6*1000000</f>
        <v>5.3697705336772987</v>
      </c>
      <c r="F6" s="33">
        <f>$C$26*('E Balans VL '!L12+'E Balans VL '!N12)/100/3.6*1000000</f>
        <v>210.20559434715796</v>
      </c>
      <c r="G6" s="34"/>
      <c r="H6" s="33"/>
      <c r="I6" s="33"/>
      <c r="J6" s="33">
        <f>$C$26*('E Balans VL '!D12+'E Balans VL '!E12)/100/3.6*1000000</f>
        <v>0</v>
      </c>
      <c r="K6" s="33"/>
      <c r="L6" s="33"/>
      <c r="M6" s="33"/>
      <c r="N6" s="33">
        <f>$C$26*'E Balans VL '!Y12/100/3.6*1000000</f>
        <v>0.76170542710146527</v>
      </c>
      <c r="O6" s="33"/>
      <c r="P6" s="33"/>
      <c r="R6" s="32"/>
    </row>
    <row r="7" spans="1:18">
      <c r="A7" s="32" t="s">
        <v>52</v>
      </c>
      <c r="B7" s="37">
        <f t="shared" ref="B7:B12" si="0">B27</f>
        <v>737.81899999999996</v>
      </c>
      <c r="C7" s="33"/>
      <c r="D7" s="37">
        <f>IF(ISERROR(TER_horeca_gas_kWh/1000),0,TER_horeca_gas_kWh/1000)*0.902</f>
        <v>329.20384200000001</v>
      </c>
      <c r="E7" s="33">
        <f>$C$27*'E Balans VL '!I9/100/3.6*1000000</f>
        <v>41.561541530118056</v>
      </c>
      <c r="F7" s="33">
        <f>$C$27*('E Balans VL '!L9+'E Balans VL '!N9)/100/3.6*1000000</f>
        <v>212.74282727820366</v>
      </c>
      <c r="G7" s="34"/>
      <c r="H7" s="33"/>
      <c r="I7" s="33"/>
      <c r="J7" s="33">
        <f>$C$27*('E Balans VL '!D9+'E Balans VL '!E9)/100/3.6*1000000</f>
        <v>0</v>
      </c>
      <c r="K7" s="33"/>
      <c r="L7" s="33"/>
      <c r="M7" s="33"/>
      <c r="N7" s="33">
        <f>$C$27*'E Balans VL '!Y9/100/3.6*1000000</f>
        <v>0.20370799183174032</v>
      </c>
      <c r="O7" s="33"/>
      <c r="P7" s="33"/>
      <c r="R7" s="32"/>
    </row>
    <row r="8" spans="1:18">
      <c r="A8" s="6" t="s">
        <v>51</v>
      </c>
      <c r="B8" s="37">
        <f t="shared" si="0"/>
        <v>1566.92</v>
      </c>
      <c r="C8" s="33"/>
      <c r="D8" s="37">
        <f>IF(ISERROR(TER_handel_gas_kWh/1000),0,TER_handel_gas_kWh/1000)*0.902</f>
        <v>447.77715400000005</v>
      </c>
      <c r="E8" s="33">
        <f>$C$28*'E Balans VL '!I13/100/3.6*1000000</f>
        <v>22.584633230744249</v>
      </c>
      <c r="F8" s="33">
        <f>$C$28*('E Balans VL '!L13+'E Balans VL '!N13)/100/3.6*1000000</f>
        <v>272.21049510442214</v>
      </c>
      <c r="G8" s="34"/>
      <c r="H8" s="33"/>
      <c r="I8" s="33"/>
      <c r="J8" s="33">
        <f>$C$28*('E Balans VL '!D13+'E Balans VL '!E13)/100/3.6*1000000</f>
        <v>0</v>
      </c>
      <c r="K8" s="33"/>
      <c r="L8" s="33"/>
      <c r="M8" s="33"/>
      <c r="N8" s="33">
        <f>$C$28*'E Balans VL '!Y13/100/3.6*1000000</f>
        <v>4.6946667531277493</v>
      </c>
      <c r="O8" s="33"/>
      <c r="P8" s="33"/>
      <c r="R8" s="32"/>
    </row>
    <row r="9" spans="1:18">
      <c r="A9" s="32" t="s">
        <v>50</v>
      </c>
      <c r="B9" s="37">
        <f t="shared" si="0"/>
        <v>168.03200000000001</v>
      </c>
      <c r="C9" s="33"/>
      <c r="D9" s="37">
        <f>IF(ISERROR(TER_gezond_gas_kWh/1000),0,TER_gezond_gas_kWh/1000)*0.902</f>
        <v>0</v>
      </c>
      <c r="E9" s="33">
        <f>$C$29*'E Balans VL '!I10/100/3.6*1000000</f>
        <v>0.17950172829499261</v>
      </c>
      <c r="F9" s="33">
        <f>$C$29*('E Balans VL '!L10+'E Balans VL '!N10)/100/3.6*1000000</f>
        <v>27.411125884109545</v>
      </c>
      <c r="G9" s="34"/>
      <c r="H9" s="33"/>
      <c r="I9" s="33"/>
      <c r="J9" s="33">
        <f>$C$29*('E Balans VL '!D10+'E Balans VL '!E10)/100/3.6*1000000</f>
        <v>0</v>
      </c>
      <c r="K9" s="33"/>
      <c r="L9" s="33"/>
      <c r="M9" s="33"/>
      <c r="N9" s="33">
        <f>$C$29*'E Balans VL '!Y10/100/3.6*1000000</f>
        <v>1.7297935628535783</v>
      </c>
      <c r="O9" s="33"/>
      <c r="P9" s="33"/>
      <c r="R9" s="32"/>
    </row>
    <row r="10" spans="1:18">
      <c r="A10" s="32" t="s">
        <v>49</v>
      </c>
      <c r="B10" s="37">
        <f t="shared" si="0"/>
        <v>1290.1279999999999</v>
      </c>
      <c r="C10" s="33"/>
      <c r="D10" s="37">
        <f>IF(ISERROR(TER_ander_gas_kWh/1000),0,TER_ander_gas_kWh/1000)*0.902</f>
        <v>69.899588000000008</v>
      </c>
      <c r="E10" s="33">
        <f>$C$30*'E Balans VL '!I14/100/3.6*1000000</f>
        <v>5.933102428963366</v>
      </c>
      <c r="F10" s="33">
        <f>$C$30*('E Balans VL '!L14+'E Balans VL '!N14)/100/3.6*1000000</f>
        <v>386.69205589465395</v>
      </c>
      <c r="G10" s="34"/>
      <c r="H10" s="33"/>
      <c r="I10" s="33"/>
      <c r="J10" s="33">
        <f>$C$30*('E Balans VL '!D14+'E Balans VL '!E14)/100/3.6*1000000</f>
        <v>0</v>
      </c>
      <c r="K10" s="33"/>
      <c r="L10" s="33"/>
      <c r="M10" s="33"/>
      <c r="N10" s="33">
        <f>$C$30*'E Balans VL '!Y14/100/3.6*1000000</f>
        <v>898.0142503409827</v>
      </c>
      <c r="O10" s="33"/>
      <c r="P10" s="33"/>
      <c r="R10" s="32"/>
    </row>
    <row r="11" spans="1:18">
      <c r="A11" s="32" t="s">
        <v>54</v>
      </c>
      <c r="B11" s="37">
        <f t="shared" si="0"/>
        <v>64.278999999999996</v>
      </c>
      <c r="C11" s="33"/>
      <c r="D11" s="37">
        <f>IF(ISERROR(TER_onderwijs_gas_kWh/1000),0,TER_onderwijs_gas_kWh/1000)*0.902</f>
        <v>247.58276400000003</v>
      </c>
      <c r="E11" s="33">
        <f>$C$31*'E Balans VL '!I11/100/3.6*1000000</f>
        <v>5.9627225752755419E-2</v>
      </c>
      <c r="F11" s="33">
        <f>$C$31*('E Balans VL '!L11+'E Balans VL '!N11)/100/3.6*1000000</f>
        <v>22.579735353400618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10.490260000000001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5209.2829999999994</v>
      </c>
      <c r="C16" s="21">
        <f t="shared" ca="1" si="1"/>
        <v>0</v>
      </c>
      <c r="D16" s="21">
        <f t="shared" ca="1" si="1"/>
        <v>1909.4609380000002</v>
      </c>
      <c r="E16" s="21">
        <f t="shared" si="1"/>
        <v>75.688176677550715</v>
      </c>
      <c r="F16" s="21">
        <f t="shared" ca="1" si="1"/>
        <v>1131.8418338619479</v>
      </c>
      <c r="G16" s="21">
        <f t="shared" si="1"/>
        <v>0</v>
      </c>
      <c r="H16" s="21">
        <f t="shared" si="1"/>
        <v>0</v>
      </c>
      <c r="I16" s="21">
        <f t="shared" si="1"/>
        <v>0</v>
      </c>
      <c r="J16" s="21">
        <f t="shared" si="1"/>
        <v>0</v>
      </c>
      <c r="K16" s="21">
        <f t="shared" si="1"/>
        <v>0</v>
      </c>
      <c r="L16" s="21">
        <f t="shared" ca="1" si="1"/>
        <v>0</v>
      </c>
      <c r="M16" s="21">
        <f t="shared" si="1"/>
        <v>0</v>
      </c>
      <c r="N16" s="21">
        <f t="shared" ca="1" si="1"/>
        <v>905.40412407589724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0.20183618277667587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1051.4217957234303</v>
      </c>
      <c r="C20" s="23">
        <f t="shared" ref="C20:P20" ca="1" si="2">C16*C18</f>
        <v>0</v>
      </c>
      <c r="D20" s="23">
        <f t="shared" ca="1" si="2"/>
        <v>385.71110947600005</v>
      </c>
      <c r="E20" s="23">
        <f t="shared" si="2"/>
        <v>17.181216105804012</v>
      </c>
      <c r="F20" s="23">
        <f t="shared" ca="1" si="2"/>
        <v>302.20176964114012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1382.105</v>
      </c>
      <c r="C26" s="39">
        <f>IF(ISERROR(B26*3.6/1000000/'E Balans VL '!Z12*100),0,B26*3.6/1000000/'E Balans VL '!Z12*100)</f>
        <v>2.9356594805819463E-2</v>
      </c>
      <c r="D26" s="239" t="s">
        <v>689</v>
      </c>
      <c r="F26" s="6"/>
    </row>
    <row r="27" spans="1:18">
      <c r="A27" s="233" t="s">
        <v>52</v>
      </c>
      <c r="B27" s="33">
        <f>IF(ISERROR(TER_horeca_ele_kWh/1000),0,TER_horeca_ele_kWh/1000)</f>
        <v>737.81899999999996</v>
      </c>
      <c r="C27" s="39">
        <f>IF(ISERROR(B27*3.6/1000000/'E Balans VL '!Z9*100),0,B27*3.6/1000000/'E Balans VL '!Z9*100)</f>
        <v>5.7369920625478125E-2</v>
      </c>
      <c r="D27" s="239" t="s">
        <v>689</v>
      </c>
      <c r="F27" s="6"/>
    </row>
    <row r="28" spans="1:18">
      <c r="A28" s="173" t="s">
        <v>51</v>
      </c>
      <c r="B28" s="33">
        <f>IF(ISERROR(TER_handel_ele_kWh/1000),0,TER_handel_ele_kWh/1000)</f>
        <v>1566.92</v>
      </c>
      <c r="C28" s="39">
        <f>IF(ISERROR(B28*3.6/1000000/'E Balans VL '!Z13*100),0,B28*3.6/1000000/'E Balans VL '!Z13*100)</f>
        <v>4.4831425280367272E-2</v>
      </c>
      <c r="D28" s="239" t="s">
        <v>689</v>
      </c>
      <c r="F28" s="6"/>
    </row>
    <row r="29" spans="1:18">
      <c r="A29" s="233" t="s">
        <v>50</v>
      </c>
      <c r="B29" s="33">
        <f>IF(ISERROR(TER_gezond_ele_kWh/1000),0,TER_gezond_ele_kWh/1000)</f>
        <v>168.03200000000001</v>
      </c>
      <c r="C29" s="39">
        <f>IF(ISERROR(B29*3.6/1000000/'E Balans VL '!Z10*100),0,B29*3.6/1000000/'E Balans VL '!Z10*100)</f>
        <v>1.8319392595394744E-2</v>
      </c>
      <c r="D29" s="239" t="s">
        <v>689</v>
      </c>
      <c r="F29" s="6"/>
    </row>
    <row r="30" spans="1:18">
      <c r="A30" s="233" t="s">
        <v>49</v>
      </c>
      <c r="B30" s="33">
        <f>IF(ISERROR(TER_ander_ele_kWh/1000),0,TER_ander_ele_kWh/1000)</f>
        <v>1290.1279999999999</v>
      </c>
      <c r="C30" s="39">
        <f>IF(ISERROR(B30*3.6/1000000/'E Balans VL '!Z14*100),0,B30*3.6/1000000/'E Balans VL '!Z14*100)</f>
        <v>9.4408640454008028E-2</v>
      </c>
      <c r="D30" s="239" t="s">
        <v>689</v>
      </c>
      <c r="F30" s="6"/>
    </row>
    <row r="31" spans="1:18">
      <c r="A31" s="233" t="s">
        <v>54</v>
      </c>
      <c r="B31" s="33">
        <f>IF(ISERROR(TER_onderwijs_ele_kWh/1000),0,TER_onderwijs_ele_kWh/1000)</f>
        <v>64.278999999999996</v>
      </c>
      <c r="C31" s="39">
        <f>IF(ISERROR(B31*3.6/1000000/'E Balans VL '!Z11*100),0,B31*3.6/1000000/'E Balans VL '!Z11*100)</f>
        <v>1.2910484882269185E-2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608.27699999999993</v>
      </c>
      <c r="C5" s="17">
        <f>IF(ISERROR('Eigen informatie GS &amp; warmtenet'!B59),0,'Eigen informatie GS &amp; warmtenet'!B59)</f>
        <v>0</v>
      </c>
      <c r="D5" s="30">
        <f>SUM(D6:D15)</f>
        <v>245.812138</v>
      </c>
      <c r="E5" s="17">
        <f>SUM(E6:E15)</f>
        <v>79.800418157389444</v>
      </c>
      <c r="F5" s="17">
        <f>SUM(F6:F15)</f>
        <v>566.40294280764931</v>
      </c>
      <c r="G5" s="18"/>
      <c r="H5" s="17"/>
      <c r="I5" s="17"/>
      <c r="J5" s="17">
        <f>SUM(J6:J15)</f>
        <v>0.15238861395419842</v>
      </c>
      <c r="K5" s="17"/>
      <c r="L5" s="17"/>
      <c r="M5" s="17"/>
      <c r="N5" s="17">
        <f>SUM(N6:N15)</f>
        <v>100.55420750488581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88.350999999999999</v>
      </c>
      <c r="C8" s="33"/>
      <c r="D8" s="37">
        <f>IF( ISERROR(IND_metaal_Gas_kWH/1000),0,IND_metaal_Gas_kWH/1000)*0.902</f>
        <v>0</v>
      </c>
      <c r="E8" s="33">
        <f>C30*'E Balans VL '!I18/100/3.6*1000000</f>
        <v>2.5377723489702357</v>
      </c>
      <c r="F8" s="33">
        <f>C30*'E Balans VL '!L18/100/3.6*1000000+C30*'E Balans VL '!N18/100/3.6*1000000</f>
        <v>22.66033226607091</v>
      </c>
      <c r="G8" s="34"/>
      <c r="H8" s="33"/>
      <c r="I8" s="33"/>
      <c r="J8" s="40">
        <f>C30*'E Balans VL '!D18/100/3.6*1000000+C30*'E Balans VL '!E18/100/3.6*1000000</f>
        <v>0</v>
      </c>
      <c r="K8" s="33"/>
      <c r="L8" s="33"/>
      <c r="M8" s="33"/>
      <c r="N8" s="33">
        <f>C30*'E Balans VL '!Y18/100/3.6*1000000</f>
        <v>2.3989099999425689</v>
      </c>
      <c r="O8" s="33"/>
      <c r="P8" s="33"/>
      <c r="R8" s="32"/>
    </row>
    <row r="9" spans="1:18">
      <c r="A9" s="6" t="s">
        <v>32</v>
      </c>
      <c r="B9" s="37">
        <f t="shared" si="0"/>
        <v>192.22800000000001</v>
      </c>
      <c r="C9" s="33"/>
      <c r="D9" s="37">
        <f>IF( ISERROR(IND_andere_gas_kWh/1000),0,IND_andere_gas_kWh/1000)*0.902</f>
        <v>161.00700000000001</v>
      </c>
      <c r="E9" s="33">
        <f>C31*'E Balans VL '!I19/100/3.6*1000000</f>
        <v>52.031393282389203</v>
      </c>
      <c r="F9" s="33">
        <f>C31*'E Balans VL '!L19/100/3.6*1000000+C31*'E Balans VL '!N19/100/3.6*1000000</f>
        <v>128.04418997163958</v>
      </c>
      <c r="G9" s="34"/>
      <c r="H9" s="33"/>
      <c r="I9" s="33"/>
      <c r="J9" s="40">
        <f>C31*'E Balans VL '!D19/100/3.6*1000000+C31*'E Balans VL '!E19/100/3.6*1000000</f>
        <v>0</v>
      </c>
      <c r="K9" s="33"/>
      <c r="L9" s="33"/>
      <c r="M9" s="33"/>
      <c r="N9" s="33">
        <f>C31*'E Balans VL '!Y19/100/3.6*1000000</f>
        <v>16.251604034910372</v>
      </c>
      <c r="O9" s="33"/>
      <c r="P9" s="33"/>
      <c r="R9" s="32"/>
    </row>
    <row r="10" spans="1:18">
      <c r="A10" s="6" t="s">
        <v>40</v>
      </c>
      <c r="B10" s="37">
        <f t="shared" si="0"/>
        <v>269.63400000000001</v>
      </c>
      <c r="C10" s="33"/>
      <c r="D10" s="37">
        <f>IF( ISERROR(IND_voed_gas_kWh/1000),0,IND_voed_gas_kWh/1000)*0.902</f>
        <v>0</v>
      </c>
      <c r="E10" s="33">
        <f>C32*'E Balans VL '!I20/100/3.6*1000000</f>
        <v>21.991968507995605</v>
      </c>
      <c r="F10" s="33">
        <f>C32*'E Balans VL '!L20/100/3.6*1000000+C32*'E Balans VL '!N20/100/3.6*1000000</f>
        <v>402.04875733998938</v>
      </c>
      <c r="G10" s="34"/>
      <c r="H10" s="33"/>
      <c r="I10" s="33"/>
      <c r="J10" s="40">
        <f>C32*'E Balans VL '!D20/100/3.6*1000000+C32*'E Balans VL '!E20/100/3.6*1000000</f>
        <v>3.5669305282303911E-3</v>
      </c>
      <c r="K10" s="33"/>
      <c r="L10" s="33"/>
      <c r="M10" s="33"/>
      <c r="N10" s="33">
        <f>C32*'E Balans VL '!Y20/100/3.6*1000000</f>
        <v>79.208954842052862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58.064</v>
      </c>
      <c r="C15" s="33"/>
      <c r="D15" s="37">
        <f>IF( ISERROR(IND_rest_gas_kWh/1000),0,IND_rest_gas_kWh/1000)*0.902</f>
        <v>84.805138000000014</v>
      </c>
      <c r="E15" s="33">
        <f>C37*'E Balans VL '!I15/100/3.6*1000000</f>
        <v>3.2392840180344016</v>
      </c>
      <c r="F15" s="33">
        <f>C37*'E Balans VL '!L15/100/3.6*1000000+C37*'E Balans VL '!N15/100/3.6*1000000</f>
        <v>13.649663229949427</v>
      </c>
      <c r="G15" s="34"/>
      <c r="H15" s="33"/>
      <c r="I15" s="33"/>
      <c r="J15" s="40">
        <f>C37*'E Balans VL '!D15/100/3.6*1000000+C37*'E Balans VL '!E15/100/3.6*1000000</f>
        <v>0.14882168342596802</v>
      </c>
      <c r="K15" s="33"/>
      <c r="L15" s="33"/>
      <c r="M15" s="33"/>
      <c r="N15" s="33">
        <f>C37*'E Balans VL '!Y15/100/3.6*1000000</f>
        <v>2.6947386279800196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608.27699999999993</v>
      </c>
      <c r="C18" s="21">
        <f>C5+C16</f>
        <v>0</v>
      </c>
      <c r="D18" s="21">
        <f>MAX((D5+D16),0)</f>
        <v>245.812138</v>
      </c>
      <c r="E18" s="21">
        <f>MAX((E5+E16),0)</f>
        <v>79.800418157389444</v>
      </c>
      <c r="F18" s="21">
        <f>MAX((F5+F16),0)</f>
        <v>566.40294280764931</v>
      </c>
      <c r="G18" s="21"/>
      <c r="H18" s="21"/>
      <c r="I18" s="21"/>
      <c r="J18" s="21">
        <f>MAX((J5+J16),0)</f>
        <v>0.15238861395419842</v>
      </c>
      <c r="K18" s="21"/>
      <c r="L18" s="21">
        <f>MAX((L5+L16),0)</f>
        <v>0</v>
      </c>
      <c r="M18" s="21"/>
      <c r="N18" s="21">
        <f>MAX((N5+N16),0)</f>
        <v>100.55420750488581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0.20183618277667587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122.77230775084806</v>
      </c>
      <c r="C22" s="23">
        <f ca="1">C18*C20</f>
        <v>0</v>
      </c>
      <c r="D22" s="23">
        <f>D18*D20</f>
        <v>49.654051876000004</v>
      </c>
      <c r="E22" s="23">
        <f>E18*E20</f>
        <v>18.114694921727406</v>
      </c>
      <c r="F22" s="23">
        <f>F18*F20</f>
        <v>151.22958572964237</v>
      </c>
      <c r="G22" s="23"/>
      <c r="H22" s="23"/>
      <c r="I22" s="23"/>
      <c r="J22" s="23">
        <f>J18*J20</f>
        <v>5.394556933978624E-2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88.350999999999999</v>
      </c>
      <c r="C30" s="39">
        <f>IF(ISERROR(B30*3.6/1000000/'E Balans VL '!Z18*100),0,B30*3.6/1000000/'E Balans VL '!Z18*100)</f>
        <v>8.6935128639222432E-3</v>
      </c>
      <c r="D30" s="239" t="s">
        <v>689</v>
      </c>
    </row>
    <row r="31" spans="1:18">
      <c r="A31" s="6" t="s">
        <v>32</v>
      </c>
      <c r="B31" s="37">
        <f>IF( ISERROR(IND_ander_ele_kWh/1000),0,IND_ander_ele_kWh/1000)</f>
        <v>192.22800000000001</v>
      </c>
      <c r="C31" s="39">
        <f>IF(ISERROR(B31*3.6/1000000/'E Balans VL '!Z19*100),0,B31*3.6/1000000/'E Balans VL '!Z19*100)</f>
        <v>8.3713760612348885E-3</v>
      </c>
      <c r="D31" s="239" t="s">
        <v>689</v>
      </c>
    </row>
    <row r="32" spans="1:18">
      <c r="A32" s="173" t="s">
        <v>40</v>
      </c>
      <c r="B32" s="37">
        <f>IF( ISERROR(IND_voed_ele_kWh/1000),0,IND_voed_ele_kWh/1000)</f>
        <v>269.63400000000001</v>
      </c>
      <c r="C32" s="39">
        <f>IF(ISERROR(B32*3.6/1000000/'E Balans VL '!Z20*100),0,B32*3.6/1000000/'E Balans VL '!Z20*100)</f>
        <v>5.1159162954696823E-2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58.064</v>
      </c>
      <c r="C37" s="39">
        <f>IF(ISERROR(B37*3.6/1000000/'E Balans VL '!Z15*100),0,B37*3.6/1000000/'E Balans VL '!Z15*100)</f>
        <v>4.4745443729252995E-4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1518.0360000000001</v>
      </c>
      <c r="C5" s="17">
        <f>'Eigen informatie GS &amp; warmtenet'!B60</f>
        <v>0</v>
      </c>
      <c r="D5" s="30">
        <f>IF(ISERROR(SUM(LB_lb_gas_kWh,LB_rest_gas_kWh)/1000),0,SUM(LB_lb_gas_kWh,LB_rest_gas_kWh)/1000)*0.902</f>
        <v>1873.4666280000001</v>
      </c>
      <c r="E5" s="17">
        <f>B17*'E Balans VL '!I25/3.6*1000000/100</f>
        <v>19.129209227987406</v>
      </c>
      <c r="F5" s="17">
        <f>B17*('E Balans VL '!L25/3.6*1000000+'E Balans VL '!N25/3.6*1000000)/100</f>
        <v>5237.6044907413034</v>
      </c>
      <c r="G5" s="18"/>
      <c r="H5" s="17"/>
      <c r="I5" s="17"/>
      <c r="J5" s="17">
        <f>('E Balans VL '!D25+'E Balans VL '!E25)/3.6*1000000*landbouw!B17/100</f>
        <v>228.29535797578788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1518.0360000000001</v>
      </c>
      <c r="C8" s="21">
        <f>C5+C6</f>
        <v>0</v>
      </c>
      <c r="D8" s="21">
        <f>MAX((D5+D6),0)</f>
        <v>1873.4666280000001</v>
      </c>
      <c r="E8" s="21">
        <f>MAX((E5+E6),0)</f>
        <v>19.129209227987406</v>
      </c>
      <c r="F8" s="21">
        <f>MAX((F5+F6),0)</f>
        <v>5237.6044907413034</v>
      </c>
      <c r="G8" s="21"/>
      <c r="H8" s="21"/>
      <c r="I8" s="21"/>
      <c r="J8" s="21">
        <f>MAX((J5+J6),0)</f>
        <v>228.29535797578788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0.20183618277667587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306.39459155757396</v>
      </c>
      <c r="C12" s="23">
        <f ca="1">C8*C10</f>
        <v>0</v>
      </c>
      <c r="D12" s="23">
        <f>D8*D10</f>
        <v>378.44025885600007</v>
      </c>
      <c r="E12" s="23">
        <f>E8*E10</f>
        <v>4.3423304947531411</v>
      </c>
      <c r="F12" s="23">
        <f>F8*F10</f>
        <v>1398.4403990279282</v>
      </c>
      <c r="G12" s="23"/>
      <c r="H12" s="23"/>
      <c r="I12" s="23"/>
      <c r="J12" s="23">
        <f>J8*J10</f>
        <v>80.816556723428903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0.21171817628254685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279.31612594110481</v>
      </c>
      <c r="C26" s="249">
        <f>B26*'GWP N2O_CH4'!B5</f>
        <v>5865.6386447632012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73.389639516598365</v>
      </c>
      <c r="C27" s="249">
        <f>B27*'GWP N2O_CH4'!B5</f>
        <v>1541.1824298485656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4.6426762043845358</v>
      </c>
      <c r="C28" s="249">
        <f>B28*'GWP N2O_CH4'!B4</f>
        <v>1439.229623359206</v>
      </c>
      <c r="D28" s="50"/>
    </row>
    <row r="29" spans="1:4">
      <c r="A29" s="41" t="s">
        <v>276</v>
      </c>
      <c r="B29" s="249">
        <f>B34*'ha_N2O bodem landbouw'!B4</f>
        <v>23.451229300906206</v>
      </c>
      <c r="C29" s="249">
        <f>B29*'GWP N2O_CH4'!B4</f>
        <v>7269.881083280924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5.8555376252128711E-3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9.3039846407455003E-6</v>
      </c>
      <c r="C5" s="444" t="s">
        <v>210</v>
      </c>
      <c r="D5" s="429">
        <f>SUM(D6:D11)</f>
        <v>1.5273925835714982E-5</v>
      </c>
      <c r="E5" s="429">
        <f>SUM(E6:E11)</f>
        <v>5.4000371034873627E-4</v>
      </c>
      <c r="F5" s="442" t="s">
        <v>210</v>
      </c>
      <c r="G5" s="429">
        <f>SUM(G6:G11)</f>
        <v>0.14638724122014654</v>
      </c>
      <c r="H5" s="429">
        <f>SUM(H6:H11)</f>
        <v>2.786633478667699E-2</v>
      </c>
      <c r="I5" s="444" t="s">
        <v>210</v>
      </c>
      <c r="J5" s="444" t="s">
        <v>210</v>
      </c>
      <c r="K5" s="444" t="s">
        <v>210</v>
      </c>
      <c r="L5" s="444" t="s">
        <v>210</v>
      </c>
      <c r="M5" s="429">
        <f>SUM(M6:M11)</f>
        <v>7.8798172673124681E-3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7.8657076191175001E-6</v>
      </c>
      <c r="C6" s="883"/>
      <c r="D6" s="883">
        <f>vkm_GW_PW*SUMIFS(TableVerdeelsleutelVkm[CNG],TableVerdeelsleutelVkm[Voertuigtype],"Lichte voertuigen")*SUMIFS(TableECFTransport[EnergieConsumptieFactor (PJ per km)],TableECFTransport[Index],CONCATENATE($A6,"_CNG_CNG"))</f>
        <v>1.1656744406523258E-5</v>
      </c>
      <c r="E6" s="883">
        <f>vkm_GW_PW*SUMIFS(TableVerdeelsleutelVkm[LPG],TableVerdeelsleutelVkm[Voertuigtype],"Lichte voertuigen")*SUMIFS(TableECFTransport[EnergieConsumptieFactor (PJ per km)],TableECFTransport[Index],CONCATENATE($A6,"_LPG_LPG"))</f>
        <v>4.1750199045526341E-4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8.4023531541160434E-2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2.1465012118797141E-2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4.7722434223307648E-3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3.5616742243664963E-2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8.2753168593991728E-7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1.608151505432602E-3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1.438277021628E-6</v>
      </c>
      <c r="C8" s="883"/>
      <c r="D8" s="432">
        <f>vkm_NGW_PW*SUMIFS(TableVerdeelsleutelVkm[CNG],TableVerdeelsleutelVkm[Voertuigtype],"Lichte voertuigen")*SUMIFS(TableECFTransport[EnergieConsumptieFactor (PJ per km)],TableECFTransport[Index],CONCATENATE($A8,"_CNG_CNG"))</f>
        <v>3.6171814291917244E-6</v>
      </c>
      <c r="E8" s="432">
        <f>vkm_NGW_PW*SUMIFS(TableVerdeelsleutelVkm[LPG],TableVerdeelsleutelVkm[Voertuigtype],"Lichte voertuigen")*SUMIFS(TableECFTransport[EnergieConsumptieFactor (PJ per km)],TableECFTransport[Index],CONCATENATE($A8,"_LPG_LPG"))</f>
        <v>1.2250171989347281E-4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2.3419151760957067E-2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6.4004055157263337E-3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1.3491657067949763E-3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3.3278156743640646E-3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8.9620467575412183E-8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1.5025663275412566E-4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2.5844401779848614</v>
      </c>
      <c r="C14" s="21"/>
      <c r="D14" s="21">
        <f t="shared" ref="D14:M14" si="0">((D5)*10^9/3600)+D12</f>
        <v>4.242757176587495</v>
      </c>
      <c r="E14" s="21">
        <f t="shared" si="0"/>
        <v>150.00103065242675</v>
      </c>
      <c r="F14" s="21"/>
      <c r="G14" s="21">
        <f t="shared" si="0"/>
        <v>40663.122561151817</v>
      </c>
      <c r="H14" s="21">
        <f t="shared" si="0"/>
        <v>7740.6485518547197</v>
      </c>
      <c r="I14" s="21"/>
      <c r="J14" s="21"/>
      <c r="K14" s="21"/>
      <c r="L14" s="21"/>
      <c r="M14" s="21">
        <f t="shared" si="0"/>
        <v>2188.8381298090189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0.20183618277667587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0.52163354013913721</v>
      </c>
      <c r="C18" s="23"/>
      <c r="D18" s="23">
        <f t="shared" ref="D18:M18" si="1">D14*D16</f>
        <v>0.85703694967067401</v>
      </c>
      <c r="E18" s="23">
        <f t="shared" si="1"/>
        <v>34.050233958100875</v>
      </c>
      <c r="F18" s="23"/>
      <c r="G18" s="23">
        <f t="shared" si="1"/>
        <v>10857.053723827536</v>
      </c>
      <c r="H18" s="23">
        <f t="shared" si="1"/>
        <v>1927.4214894118252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1.4833825299909516E-3</v>
      </c>
      <c r="H50" s="321">
        <f t="shared" si="2"/>
        <v>0</v>
      </c>
      <c r="I50" s="321">
        <f t="shared" si="2"/>
        <v>0</v>
      </c>
      <c r="J50" s="321">
        <f t="shared" si="2"/>
        <v>0</v>
      </c>
      <c r="K50" s="321">
        <f t="shared" si="2"/>
        <v>0</v>
      </c>
      <c r="L50" s="321">
        <f t="shared" si="2"/>
        <v>0</v>
      </c>
      <c r="M50" s="321">
        <f t="shared" si="2"/>
        <v>6.6026583600670253E-5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1.4833825299909516E-3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6.6026583600670253E-5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412.05070277526431</v>
      </c>
      <c r="H54" s="21">
        <f t="shared" si="3"/>
        <v>0</v>
      </c>
      <c r="I54" s="21">
        <f t="shared" si="3"/>
        <v>0</v>
      </c>
      <c r="J54" s="21">
        <f t="shared" si="3"/>
        <v>0</v>
      </c>
      <c r="K54" s="21">
        <f t="shared" si="3"/>
        <v>0</v>
      </c>
      <c r="L54" s="21">
        <f t="shared" si="3"/>
        <v>0</v>
      </c>
      <c r="M54" s="21">
        <f t="shared" si="3"/>
        <v>18.34071766685285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0.20183618277667587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110.01753764099558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1853.4859993424739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1853.4859993424739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2020-06-20T16:24:05Z</dcterms:modified>
</cp:coreProperties>
</file>