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B48" i="18"/>
  <c r="C8" i="18" s="1"/>
  <c r="C10" i="18" s="1"/>
  <c r="C48" i="18"/>
  <c r="H48" i="18"/>
  <c r="J8" i="18" s="1"/>
  <c r="J10" i="18" s="1"/>
  <c r="C49" i="18"/>
  <c r="F49" i="18"/>
  <c r="B20" i="18"/>
  <c r="G49" i="18"/>
  <c r="I17" i="18" s="1"/>
  <c r="F20" i="18"/>
  <c r="B49" i="18"/>
  <c r="C17" i="18" s="1"/>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H63" i="14"/>
  <c r="E22" i="16"/>
  <c r="F43" i="14" s="1"/>
  <c r="F46" i="14" s="1"/>
  <c r="F61" i="14" s="1"/>
  <c r="J22" i="16"/>
  <c r="K43" i="14" s="1"/>
  <c r="K46" i="14" s="1"/>
  <c r="K61" i="14" s="1"/>
  <c r="K63" i="14" s="1"/>
  <c r="K13" i="14"/>
  <c r="K16" i="14" s="1"/>
  <c r="K27" i="14" s="1"/>
  <c r="J8" i="48"/>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<sst xmlns="http://schemas.openxmlformats.org/spreadsheetml/2006/main" count="2447" uniqueCount="920">
  <si>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</si>
  <si>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</si>
  <si>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</si>
  <si>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</si>
  <si>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</si>
  <si>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</si>
  <si>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</si>
  <si>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</si>
  <si>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</si>
  <si>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</si>
  <si>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</si>
  <si>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</si>
  <si>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</si>
  <si>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</si>
  <si>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</si>
  <si>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</si>
  <si>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</si>
  <si>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</si>
  <si>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</si>
  <si>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</si>
  <si>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</si>
  <si>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</si>
  <si>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</si>
  <si>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</si>
  <si>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</si>
  <si>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</si>
  <si>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</si>
  <si>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</si>
  <si>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</si>
  <si>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</si>
  <si>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</si>
  <si>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</si>
  <si>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</si>
  <si>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</si>
  <si>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</si>
  <si>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</si>
  <si>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</si>
  <si>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</si>
  <si>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</si>
  <si>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</si>
  <si>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</si>
  <si>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</si>
  <si>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</si>
  <si>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</si>
  <si>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</si>
  <si>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</si>
  <si>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</si>
  <si>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</si>
  <si>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</si>
  <si>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</si>
  <si>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</si>
  <si>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</si>
  <si>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</si>
  <si>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</si>
  <si>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</si>
  <si>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</si>
  <si>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</si>
  <si>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</si>
  <si>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</si>
  <si>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</si>
  <si>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</si>
  <si>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</si>
  <si>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</si>
  <si>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</si>
  <si>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</si>
  <si>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</si>
  <si>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</si>
  <si>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</si>
  <si>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</si>
  <si>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</si>
  <si>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</si>
  <si>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</si>
  <si>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</si>
  <si>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</si>
  <si>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</si>
  <si>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</si>
  <si>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</si>
  <si>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</si>
  <si>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</si>
  <si>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</si>
  <si>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</si>
  <si>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</si>
  <si>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</si>
  <si>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</si>
  <si>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</si>
  <si>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</si>
  <si>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</si>
  <si>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</si>
  <si>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</si>
  <si>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</si>
  <si>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</si>
  <si>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</si>
  <si>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</si>
  <si>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</si>
  <si>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</si>
  <si>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</si>
  <si>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</si>
  <si>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</si>
  <si>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</si>
  <si>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</si>
  <si>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</si>
  <si>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</si>
  <si>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</si>
  <si>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</si>
  <si>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</si>
  <si>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</si>
  <si>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</si>
  <si>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</si>
  <si>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</si>
  <si>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</si>
  <si>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</si>
  <si>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</si>
  <si>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</si>
  <si>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</si>
  <si>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</si>
  <si>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</si>
  <si>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</si>
  <si>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</si>
  <si>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</si>
  <si>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</si>
  <si>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</si>
  <si>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</si>
  <si>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</si>
  <si>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</si>
  <si>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</si>
  <si>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</si>
  <si>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</si>
  <si>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</si>
  <si>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</si>
  <si>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</si>
  <si>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</si>
  <si>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</si>
  <si>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</si>
  <si>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</si>
  <si>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</si>
  <si>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</si>
  <si>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</si>
  <si>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</si>
  <si>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</si>
  <si>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</si>
  <si>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</si>
  <si>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</si>
  <si>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</si>
  <si>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</si>
  <si>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</si>
  <si>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</si>
  <si>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</si>
  <si>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</si>
  <si>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</si>
  <si>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</si>
  <si>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</si>
  <si>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</si>
  <si>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</si>
  <si>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</si>
  <si>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</si>
  <si>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</si>
  <si>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</si>
  <si>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</si>
  <si>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</si>
  <si>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</si>
  <si>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</si>
  <si>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</si>
  <si>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</si>
  <si>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</si>
  <si>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</si>
  <si>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</si>
  <si>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</si>
  <si>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</si>
  <si>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</si>
  <si>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</si>
  <si>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</si>
  <si>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</si>
  <si>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</si>
  <si>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</si>
  <si>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</si>
  <si>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</si>
  <si>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</si>
  <si>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</si>
  <si>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</si>
  <si>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</si>
  <si>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</si>
  <si>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</si>
  <si>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</si>
  <si>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</si>
  <si>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</si>
  <si>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</si>
  <si>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</si>
  <si>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</si>
  <si>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</si>
  <si>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</si>
  <si>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</si>
  <si>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</si>
  <si>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</si>
  <si>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</si>
  <si>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</si>
  <si>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</si>
  <si>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</si>
  <si>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</si>
  <si>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</si>
  <si>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</si>
  <si>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</si>
  <si>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</si>
  <si>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</si>
  <si>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</si>
  <si>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</si>
  <si>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</si>
  <si>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</si>
  <si>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</si>
  <si>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</si>
  <si>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</si>
  <si>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</si>
  <si>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</si>
  <si>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</si>
  <si>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</si>
  <si>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</si>
  <si>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</si>
  <si>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</si>
  <si>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</si>
  <si>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</si>
  <si>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</si>
  <si>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</si>
  <si>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</si>
  <si>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</si>
  <si>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</si>
  <si>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</si>
  <si>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</si>
  <si>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</si>
  <si>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</si>
  <si>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</si>
  <si>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</si>
  <si>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</si>
  <si>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</si>
  <si>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</si>
  <si>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</si>
  <si>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</si>
  <si>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</si>
  <si>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</si>
  <si>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</si>
  <si>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</si>
  <si>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</si>
  <si>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</si>
  <si>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</si>
  <si>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</si>
  <si>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</si>
  <si>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</si>
  <si>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</si>
  <si>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</si>
  <si>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</si>
  <si>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</si>
  <si>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</si>
  <si>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</si>
  <si>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</si>
  <si>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</si>
  <si>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</si>
  <si>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</si>
  <si>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</si>
  <si>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</si>
  <si>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</si>
  <si>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</si>
  <si>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</si>
  <si>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</si>
  <si>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</si>
  <si>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</si>
  <si>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</si>
  <si>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</si>
  <si>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</si>
  <si>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</si>
  <si>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</si>
  <si>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</si>
  <si>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</si>
  <si>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</si>
  <si>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</si>
  <si>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</si>
  <si>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</si>
  <si>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</si>
  <si>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</si>
  <si>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</si>
  <si>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</si>
  <si>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</si>
  <si>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</si>
  <si>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</si>
  <si>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</si>
  <si>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</si>
  <si>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</si>
  <si>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</si>
  <si>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</si>
  <si>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</si>
  <si>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</si>
  <si>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</si>
  <si>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</si>
  <si>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</si>
  <si>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</si>
  <si>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</si>
  <si>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</si>
  <si>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</si>
  <si>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</si>
  <si>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</si>
  <si>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</si>
  <si>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</si>
  <si>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</si>
  <si>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</si>
  <si>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</si>
  <si>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</si>
  <si>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</si>
  <si>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</si>
  <si>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</si>
  <si>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</si>
  <si>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</si>
  <si>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</si>
  <si>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</si>
  <si>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</si>
  <si>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</si>
  <si>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</si>
  <si>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</si>
  <si>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</si>
  <si>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</si>
  <si>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</si>
  <si>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</si>
  <si>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</si>
  <si>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</si>
  <si>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</si>
  <si>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</si>
  <si>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</si>
  <si>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</si>
  <si>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</si>
  <si>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</si>
  <si>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</si>
  <si>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</si>
  <si>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</si>
  <si>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</si>
  <si>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</si>
  <si>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</si>
  <si>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</si>
  <si>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</si>
  <si>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</si>
  <si>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</si>
  <si>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</si>
  <si>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</si>
  <si>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</si>
  <si>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</si>
  <si>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</si>
  <si>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</si>
  <si>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</si>
  <si>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</si>
  <si>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</si>
  <si>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</si>
  <si>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</si>
  <si>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</si>
  <si>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</si>
  <si>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</si>
  <si>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</si>
  <si>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</si>
  <si>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</si>
  <si>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</si>
  <si>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</si>
  <si>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</si>
  <si>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</si>
  <si>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</si>
  <si>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</si>
  <si>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</si>
  <si>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</si>
  <si>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</si>
  <si>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</si>
  <si>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</si>
  <si>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</si>
  <si>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</si>
  <si>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</si>
  <si>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</si>
  <si>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</si>
  <si>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</si>
  <si>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</si>
  <si>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</si>
  <si>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</si>
  <si>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</si>
  <si>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</si>
  <si>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</si>
  <si>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</si>
  <si>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</si>
  <si>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</si>
  <si>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</si>
  <si>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</si>
  <si>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</si>
  <si>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</si>
  <si>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</si>
  <si>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</si>
  <si>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</si>
  <si>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</si>
  <si>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</si>
  <si>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</si>
  <si>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</si>
  <si>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</si>
  <si>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</si>
  <si>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</si>
  <si>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</si>
  <si>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</si>
  <si>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</si>
  <si>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</si>
  <si>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</si>
  <si>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</si>
  <si>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</si>
  <si>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</si>
  <si>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</si>
  <si>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</si>
  <si>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</si>
  <si>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</si>
  <si>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</si>
  <si>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</si>
  <si>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</si>
  <si>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</si>
  <si>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</si>
  <si>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</si>
  <si>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</si>
  <si>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</si>
  <si>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</si>
  <si>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</si>
  <si>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</si>
  <si>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</si>
  <si>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</si>
  <si>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</si>
  <si>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</si>
  <si>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</si>
  <si>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</si>
  <si>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</si>
  <si>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</si>
  <si>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</si>
  <si>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</si>
  <si>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</si>
  <si>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</si>
  <si>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</si>
  <si>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</si>
  <si>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</si>
  <si>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</si>
  <si>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</si>
  <si>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</si>
  <si>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</si>
  <si>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</si>
  <si>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</si>
  <si>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</si>
  <si>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</si>
  <si>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</si>
  <si>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</si>
  <si>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</si>
  <si>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</si>
  <si>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</si>
  <si>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</si>
  <si>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</si>
  <si>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</si>
  <si>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</si>
  <si>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</si>
  <si>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</si>
  <si>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</si>
  <si>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</si>
  <si>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</si>
  <si>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</si>
  <si>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</si>
  <si>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</si>
  <si>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</si>
  <si>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</si>
  <si>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</si>
  <si>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</si>
  <si>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</si>
  <si>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</si>
  <si>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</si>
  <si>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</si>
  <si>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</si>
  <si>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</si>
  <si>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</si>
  <si>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</si>
  <si>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</si>
  <si>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</si>
  <si>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</si>
  <si>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</si>
  <si>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</si>
  <si>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</si>
  <si>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</si>
  <si>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</si>
  <si>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</si>
  <si>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</si>
  <si>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</si>
  <si>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</si>
  <si>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</si>
  <si>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</si>
  <si>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</si>
  <si>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</si>
  <si>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</si>
  <si>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</si>
  <si>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</si>
  <si>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</si>
  <si>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</si>
  <si>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</si>
  <si>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</si>
  <si>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</si>
  <si>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</si>
  <si>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</si>
  <si>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</si>
  <si>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</si>
  <si>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</si>
  <si>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</si>
  <si>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</si>
  <si>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</si>
  <si>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</si>
  <si>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</si>
  <si>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</si>
  <si>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</si>
  <si>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</si>
  <si>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</si>
  <si>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</si>
  <si>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</si>
  <si>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</si>
  <si>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</si>
  <si>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</si>
  <si>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</si>
  <si>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</si>
  <si>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</si>
  <si>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</si>
  <si>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</si>
  <si>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</si>
  <si>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</si>
  <si>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</si>
  <si>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</si>
  <si>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</si>
  <si>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</si>
  <si>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</si>
  <si>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</si>
  <si>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</si>
  <si>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</si>
  <si>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</si>
  <si>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</si>
  <si>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</si>
  <si>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</si>
  <si>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</si>
  <si>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</si>
  <si>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</si>
  <si>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</si>
  <si>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</si>
  <si>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</si>
  <si>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</si>
  <si>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</si>
  <si>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</si>
  <si>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</si>
  <si>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</si>
  <si>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</si>
  <si>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</si>
  <si>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</si>
  <si>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</si>
  <si>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</si>
  <si>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</si>
  <si>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</si>
  <si>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</si>
  <si>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</si>
  <si>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</si>
  <si>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</si>
  <si>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</si>
  <si>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</si>
  <si>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</si>
  <si>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</si>
  <si>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</si>
  <si>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</si>
  <si>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</si>
  <si>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</si>
  <si>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</si>
  <si>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</si>
  <si>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</si>
  <si>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</si>
  <si>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</si>
  <si>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</si>
  <si>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</si>
  <si>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</si>
  <si>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</si>
  <si>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</si>
  <si>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</si>
  <si>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</si>
  <si>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</si>
  <si>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</si>
  <si>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</si>
  <si>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</si>
  <si>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</si>
  <si>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</si>
  <si>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</si>
  <si>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</si>
  <si>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</si>
  <si>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</si>
  <si>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</si>
  <si>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</si>
  <si>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</si>
  <si>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</si>
  <si>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</si>
  <si>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</si>
  <si>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</si>
  <si>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</si>
  <si>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</si>
  <si>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</si>
  <si>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</si>
  <si>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</si>
  <si>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</si>
  <si>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</si>
  <si>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</si>
  <si>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</si>
  <si>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</si>
  <si>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</si>
  <si>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</si>
  <si>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</si>
  <si>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</si>
  <si>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</si>
  <si>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</si>
  <si>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</si>
  <si>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</si>
  <si>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</si>
  <si>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</si>
  <si>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</si>
  <si>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</si>
  <si>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</si>
  <si>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</si>
  <si>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</si>
  <si>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</si>
  <si>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</si>
  <si>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</si>
  <si>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</si>
  <si>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</si>
  <si>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</si>
  <si>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</si>
  <si>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</si>
  <si>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</si>
  <si>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</si>
  <si>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</si>
  <si>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</si>
  <si>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</si>
  <si>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</si>
  <si>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</si>
  <si>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</si>
  <si>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</si>
  <si>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</si>
  <si>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</si>
  <si>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</si>
  <si>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</si>
  <si>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</si>
  <si>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</si>
  <si>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</si>
  <si>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</si>
  <si>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</si>
  <si>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</si>
  <si>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</si>
  <si>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</si>
  <si>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</si>
  <si>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</si>
  <si>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</si>
  <si>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</si>
  <si>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</si>
  <si>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</si>
  <si>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</si>
  <si>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</si>
  <si>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</si>
  <si>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</si>
  <si>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</si>
  <si>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</si>
  <si>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</si>
  <si>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</si>
  <si>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</si>
  <si>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</si>
  <si>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</si>
  <si>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</si>
  <si>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</si>
  <si>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</si>
  <si>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</si>
  <si>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</si>
  <si>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</si>
  <si>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</si>
  <si>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</si>
  <si>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</si>
  <si>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</si>
  <si>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</si>
  <si>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</si>
  <si>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</si>
  <si>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</si>
  <si>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</si>
  <si>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</si>
  <si>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</si>
  <si>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</si>
  <si>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</si>
  <si>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</si>
  <si>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</si>
  <si>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</si>
  <si>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</si>
  <si>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</si>
  <si>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</si>
  <si>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</si>
  <si>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</si>
  <si>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</si>
  <si>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</si>
  <si>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</si>
  <si>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</si>
  <si>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</si>
  <si>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</si>
  <si>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</si>
  <si>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</si>
  <si>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</si>
  <si>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</si>
  <si>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</si>
  <si>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</si>
  <si>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</si>
  <si>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</si>
  <si>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</si>
  <si>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</si>
  <si>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</si>
  <si>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</si>
  <si>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</si>
  <si>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</si>
  <si>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</si>
  <si>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</si>
  <si>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</si>
  <si>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</si>
  <si>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</si>
  <si>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</si>
  <si>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</si>
  <si>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</si>
  <si>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</si>
  <si>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</si>
  <si>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</si>
  <si>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</si>
  <si>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</si>
  <si>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</si>
  <si>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</si>
  <si>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</si>
  <si>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</si>
  <si>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</si>
  <si>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</si>
  <si>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</si>
  <si>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</si>
  <si>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</si>
  <si>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</si>
  <si>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</si>
  <si>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</si>
  <si>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</si>
  <si>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</si>
  <si>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</si>
  <si>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</si>
  <si>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</si>
  <si>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</si>
  <si>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</si>
  <si>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</si>
  <si>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</si>
  <si>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</si>
  <si>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</si>
  <si>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</si>
  <si>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</si>
  <si>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</si>
  <si>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</si>
  <si>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</si>
  <si>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</si>
  <si>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</si>
  <si>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</si>
  <si>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</si>
  <si>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</si>
  <si>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</si>
  <si>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</si>
  <si>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</si>
  <si>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</si>
  <si>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</si>
  <si>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</si>
  <si>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</si>
  <si>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</si>
  <si>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</si>
  <si>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</si>
  <si>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</si>
  <si>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</si>
  <si>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</si>
  <si>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</si>
  <si>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</si>
  <si>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</si>
  <si>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</si>
  <si>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</si>
  <si>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</si>
  <si>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</si>
  <si>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</si>
  <si>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</si>
  <si>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</si>
  <si>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</si>
  <si>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</si>
  <si>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</si>
  <si>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</si>
  <si>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</si>
  <si>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</si>
  <si>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</si>
  <si>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</si>
  <si>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</si>
  <si>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</si>
  <si>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</si>
  <si>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</si>
  <si>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</si>
  <si>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</si>
  <si>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</si>
  <si>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</si>
  <si>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</si>
  <si>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</si>
  <si>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</si>
  <si>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</si>
  <si>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</si>
  <si>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</si>
  <si>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</si>
  <si>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</si>
  <si>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</si>
  <si>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</si>
  <si>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</si>
  <si>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</si>
  <si>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</si>
  <si>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</si>
  <si>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</si>
  <si>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</si>
  <si>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</si>
  <si>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</si>
  <si>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</si>
  <si>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</si>
  <si>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</si>
  <si>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</si>
  <si>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</si>
  <si>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</si>
  <si>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</si>
  <si>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</si>
  <si>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</si>
  <si>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</si>
  <si>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</si>
  <si>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</si>
  <si>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</si>
  <si>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</si>
  <si>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</si>
  <si>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</si>
  <si>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</si>
  <si>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</si>
  <si>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</si>
  <si>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</si>
  <si>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</si>
  <si>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</si>
  <si>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</si>
  <si>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</si>
  <si>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</si>
  <si>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</si>
  <si>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</si>
  <si>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</si>
  <si>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</si>
  <si>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</si>
  <si>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</si>
  <si>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</si>
  <si>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</si>
  <si>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</si>
  <si>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</si>
  <si>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</si>
  <si>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</si>
  <si>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</si>
  <si>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</si>
  <si>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</si>
  <si>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</si>
  <si>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</si>
  <si>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</si>
  <si>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</si>
  <si>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</si>
  <si>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</si>
  <si>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</si>
  <si>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</si>
  <si>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</si>
  <si>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</si>
  <si>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</si>
  <si>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</si>
  <si>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</si>
  <si>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</si>
  <si>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</si>
  <si>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</si>
  <si>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</si>
  <si>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</si>
  <si>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</si>
  <si>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</si>
  <si>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</si>
  <si>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</si>
  <si>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</si>
  <si>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</si>
  <si>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</si>
  <si>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</si>
  <si>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</si>
  <si>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</si>
  <si>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</si>
  <si>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</si>
  <si>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</si>
  <si>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</si>
  <si>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</si>
  <si>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</si>
  <si>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</si>
  <si>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</si>
  <si>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</si>
  <si>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</si>
  <si>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</si>
  <si>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</si>
  <si>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</si>
  <si>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</si>
  <si>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</si>
  <si>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</si>
  <si>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</si>
  <si>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</si>
  <si>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</si>
  <si>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</si>
  <si>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</si>
  <si>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</si>
  <si>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</si>
  <si>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</si>
  <si>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</si>
  <si>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</si>
  <si>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</si>
  <si>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</si>
  <si>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</si>
  <si>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</si>
  <si>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</si>
  <si>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</si>
  <si>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</si>
  <si>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</si>
  <si>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</si>
  <si>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72018</t>
  </si>
  <si>
    <t>KINROOI</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</si>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</sst>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125295.28942039715</c:v>
                </c:pt>
                <c:pt idx="1">
                  <c:v>14416.652899353679</c:v>
                </c:pt>
                <c:pt idx="2">
                  <c:v>597.928</c:v>
                </c:pt>
                <c:pt idx="3">
                  <c:v>19528.507355063364</c:v>
                </c:pt>
                <c:pt idx="4">
                  <c:v>10593.754735925209</c:v>
                </c:pt>
                <c:pt idx="5">
                  <c:v>56126.068762820323</c:v>
                </c:pt>
                <c:pt idx="6">
                  <c:v>496.1986014633772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125295.28942039715</c:v>
                </c:pt>
                <c:pt idx="1">
                  <c:v>14416.652899353679</c:v>
                </c:pt>
                <c:pt idx="2">
                  <c:v>597.928</c:v>
                </c:pt>
                <c:pt idx="3">
                  <c:v>19528.507355063364</c:v>
                </c:pt>
                <c:pt idx="4">
                  <c:v>10593.754735925209</c:v>
                </c:pt>
                <c:pt idx="5">
                  <c:v>56126.068762820323</c:v>
                </c:pt>
                <c:pt idx="6">
                  <c:v>496.1986014633772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25648.938247395614</c:v>
                </c:pt>
                <c:pt idx="2">
                  <c:v>2620.6320003761466</c:v>
                </c:pt>
                <c:pt idx="3">
                  <c:v>106.40819240316129</c:v>
                </c:pt>
                <c:pt idx="4">
                  <c:v>4717.6351309899792</c:v>
                </c:pt>
                <c:pt idx="5">
                  <c:v>2146.6696967309776</c:v>
                </c:pt>
                <c:pt idx="6">
                  <c:v>14180.545345759794</c:v>
                </c:pt>
                <c:pt idx="7">
                  <c:v>126.83930422643795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25648.938247395614</c:v>
                </c:pt>
                <c:pt idx="2">
                  <c:v>2620.6320003761466</c:v>
                </c:pt>
                <c:pt idx="3">
                  <c:v>106.40819240316129</c:v>
                </c:pt>
                <c:pt idx="4">
                  <c:v>4717.6351309899792</c:v>
                </c:pt>
                <c:pt idx="5">
                  <c:v>2146.6696967309776</c:v>
                </c:pt>
                <c:pt idx="6">
                  <c:v>14180.545345759794</c:v>
                </c:pt>
                <c:pt idx="7">
                  <c:v>126.83930422643795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72018</v>
      </c>
      <c r="B6" s="395"/>
      <c r="C6" s="396"/>
    </row>
    <row r="7" spans="1:7" s="393" customFormat="1" ht="15.75" customHeight="1">
      <c r="A7" s="397" t="str">
        <f>txtMunicipality</f>
        <v>KINROOI</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9115.0959999999995</v>
      </c>
      <c r="D10" s="686">
        <f ca="1">tertiair!C16</f>
        <v>0</v>
      </c>
      <c r="E10" s="686">
        <f ca="1">tertiair!D16</f>
        <v>2997.7374679999998</v>
      </c>
      <c r="F10" s="686">
        <f>tertiair!E16</f>
        <v>124.23006200672461</v>
      </c>
      <c r="G10" s="686">
        <f ca="1">tertiair!F16</f>
        <v>1764.6457187148922</v>
      </c>
      <c r="H10" s="686">
        <f>tertiair!G16</f>
        <v>0</v>
      </c>
      <c r="I10" s="686">
        <f>tertiair!H16</f>
        <v>0</v>
      </c>
      <c r="J10" s="686">
        <f>tertiair!I16</f>
        <v>0</v>
      </c>
      <c r="K10" s="686">
        <f>tertiair!J16</f>
        <v>0</v>
      </c>
      <c r="L10" s="686">
        <f>tertiair!K16</f>
        <v>0</v>
      </c>
      <c r="M10" s="686">
        <f ca="1">tertiair!L16</f>
        <v>0</v>
      </c>
      <c r="N10" s="686">
        <f>tertiair!M16</f>
        <v>0</v>
      </c>
      <c r="O10" s="686">
        <f ca="1">tertiair!N16</f>
        <v>1011.3083172987294</v>
      </c>
      <c r="P10" s="686">
        <f>tertiair!O16</f>
        <v>1.5633333333333335</v>
      </c>
      <c r="Q10" s="687">
        <f>tertiair!P16</f>
        <v>0</v>
      </c>
      <c r="R10" s="689">
        <f ca="1">SUM(C10:Q10)</f>
        <v>15014.580899353679</v>
      </c>
      <c r="S10" s="67"/>
    </row>
    <row r="11" spans="1:19" s="454" customFormat="1">
      <c r="A11" s="801" t="s">
        <v>224</v>
      </c>
      <c r="B11" s="806"/>
      <c r="C11" s="686">
        <f>huishoudens!B8</f>
        <v>23886.579552230542</v>
      </c>
      <c r="D11" s="686">
        <f>huishoudens!C8</f>
        <v>0</v>
      </c>
      <c r="E11" s="686">
        <f>huishoudens!D8</f>
        <v>28536.041820000002</v>
      </c>
      <c r="F11" s="686">
        <f>huishoudens!E8</f>
        <v>5859.6341387251878</v>
      </c>
      <c r="G11" s="686">
        <f>huishoudens!F8</f>
        <v>53571.641121710352</v>
      </c>
      <c r="H11" s="686">
        <f>huishoudens!G8</f>
        <v>0</v>
      </c>
      <c r="I11" s="686">
        <f>huishoudens!H8</f>
        <v>0</v>
      </c>
      <c r="J11" s="686">
        <f>huishoudens!I8</f>
        <v>0</v>
      </c>
      <c r="K11" s="686">
        <f>huishoudens!J8</f>
        <v>0</v>
      </c>
      <c r="L11" s="686">
        <f>huishoudens!K8</f>
        <v>0</v>
      </c>
      <c r="M11" s="686">
        <f>huishoudens!L8</f>
        <v>0</v>
      </c>
      <c r="N11" s="686">
        <f>huishoudens!M8</f>
        <v>0</v>
      </c>
      <c r="O11" s="686">
        <f>huishoudens!N8</f>
        <v>12790.216121064399</v>
      </c>
      <c r="P11" s="686">
        <f>huishoudens!O8</f>
        <v>307.97666666666669</v>
      </c>
      <c r="Q11" s="687">
        <f>huishoudens!P8</f>
        <v>343.2</v>
      </c>
      <c r="R11" s="689">
        <f>SUM(C11:Q11)</f>
        <v>125295.28942039715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4497.6120000000001</v>
      </c>
      <c r="D13" s="686">
        <f>industrie!C18</f>
        <v>0</v>
      </c>
      <c r="E13" s="686">
        <f>industrie!D18</f>
        <v>3432.70532</v>
      </c>
      <c r="F13" s="686">
        <f>industrie!E18</f>
        <v>356.20812708946556</v>
      </c>
      <c r="G13" s="686">
        <f>industrie!F18</f>
        <v>2124.7280940375695</v>
      </c>
      <c r="H13" s="686">
        <f>industrie!G18</f>
        <v>0</v>
      </c>
      <c r="I13" s="686">
        <f>industrie!H18</f>
        <v>0</v>
      </c>
      <c r="J13" s="686">
        <f>industrie!I18</f>
        <v>0</v>
      </c>
      <c r="K13" s="686">
        <f>industrie!J18</f>
        <v>13.275657717961806</v>
      </c>
      <c r="L13" s="686">
        <f>industrie!K18</f>
        <v>0</v>
      </c>
      <c r="M13" s="686">
        <f>industrie!L18</f>
        <v>0</v>
      </c>
      <c r="N13" s="686">
        <f>industrie!M18</f>
        <v>0</v>
      </c>
      <c r="O13" s="686">
        <f>industrie!N18</f>
        <v>169.22553708021201</v>
      </c>
      <c r="P13" s="686">
        <f>industrie!O18</f>
        <v>0</v>
      </c>
      <c r="Q13" s="687">
        <f>industrie!P18</f>
        <v>0</v>
      </c>
      <c r="R13" s="689">
        <f>SUM(C13:Q13)</f>
        <v>10593.754735925209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37499.28755223054</v>
      </c>
      <c r="D16" s="721">
        <f t="shared" ref="D16:R16" ca="1" si="0">SUM(D9:D15)</f>
        <v>0</v>
      </c>
      <c r="E16" s="721">
        <f t="shared" ca="1" si="0"/>
        <v>34966.484607999999</v>
      </c>
      <c r="F16" s="721">
        <f t="shared" si="0"/>
        <v>6340.0723278213782</v>
      </c>
      <c r="G16" s="721">
        <f t="shared" ca="1" si="0"/>
        <v>57461.014934462815</v>
      </c>
      <c r="H16" s="721">
        <f t="shared" si="0"/>
        <v>0</v>
      </c>
      <c r="I16" s="721">
        <f t="shared" si="0"/>
        <v>0</v>
      </c>
      <c r="J16" s="721">
        <f t="shared" si="0"/>
        <v>0</v>
      </c>
      <c r="K16" s="721">
        <f t="shared" si="0"/>
        <v>13.275657717961806</v>
      </c>
      <c r="L16" s="721">
        <f t="shared" si="0"/>
        <v>0</v>
      </c>
      <c r="M16" s="721">
        <f t="shared" ca="1" si="0"/>
        <v>0</v>
      </c>
      <c r="N16" s="721">
        <f t="shared" si="0"/>
        <v>0</v>
      </c>
      <c r="O16" s="721">
        <f t="shared" ca="1" si="0"/>
        <v>13970.749975443341</v>
      </c>
      <c r="P16" s="721">
        <f t="shared" si="0"/>
        <v>309.54000000000002</v>
      </c>
      <c r="Q16" s="721">
        <f t="shared" si="0"/>
        <v>343.2</v>
      </c>
      <c r="R16" s="721">
        <f t="shared" ca="1" si="0"/>
        <v>150903.62505567604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475.05357388179004</v>
      </c>
      <c r="I19" s="686">
        <f>transport!H54</f>
        <v>0</v>
      </c>
      <c r="J19" s="686">
        <f>transport!I54</f>
        <v>0</v>
      </c>
      <c r="K19" s="686">
        <f>transport!J54</f>
        <v>0</v>
      </c>
      <c r="L19" s="686">
        <f>transport!K54</f>
        <v>0</v>
      </c>
      <c r="M19" s="686">
        <f>transport!L54</f>
        <v>0</v>
      </c>
      <c r="N19" s="686">
        <f>transport!M54</f>
        <v>21.145027581587144</v>
      </c>
      <c r="O19" s="686">
        <f>transport!N54</f>
        <v>0</v>
      </c>
      <c r="P19" s="686">
        <f>transport!O54</f>
        <v>0</v>
      </c>
      <c r="Q19" s="687">
        <f>transport!P54</f>
        <v>0</v>
      </c>
      <c r="R19" s="689">
        <f>SUM(C19:Q19)</f>
        <v>496.1986014633772</v>
      </c>
      <c r="S19" s="67"/>
    </row>
    <row r="20" spans="1:19" s="454" customFormat="1">
      <c r="A20" s="801" t="s">
        <v>306</v>
      </c>
      <c r="B20" s="806"/>
      <c r="C20" s="686">
        <f>transport!B14</f>
        <v>2.7689178429497368</v>
      </c>
      <c r="D20" s="686">
        <f>transport!C14</f>
        <v>0</v>
      </c>
      <c r="E20" s="686">
        <f>transport!D14</f>
        <v>4.6259033441455255</v>
      </c>
      <c r="F20" s="686">
        <f>transport!E14</f>
        <v>163.20292353192741</v>
      </c>
      <c r="G20" s="686">
        <f>transport!F14</f>
        <v>0</v>
      </c>
      <c r="H20" s="686">
        <f>transport!G14</f>
        <v>45107.678181547082</v>
      </c>
      <c r="I20" s="686">
        <f>transport!H14</f>
        <v>8426.9920251572876</v>
      </c>
      <c r="J20" s="686">
        <f>transport!I14</f>
        <v>0</v>
      </c>
      <c r="K20" s="686">
        <f>transport!J14</f>
        <v>0</v>
      </c>
      <c r="L20" s="686">
        <f>transport!K14</f>
        <v>0</v>
      </c>
      <c r="M20" s="686">
        <f>transport!L14</f>
        <v>0</v>
      </c>
      <c r="N20" s="686">
        <f>transport!M14</f>
        <v>2420.8008113969308</v>
      </c>
      <c r="O20" s="686">
        <f>transport!N14</f>
        <v>0</v>
      </c>
      <c r="P20" s="686">
        <f>transport!O14</f>
        <v>0</v>
      </c>
      <c r="Q20" s="687">
        <f>transport!P14</f>
        <v>0</v>
      </c>
      <c r="R20" s="689">
        <f>SUM(C20:Q20)</f>
        <v>56126.068762820323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2.7689178429497368</v>
      </c>
      <c r="D22" s="804">
        <f t="shared" ref="D22:R22" si="1">SUM(D18:D21)</f>
        <v>0</v>
      </c>
      <c r="E22" s="804">
        <f t="shared" si="1"/>
        <v>4.6259033441455255</v>
      </c>
      <c r="F22" s="804">
        <f t="shared" si="1"/>
        <v>163.20292353192741</v>
      </c>
      <c r="G22" s="804">
        <f t="shared" si="1"/>
        <v>0</v>
      </c>
      <c r="H22" s="804">
        <f t="shared" si="1"/>
        <v>45582.731755428875</v>
      </c>
      <c r="I22" s="804">
        <f t="shared" si="1"/>
        <v>8426.9920251572876</v>
      </c>
      <c r="J22" s="804">
        <f t="shared" si="1"/>
        <v>0</v>
      </c>
      <c r="K22" s="804">
        <f t="shared" si="1"/>
        <v>0</v>
      </c>
      <c r="L22" s="804">
        <f t="shared" si="1"/>
        <v>0</v>
      </c>
      <c r="M22" s="804">
        <f t="shared" si="1"/>
        <v>0</v>
      </c>
      <c r="N22" s="804">
        <f t="shared" si="1"/>
        <v>2441.9458389785182</v>
      </c>
      <c r="O22" s="804">
        <f t="shared" si="1"/>
        <v>0</v>
      </c>
      <c r="P22" s="804">
        <f t="shared" si="1"/>
        <v>0</v>
      </c>
      <c r="Q22" s="804">
        <f t="shared" si="1"/>
        <v>0</v>
      </c>
      <c r="R22" s="804">
        <f t="shared" si="1"/>
        <v>56622.267364283704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3459.5790000000002</v>
      </c>
      <c r="D24" s="686">
        <f>+landbouw!C8</f>
        <v>0</v>
      </c>
      <c r="E24" s="686">
        <f>+landbouw!D8</f>
        <v>3568.6376220000002</v>
      </c>
      <c r="F24" s="686">
        <f>+landbouw!E8</f>
        <v>43.595152243920076</v>
      </c>
      <c r="G24" s="686">
        <f>+landbouw!F8</f>
        <v>11936.414226325534</v>
      </c>
      <c r="H24" s="686">
        <f>+landbouw!G8</f>
        <v>0</v>
      </c>
      <c r="I24" s="686">
        <f>+landbouw!H8</f>
        <v>0</v>
      </c>
      <c r="J24" s="686">
        <f>+landbouw!I8</f>
        <v>0</v>
      </c>
      <c r="K24" s="686">
        <f>+landbouw!J8</f>
        <v>520.28135449391073</v>
      </c>
      <c r="L24" s="686">
        <f>+landbouw!K8</f>
        <v>0</v>
      </c>
      <c r="M24" s="686">
        <f>+landbouw!L8</f>
        <v>0</v>
      </c>
      <c r="N24" s="686">
        <f>+landbouw!M8</f>
        <v>0</v>
      </c>
      <c r="O24" s="686">
        <f>+landbouw!N8</f>
        <v>0</v>
      </c>
      <c r="P24" s="686">
        <f>+landbouw!O8</f>
        <v>0</v>
      </c>
      <c r="Q24" s="687">
        <f>+landbouw!P8</f>
        <v>0</v>
      </c>
      <c r="R24" s="689">
        <f>SUM(C24:Q24)</f>
        <v>19528.507355063364</v>
      </c>
      <c r="S24" s="67"/>
    </row>
    <row r="25" spans="1:19" s="454" customFormat="1" ht="15" thickBot="1">
      <c r="A25" s="823" t="s">
        <v>856</v>
      </c>
      <c r="B25" s="991"/>
      <c r="C25" s="992">
        <f>IF(Onbekend_ele_kWh="---",0,Onbekend_ele_kWh)/1000+IF(REST_rest_ele_kWh="---",0,REST_rest_ele_kWh)/1000</f>
        <v>418.41699999999997</v>
      </c>
      <c r="D25" s="992"/>
      <c r="E25" s="992">
        <f>IF(onbekend_gas_kWh="---",0,onbekend_gas_kWh)/1000+IF(REST_rest_gas_kWh="---",0,REST_rest_gas_kWh)/1000</f>
        <v>2625.0189999999998</v>
      </c>
      <c r="F25" s="992"/>
      <c r="G25" s="992"/>
      <c r="H25" s="992"/>
      <c r="I25" s="992"/>
      <c r="J25" s="992"/>
      <c r="K25" s="992"/>
      <c r="L25" s="992"/>
      <c r="M25" s="992"/>
      <c r="N25" s="992"/>
      <c r="O25" s="992"/>
      <c r="P25" s="992"/>
      <c r="Q25" s="993"/>
      <c r="R25" s="689">
        <f>SUM(C25:Q25)</f>
        <v>3043.4359999999997</v>
      </c>
      <c r="S25" s="67"/>
    </row>
    <row r="26" spans="1:19" s="454" customFormat="1" ht="15.75" thickBot="1">
      <c r="A26" s="694" t="s">
        <v>857</v>
      </c>
      <c r="B26" s="809"/>
      <c r="C26" s="804">
        <f>SUM(C24:C25)</f>
        <v>3877.9960000000001</v>
      </c>
      <c r="D26" s="804">
        <f t="shared" ref="D26:R26" si="2">SUM(D24:D25)</f>
        <v>0</v>
      </c>
      <c r="E26" s="804">
        <f t="shared" si="2"/>
        <v>6193.6566220000004</v>
      </c>
      <c r="F26" s="804">
        <f t="shared" si="2"/>
        <v>43.595152243920076</v>
      </c>
      <c r="G26" s="804">
        <f t="shared" si="2"/>
        <v>11936.414226325534</v>
      </c>
      <c r="H26" s="804">
        <f t="shared" si="2"/>
        <v>0</v>
      </c>
      <c r="I26" s="804">
        <f t="shared" si="2"/>
        <v>0</v>
      </c>
      <c r="J26" s="804">
        <f t="shared" si="2"/>
        <v>0</v>
      </c>
      <c r="K26" s="804">
        <f t="shared" si="2"/>
        <v>520.28135449391073</v>
      </c>
      <c r="L26" s="804">
        <f t="shared" si="2"/>
        <v>0</v>
      </c>
      <c r="M26" s="804">
        <f t="shared" si="2"/>
        <v>0</v>
      </c>
      <c r="N26" s="804">
        <f t="shared" si="2"/>
        <v>0</v>
      </c>
      <c r="O26" s="804">
        <f t="shared" si="2"/>
        <v>0</v>
      </c>
      <c r="P26" s="804">
        <f t="shared" si="2"/>
        <v>0</v>
      </c>
      <c r="Q26" s="804">
        <f t="shared" si="2"/>
        <v>0</v>
      </c>
      <c r="R26" s="804">
        <f t="shared" si="2"/>
        <v>22571.943355063362</v>
      </c>
      <c r="S26" s="67"/>
    </row>
    <row r="27" spans="1:19" s="454" customFormat="1" ht="17.25" thickTop="1" thickBot="1">
      <c r="A27" s="695" t="s">
        <v>115</v>
      </c>
      <c r="B27" s="796"/>
      <c r="C27" s="696">
        <f ca="1">C22+C16+C26</f>
        <v>41380.05247007349</v>
      </c>
      <c r="D27" s="696">
        <f t="shared" ref="D27:R27" ca="1" si="3">D22+D16+D26</f>
        <v>0</v>
      </c>
      <c r="E27" s="696">
        <f t="shared" ca="1" si="3"/>
        <v>41164.767133344147</v>
      </c>
      <c r="F27" s="696">
        <f t="shared" si="3"/>
        <v>6546.870403597226</v>
      </c>
      <c r="G27" s="696">
        <f t="shared" ca="1" si="3"/>
        <v>69397.42916078835</v>
      </c>
      <c r="H27" s="696">
        <f t="shared" si="3"/>
        <v>45582.731755428875</v>
      </c>
      <c r="I27" s="696">
        <f t="shared" si="3"/>
        <v>8426.9920251572876</v>
      </c>
      <c r="J27" s="696">
        <f t="shared" si="3"/>
        <v>0</v>
      </c>
      <c r="K27" s="696">
        <f t="shared" si="3"/>
        <v>533.55701221187257</v>
      </c>
      <c r="L27" s="696">
        <f t="shared" si="3"/>
        <v>0</v>
      </c>
      <c r="M27" s="696">
        <f t="shared" ca="1" si="3"/>
        <v>0</v>
      </c>
      <c r="N27" s="696">
        <f t="shared" si="3"/>
        <v>2441.9458389785182</v>
      </c>
      <c r="O27" s="696">
        <f t="shared" ca="1" si="3"/>
        <v>13970.749975443341</v>
      </c>
      <c r="P27" s="696">
        <f t="shared" si="3"/>
        <v>309.54000000000002</v>
      </c>
      <c r="Q27" s="696">
        <f t="shared" si="3"/>
        <v>343.2</v>
      </c>
      <c r="R27" s="696">
        <f t="shared" ca="1" si="3"/>
        <v>230097.83577502309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1622.1365932709052</v>
      </c>
      <c r="D40" s="686">
        <f ca="1">tertiair!C20</f>
        <v>0</v>
      </c>
      <c r="E40" s="686">
        <f ca="1">tertiair!D20</f>
        <v>605.54296853599999</v>
      </c>
      <c r="F40" s="686">
        <f>tertiair!E20</f>
        <v>28.200224075526489</v>
      </c>
      <c r="G40" s="686">
        <f ca="1">tertiair!F20</f>
        <v>471.16040689687622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2727.0401927793082</v>
      </c>
    </row>
    <row r="41" spans="1:18">
      <c r="A41" s="814" t="s">
        <v>224</v>
      </c>
      <c r="B41" s="821"/>
      <c r="C41" s="686">
        <f ca="1">huishoudens!B12</f>
        <v>4250.8926707683295</v>
      </c>
      <c r="D41" s="686">
        <f ca="1">huishoudens!C12</f>
        <v>0</v>
      </c>
      <c r="E41" s="686">
        <f>huishoudens!D12</f>
        <v>5764.2804476400006</v>
      </c>
      <c r="F41" s="686">
        <f>huishoudens!E12</f>
        <v>1330.1369494906176</v>
      </c>
      <c r="G41" s="686">
        <f>huishoudens!F12</f>
        <v>14303.628179496665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25648.938247395614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800.40199330147959</v>
      </c>
      <c r="D43" s="686">
        <f ca="1">industrie!C22</f>
        <v>0</v>
      </c>
      <c r="E43" s="686">
        <f>industrie!D22</f>
        <v>693.40647464000006</v>
      </c>
      <c r="F43" s="686">
        <f>industrie!E22</f>
        <v>80.859244849308681</v>
      </c>
      <c r="G43" s="686">
        <f>industrie!F22</f>
        <v>567.30240110803106</v>
      </c>
      <c r="H43" s="686">
        <f>industrie!G22</f>
        <v>0</v>
      </c>
      <c r="I43" s="686">
        <f>industrie!H22</f>
        <v>0</v>
      </c>
      <c r="J43" s="686">
        <f>industrie!I22</f>
        <v>0</v>
      </c>
      <c r="K43" s="686">
        <f>industrie!J22</f>
        <v>4.6995828321584794</v>
      </c>
      <c r="L43" s="686">
        <f>industrie!K22</f>
        <v>0</v>
      </c>
      <c r="M43" s="686">
        <f>industrie!L22</f>
        <v>0</v>
      </c>
      <c r="N43" s="686">
        <f>industrie!M22</f>
        <v>0</v>
      </c>
      <c r="O43" s="686">
        <f>industrie!N22</f>
        <v>0</v>
      </c>
      <c r="P43" s="686">
        <f>industrie!O22</f>
        <v>0</v>
      </c>
      <c r="Q43" s="763">
        <f>industrie!P22</f>
        <v>0</v>
      </c>
      <c r="R43" s="841">
        <f t="shared" ca="1" si="4"/>
        <v>2146.6696967309776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6673.4312573407142</v>
      </c>
      <c r="D46" s="721">
        <f t="shared" ref="D46:Q46" ca="1" si="5">SUM(D39:D45)</f>
        <v>0</v>
      </c>
      <c r="E46" s="721">
        <f t="shared" ca="1" si="5"/>
        <v>7063.229890816001</v>
      </c>
      <c r="F46" s="721">
        <f t="shared" si="5"/>
        <v>1439.1964184154526</v>
      </c>
      <c r="G46" s="721">
        <f t="shared" ca="1" si="5"/>
        <v>15342.090987501571</v>
      </c>
      <c r="H46" s="721">
        <f t="shared" si="5"/>
        <v>0</v>
      </c>
      <c r="I46" s="721">
        <f t="shared" si="5"/>
        <v>0</v>
      </c>
      <c r="J46" s="721">
        <f t="shared" si="5"/>
        <v>0</v>
      </c>
      <c r="K46" s="721">
        <f t="shared" si="5"/>
        <v>4.6995828321584794</v>
      </c>
      <c r="L46" s="721">
        <f t="shared" si="5"/>
        <v>0</v>
      </c>
      <c r="M46" s="721">
        <f t="shared" ca="1" si="5"/>
        <v>0</v>
      </c>
      <c r="N46" s="721">
        <f t="shared" si="5"/>
        <v>0</v>
      </c>
      <c r="O46" s="721">
        <f t="shared" ca="1" si="5"/>
        <v>0</v>
      </c>
      <c r="P46" s="721">
        <f t="shared" si="5"/>
        <v>0</v>
      </c>
      <c r="Q46" s="721">
        <f t="shared" si="5"/>
        <v>0</v>
      </c>
      <c r="R46" s="721">
        <f ca="1">SUM(R39:R45)</f>
        <v>30522.648136905897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126.83930422643795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126.83930422643795</v>
      </c>
    </row>
    <row r="50" spans="1:18">
      <c r="A50" s="817" t="s">
        <v>306</v>
      </c>
      <c r="B50" s="827"/>
      <c r="C50" s="692">
        <f ca="1">transport!B18</f>
        <v>0.49276090529485478</v>
      </c>
      <c r="D50" s="692">
        <f>transport!C18</f>
        <v>0</v>
      </c>
      <c r="E50" s="692">
        <f>transport!D18</f>
        <v>0.93443247551739617</v>
      </c>
      <c r="F50" s="692">
        <f>transport!E18</f>
        <v>37.047063641747521</v>
      </c>
      <c r="G50" s="692">
        <f>transport!F18</f>
        <v>0</v>
      </c>
      <c r="H50" s="692">
        <f>transport!G18</f>
        <v>12043.750074473071</v>
      </c>
      <c r="I50" s="692">
        <f>transport!H18</f>
        <v>2098.3210142641647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14180.545345759794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0.49276090529485478</v>
      </c>
      <c r="D52" s="721">
        <f t="shared" ref="D52:Q52" ca="1" si="6">SUM(D48:D51)</f>
        <v>0</v>
      </c>
      <c r="E52" s="721">
        <f t="shared" si="6"/>
        <v>0.93443247551739617</v>
      </c>
      <c r="F52" s="721">
        <f t="shared" si="6"/>
        <v>37.047063641747521</v>
      </c>
      <c r="G52" s="721">
        <f t="shared" si="6"/>
        <v>0</v>
      </c>
      <c r="H52" s="721">
        <f t="shared" si="6"/>
        <v>12170.589378699509</v>
      </c>
      <c r="I52" s="721">
        <f t="shared" si="6"/>
        <v>2098.3210142641647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14307.384649986232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615.67203386684741</v>
      </c>
      <c r="D54" s="692">
        <f ca="1">+landbouw!C12</f>
        <v>0</v>
      </c>
      <c r="E54" s="692">
        <f>+landbouw!D12</f>
        <v>720.86479964400007</v>
      </c>
      <c r="F54" s="692">
        <f>+landbouw!E12</f>
        <v>9.8960995593698584</v>
      </c>
      <c r="G54" s="692">
        <f>+landbouw!F12</f>
        <v>3187.0225984289177</v>
      </c>
      <c r="H54" s="692">
        <f>+landbouw!G12</f>
        <v>0</v>
      </c>
      <c r="I54" s="692">
        <f>+landbouw!H12</f>
        <v>0</v>
      </c>
      <c r="J54" s="692">
        <f>+landbouw!I12</f>
        <v>0</v>
      </c>
      <c r="K54" s="692">
        <f>+landbouw!J12</f>
        <v>184.1795994908444</v>
      </c>
      <c r="L54" s="692">
        <f>+landbouw!K12</f>
        <v>0</v>
      </c>
      <c r="M54" s="692">
        <f>+landbouw!L12</f>
        <v>0</v>
      </c>
      <c r="N54" s="692">
        <f>+landbouw!M12</f>
        <v>0</v>
      </c>
      <c r="O54" s="692">
        <f>+landbouw!N12</f>
        <v>0</v>
      </c>
      <c r="P54" s="692">
        <f>+landbouw!O12</f>
        <v>0</v>
      </c>
      <c r="Q54" s="693">
        <f>+landbouw!P12</f>
        <v>0</v>
      </c>
      <c r="R54" s="720">
        <f ca="1">SUM(C54:Q54)</f>
        <v>4717.6351309899792</v>
      </c>
    </row>
    <row r="55" spans="1:18" ht="15" thickBot="1">
      <c r="A55" s="817" t="s">
        <v>856</v>
      </c>
      <c r="B55" s="827"/>
      <c r="C55" s="692">
        <f ca="1">C25*'EF ele_warmte'!B12</f>
        <v>74.462136980963479</v>
      </c>
      <c r="D55" s="692"/>
      <c r="E55" s="692">
        <f>E25*EF_CO2_aardgas</f>
        <v>530.25383799999997</v>
      </c>
      <c r="F55" s="692"/>
      <c r="G55" s="692"/>
      <c r="H55" s="692"/>
      <c r="I55" s="692"/>
      <c r="J55" s="692"/>
      <c r="K55" s="692"/>
      <c r="L55" s="692"/>
      <c r="M55" s="692"/>
      <c r="N55" s="692"/>
      <c r="O55" s="692"/>
      <c r="P55" s="692"/>
      <c r="Q55" s="693"/>
      <c r="R55" s="720">
        <f ca="1">SUM(C55:Q55)</f>
        <v>604.71597498096344</v>
      </c>
    </row>
    <row r="56" spans="1:18" ht="15.75" thickBot="1">
      <c r="A56" s="815" t="s">
        <v>857</v>
      </c>
      <c r="B56" s="828"/>
      <c r="C56" s="721">
        <f ca="1">SUM(C54:C55)</f>
        <v>690.13417084781088</v>
      </c>
      <c r="D56" s="721">
        <f t="shared" ref="D56:Q56" ca="1" si="7">SUM(D54:D55)</f>
        <v>0</v>
      </c>
      <c r="E56" s="721">
        <f t="shared" si="7"/>
        <v>1251.118637644</v>
      </c>
      <c r="F56" s="721">
        <f t="shared" si="7"/>
        <v>9.8960995593698584</v>
      </c>
      <c r="G56" s="721">
        <f t="shared" si="7"/>
        <v>3187.0225984289177</v>
      </c>
      <c r="H56" s="721">
        <f t="shared" si="7"/>
        <v>0</v>
      </c>
      <c r="I56" s="721">
        <f t="shared" si="7"/>
        <v>0</v>
      </c>
      <c r="J56" s="721">
        <f t="shared" si="7"/>
        <v>0</v>
      </c>
      <c r="K56" s="721">
        <f t="shared" si="7"/>
        <v>184.1795994908444</v>
      </c>
      <c r="L56" s="721">
        <f t="shared" si="7"/>
        <v>0</v>
      </c>
      <c r="M56" s="721">
        <f t="shared" si="7"/>
        <v>0</v>
      </c>
      <c r="N56" s="721">
        <f t="shared" si="7"/>
        <v>0</v>
      </c>
      <c r="O56" s="721">
        <f t="shared" si="7"/>
        <v>0</v>
      </c>
      <c r="P56" s="721">
        <f t="shared" si="7"/>
        <v>0</v>
      </c>
      <c r="Q56" s="722">
        <f t="shared" si="7"/>
        <v>0</v>
      </c>
      <c r="R56" s="723">
        <f ca="1">SUM(R54:R55)</f>
        <v>5322.3511059709426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7364.0581890938201</v>
      </c>
      <c r="D61" s="729">
        <f t="shared" ref="D61:Q61" ca="1" si="8">D46+D52+D56</f>
        <v>0</v>
      </c>
      <c r="E61" s="729">
        <f t="shared" ca="1" si="8"/>
        <v>8315.2829609355176</v>
      </c>
      <c r="F61" s="729">
        <f t="shared" si="8"/>
        <v>1486.13958161657</v>
      </c>
      <c r="G61" s="729">
        <f t="shared" ca="1" si="8"/>
        <v>18529.113585930489</v>
      </c>
      <c r="H61" s="729">
        <f t="shared" si="8"/>
        <v>12170.589378699509</v>
      </c>
      <c r="I61" s="729">
        <f t="shared" si="8"/>
        <v>2098.3210142641647</v>
      </c>
      <c r="J61" s="729">
        <f t="shared" si="8"/>
        <v>0</v>
      </c>
      <c r="K61" s="729">
        <f t="shared" si="8"/>
        <v>188.87918232300288</v>
      </c>
      <c r="L61" s="729">
        <f t="shared" si="8"/>
        <v>0</v>
      </c>
      <c r="M61" s="729">
        <f t="shared" ca="1" si="8"/>
        <v>0</v>
      </c>
      <c r="N61" s="729">
        <f t="shared" si="8"/>
        <v>0</v>
      </c>
      <c r="O61" s="729">
        <f t="shared" ca="1" si="8"/>
        <v>0</v>
      </c>
      <c r="P61" s="729">
        <f t="shared" si="8"/>
        <v>0</v>
      </c>
      <c r="Q61" s="729">
        <f t="shared" si="8"/>
        <v>0</v>
      </c>
      <c r="R61" s="729">
        <f ca="1">R46+R52+R56</f>
        <v>50152.383892863072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0.17796154788396143</v>
      </c>
      <c r="D63" s="772">
        <f t="shared" ca="1" si="9"/>
        <v>0</v>
      </c>
      <c r="E63" s="998">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8058.5222026806359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8058.5222026806359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23886.579552230542</v>
      </c>
      <c r="C4" s="458">
        <f>huishoudens!C8</f>
        <v>0</v>
      </c>
      <c r="D4" s="458">
        <f>huishoudens!D8</f>
        <v>28536.041820000002</v>
      </c>
      <c r="E4" s="458">
        <f>huishoudens!E8</f>
        <v>5859.6341387251878</v>
      </c>
      <c r="F4" s="458">
        <f>huishoudens!F8</f>
        <v>53571.641121710352</v>
      </c>
      <c r="G4" s="458">
        <f>huishoudens!G8</f>
        <v>0</v>
      </c>
      <c r="H4" s="458">
        <f>huishoudens!H8</f>
        <v>0</v>
      </c>
      <c r="I4" s="458">
        <f>huishoudens!I8</f>
        <v>0</v>
      </c>
      <c r="J4" s="458">
        <f>huishoudens!J8</f>
        <v>0</v>
      </c>
      <c r="K4" s="458">
        <f>huishoudens!K8</f>
        <v>0</v>
      </c>
      <c r="L4" s="458">
        <f>huishoudens!L8</f>
        <v>0</v>
      </c>
      <c r="M4" s="458">
        <f>huishoudens!M8</f>
        <v>0</v>
      </c>
      <c r="N4" s="458">
        <f>huishoudens!N8</f>
        <v>12790.216121064399</v>
      </c>
      <c r="O4" s="458">
        <f>huishoudens!O8</f>
        <v>307.97666666666669</v>
      </c>
      <c r="P4" s="459">
        <f>huishoudens!P8</f>
        <v>343.2</v>
      </c>
      <c r="Q4" s="460">
        <f>SUM(B4:P4)</f>
        <v>125295.28942039715</v>
      </c>
    </row>
    <row r="5" spans="1:17">
      <c r="A5" s="457" t="s">
        <v>155</v>
      </c>
      <c r="B5" s="458">
        <f ca="1">tertiair!B16</f>
        <v>8517.1679999999997</v>
      </c>
      <c r="C5" s="458">
        <f ca="1">tertiair!C16</f>
        <v>0</v>
      </c>
      <c r="D5" s="458">
        <f ca="1">tertiair!D16</f>
        <v>2997.7374679999998</v>
      </c>
      <c r="E5" s="458">
        <f>tertiair!E16</f>
        <v>124.23006200672461</v>
      </c>
      <c r="F5" s="458">
        <f ca="1">tertiair!F16</f>
        <v>1764.6457187148922</v>
      </c>
      <c r="G5" s="458">
        <f>tertiair!G16</f>
        <v>0</v>
      </c>
      <c r="H5" s="458">
        <f>tertiair!H16</f>
        <v>0</v>
      </c>
      <c r="I5" s="458">
        <f>tertiair!I16</f>
        <v>0</v>
      </c>
      <c r="J5" s="458">
        <f>tertiair!J16</f>
        <v>0</v>
      </c>
      <c r="K5" s="458">
        <f>tertiair!K16</f>
        <v>0</v>
      </c>
      <c r="L5" s="458">
        <f ca="1">tertiair!L16</f>
        <v>0</v>
      </c>
      <c r="M5" s="458">
        <f>tertiair!M16</f>
        <v>0</v>
      </c>
      <c r="N5" s="458">
        <f ca="1">tertiair!N16</f>
        <v>1011.3083172987294</v>
      </c>
      <c r="O5" s="458">
        <f>tertiair!O16</f>
        <v>1.5633333333333335</v>
      </c>
      <c r="P5" s="459">
        <f>tertiair!P16</f>
        <v>0</v>
      </c>
      <c r="Q5" s="457">
        <f t="shared" ref="Q5:Q14" ca="1" si="0">SUM(B5:P5)</f>
        <v>14416.652899353679</v>
      </c>
    </row>
    <row r="6" spans="1:17">
      <c r="A6" s="457" t="s">
        <v>193</v>
      </c>
      <c r="B6" s="458">
        <f>'openbare verlichting'!B8</f>
        <v>597.928</v>
      </c>
      <c r="C6" s="458"/>
      <c r="D6" s="458"/>
      <c r="E6" s="458"/>
      <c r="F6" s="458"/>
      <c r="G6" s="458"/>
      <c r="H6" s="458"/>
      <c r="I6" s="458"/>
      <c r="J6" s="458"/>
      <c r="K6" s="458"/>
      <c r="L6" s="458"/>
      <c r="M6" s="458"/>
      <c r="N6" s="458"/>
      <c r="O6" s="458"/>
      <c r="P6" s="459"/>
      <c r="Q6" s="457">
        <f t="shared" si="0"/>
        <v>597.928</v>
      </c>
    </row>
    <row r="7" spans="1:17">
      <c r="A7" s="457" t="s">
        <v>111</v>
      </c>
      <c r="B7" s="458">
        <f>landbouw!B8</f>
        <v>3459.5790000000002</v>
      </c>
      <c r="C7" s="458">
        <f>landbouw!C8</f>
        <v>0</v>
      </c>
      <c r="D7" s="458">
        <f>landbouw!D8</f>
        <v>3568.6376220000002</v>
      </c>
      <c r="E7" s="458">
        <f>landbouw!E8</f>
        <v>43.595152243920076</v>
      </c>
      <c r="F7" s="458">
        <f>landbouw!F8</f>
        <v>11936.414226325534</v>
      </c>
      <c r="G7" s="458">
        <f>landbouw!G8</f>
        <v>0</v>
      </c>
      <c r="H7" s="458">
        <f>landbouw!H8</f>
        <v>0</v>
      </c>
      <c r="I7" s="458">
        <f>landbouw!I8</f>
        <v>0</v>
      </c>
      <c r="J7" s="458">
        <f>landbouw!J8</f>
        <v>520.28135449391073</v>
      </c>
      <c r="K7" s="458">
        <f>landbouw!K8</f>
        <v>0</v>
      </c>
      <c r="L7" s="458">
        <f>landbouw!L8</f>
        <v>0</v>
      </c>
      <c r="M7" s="458">
        <f>landbouw!M8</f>
        <v>0</v>
      </c>
      <c r="N7" s="458">
        <f>landbouw!N8</f>
        <v>0</v>
      </c>
      <c r="O7" s="458">
        <f>landbouw!O8</f>
        <v>0</v>
      </c>
      <c r="P7" s="459">
        <f>landbouw!P8</f>
        <v>0</v>
      </c>
      <c r="Q7" s="457">
        <f t="shared" si="0"/>
        <v>19528.507355063364</v>
      </c>
    </row>
    <row r="8" spans="1:17">
      <c r="A8" s="457" t="s">
        <v>655</v>
      </c>
      <c r="B8" s="458">
        <f>industrie!B18</f>
        <v>4497.6120000000001</v>
      </c>
      <c r="C8" s="458">
        <f>industrie!C18</f>
        <v>0</v>
      </c>
      <c r="D8" s="458">
        <f>industrie!D18</f>
        <v>3432.70532</v>
      </c>
      <c r="E8" s="458">
        <f>industrie!E18</f>
        <v>356.20812708946556</v>
      </c>
      <c r="F8" s="458">
        <f>industrie!F18</f>
        <v>2124.7280940375695</v>
      </c>
      <c r="G8" s="458">
        <f>industrie!G18</f>
        <v>0</v>
      </c>
      <c r="H8" s="458">
        <f>industrie!H18</f>
        <v>0</v>
      </c>
      <c r="I8" s="458">
        <f>industrie!I18</f>
        <v>0</v>
      </c>
      <c r="J8" s="458">
        <f>industrie!J18</f>
        <v>13.275657717961806</v>
      </c>
      <c r="K8" s="458">
        <f>industrie!K18</f>
        <v>0</v>
      </c>
      <c r="L8" s="458">
        <f>industrie!L18</f>
        <v>0</v>
      </c>
      <c r="M8" s="458">
        <f>industrie!M18</f>
        <v>0</v>
      </c>
      <c r="N8" s="458">
        <f>industrie!N18</f>
        <v>169.22553708021201</v>
      </c>
      <c r="O8" s="458">
        <f>industrie!O18</f>
        <v>0</v>
      </c>
      <c r="P8" s="459">
        <f>industrie!P18</f>
        <v>0</v>
      </c>
      <c r="Q8" s="457">
        <f t="shared" si="0"/>
        <v>10593.754735925209</v>
      </c>
    </row>
    <row r="9" spans="1:17" s="463" customFormat="1">
      <c r="A9" s="461" t="s">
        <v>573</v>
      </c>
      <c r="B9" s="462">
        <f>transport!B14</f>
        <v>2.7689178429497368</v>
      </c>
      <c r="C9" s="462">
        <f>transport!C14</f>
        <v>0</v>
      </c>
      <c r="D9" s="462">
        <f>transport!D14</f>
        <v>4.6259033441455255</v>
      </c>
      <c r="E9" s="462">
        <f>transport!E14</f>
        <v>163.20292353192741</v>
      </c>
      <c r="F9" s="462">
        <f>transport!F14</f>
        <v>0</v>
      </c>
      <c r="G9" s="462">
        <f>transport!G14</f>
        <v>45107.678181547082</v>
      </c>
      <c r="H9" s="462">
        <f>transport!H14</f>
        <v>8426.9920251572876</v>
      </c>
      <c r="I9" s="462">
        <f>transport!I14</f>
        <v>0</v>
      </c>
      <c r="J9" s="462">
        <f>transport!J14</f>
        <v>0</v>
      </c>
      <c r="K9" s="462">
        <f>transport!K14</f>
        <v>0</v>
      </c>
      <c r="L9" s="462">
        <f>transport!L14</f>
        <v>0</v>
      </c>
      <c r="M9" s="462">
        <f>transport!M14</f>
        <v>2420.8008113969308</v>
      </c>
      <c r="N9" s="462">
        <f>transport!N14</f>
        <v>0</v>
      </c>
      <c r="O9" s="462">
        <f>transport!O14</f>
        <v>0</v>
      </c>
      <c r="P9" s="462">
        <f>transport!P14</f>
        <v>0</v>
      </c>
      <c r="Q9" s="461">
        <f>SUM(B9:P9)</f>
        <v>56126.068762820323</v>
      </c>
    </row>
    <row r="10" spans="1:17">
      <c r="A10" s="457" t="s">
        <v>563</v>
      </c>
      <c r="B10" s="458">
        <f>transport!B54</f>
        <v>0</v>
      </c>
      <c r="C10" s="458">
        <f>transport!C54</f>
        <v>0</v>
      </c>
      <c r="D10" s="458">
        <f>transport!D54</f>
        <v>0</v>
      </c>
      <c r="E10" s="458">
        <f>transport!E54</f>
        <v>0</v>
      </c>
      <c r="F10" s="458">
        <f>transport!F54</f>
        <v>0</v>
      </c>
      <c r="G10" s="458">
        <f>transport!G54</f>
        <v>475.05357388179004</v>
      </c>
      <c r="H10" s="458">
        <f>transport!H54</f>
        <v>0</v>
      </c>
      <c r="I10" s="458">
        <f>transport!I54</f>
        <v>0</v>
      </c>
      <c r="J10" s="458">
        <f>transport!J54</f>
        <v>0</v>
      </c>
      <c r="K10" s="458">
        <f>transport!K54</f>
        <v>0</v>
      </c>
      <c r="L10" s="458">
        <f>transport!L54</f>
        <v>0</v>
      </c>
      <c r="M10" s="458">
        <f>transport!M54</f>
        <v>21.145027581587144</v>
      </c>
      <c r="N10" s="458">
        <f>transport!N54</f>
        <v>0</v>
      </c>
      <c r="O10" s="458">
        <f>transport!O54</f>
        <v>0</v>
      </c>
      <c r="P10" s="459">
        <f>transport!P54</f>
        <v>0</v>
      </c>
      <c r="Q10" s="457">
        <f t="shared" si="0"/>
        <v>496.1986014633772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418.41699999999997</v>
      </c>
      <c r="C14" s="465"/>
      <c r="D14" s="465">
        <f>'SEAP template'!E25</f>
        <v>2625.0189999999998</v>
      </c>
      <c r="E14" s="465"/>
      <c r="F14" s="465"/>
      <c r="G14" s="465"/>
      <c r="H14" s="465"/>
      <c r="I14" s="465"/>
      <c r="J14" s="465"/>
      <c r="K14" s="465"/>
      <c r="L14" s="465"/>
      <c r="M14" s="465"/>
      <c r="N14" s="465"/>
      <c r="O14" s="465"/>
      <c r="P14" s="466"/>
      <c r="Q14" s="457">
        <f t="shared" si="0"/>
        <v>3043.4359999999997</v>
      </c>
    </row>
    <row r="15" spans="1:17" s="470" customFormat="1">
      <c r="A15" s="467" t="s">
        <v>567</v>
      </c>
      <c r="B15" s="468">
        <f ca="1">SUM(B4:B14)</f>
        <v>41380.05247007349</v>
      </c>
      <c r="C15" s="468">
        <f t="shared" ref="C15:Q15" ca="1" si="1">SUM(C4:C14)</f>
        <v>0</v>
      </c>
      <c r="D15" s="468">
        <f t="shared" ca="1" si="1"/>
        <v>41164.767133344147</v>
      </c>
      <c r="E15" s="468">
        <f t="shared" si="1"/>
        <v>6546.870403597226</v>
      </c>
      <c r="F15" s="468">
        <f t="shared" ca="1" si="1"/>
        <v>69397.429160788335</v>
      </c>
      <c r="G15" s="468">
        <f t="shared" si="1"/>
        <v>45582.731755428875</v>
      </c>
      <c r="H15" s="468">
        <f t="shared" si="1"/>
        <v>8426.9920251572876</v>
      </c>
      <c r="I15" s="468">
        <f t="shared" si="1"/>
        <v>0</v>
      </c>
      <c r="J15" s="468">
        <f t="shared" si="1"/>
        <v>533.55701221187257</v>
      </c>
      <c r="K15" s="468">
        <f t="shared" si="1"/>
        <v>0</v>
      </c>
      <c r="L15" s="468">
        <f t="shared" ca="1" si="1"/>
        <v>0</v>
      </c>
      <c r="M15" s="468">
        <f t="shared" si="1"/>
        <v>2441.9458389785182</v>
      </c>
      <c r="N15" s="468">
        <f t="shared" ca="1" si="1"/>
        <v>13970.749975443341</v>
      </c>
      <c r="O15" s="468">
        <f t="shared" si="1"/>
        <v>309.54000000000002</v>
      </c>
      <c r="P15" s="468">
        <f t="shared" si="1"/>
        <v>343.2</v>
      </c>
      <c r="Q15" s="468">
        <f t="shared" ca="1" si="1"/>
        <v>230097.83577502312</v>
      </c>
    </row>
    <row r="17" spans="1:17">
      <c r="A17" s="471" t="s">
        <v>568</v>
      </c>
      <c r="B17" s="777">
        <f ca="1">huishoudens!B10</f>
        <v>0.17796154788396143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4250.8926707683295</v>
      </c>
      <c r="C22" s="458">
        <f t="shared" ref="C22:C32" ca="1" si="3">C4*$C$17</f>
        <v>0</v>
      </c>
      <c r="D22" s="458">
        <f t="shared" ref="D22:D32" si="4">D4*$D$17</f>
        <v>5764.2804476400006</v>
      </c>
      <c r="E22" s="458">
        <f t="shared" ref="E22:E32" si="5">E4*$E$17</f>
        <v>1330.1369494906176</v>
      </c>
      <c r="F22" s="458">
        <f t="shared" ref="F22:F32" si="6">F4*$F$17</f>
        <v>14303.628179496665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25648.938247395614</v>
      </c>
    </row>
    <row r="23" spans="1:17">
      <c r="A23" s="457" t="s">
        <v>155</v>
      </c>
      <c r="B23" s="458">
        <f t="shared" ca="1" si="2"/>
        <v>1515.7284008677439</v>
      </c>
      <c r="C23" s="458">
        <f t="shared" ca="1" si="3"/>
        <v>0</v>
      </c>
      <c r="D23" s="458">
        <f t="shared" ca="1" si="4"/>
        <v>605.54296853599999</v>
      </c>
      <c r="E23" s="458">
        <f t="shared" si="5"/>
        <v>28.200224075526489</v>
      </c>
      <c r="F23" s="458">
        <f t="shared" ca="1" si="6"/>
        <v>471.16040689687622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2620.6320003761466</v>
      </c>
    </row>
    <row r="24" spans="1:17">
      <c r="A24" s="457" t="s">
        <v>193</v>
      </c>
      <c r="B24" s="458">
        <f t="shared" ca="1" si="2"/>
        <v>106.40819240316129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106.40819240316129</v>
      </c>
    </row>
    <row r="25" spans="1:17">
      <c r="A25" s="457" t="s">
        <v>111</v>
      </c>
      <c r="B25" s="458">
        <f t="shared" ca="1" si="2"/>
        <v>615.67203386684741</v>
      </c>
      <c r="C25" s="458">
        <f t="shared" ca="1" si="3"/>
        <v>0</v>
      </c>
      <c r="D25" s="458">
        <f t="shared" si="4"/>
        <v>720.86479964400007</v>
      </c>
      <c r="E25" s="458">
        <f t="shared" si="5"/>
        <v>9.8960995593698584</v>
      </c>
      <c r="F25" s="458">
        <f t="shared" si="6"/>
        <v>3187.0225984289177</v>
      </c>
      <c r="G25" s="458">
        <f t="shared" si="7"/>
        <v>0</v>
      </c>
      <c r="H25" s="458">
        <f t="shared" si="8"/>
        <v>0</v>
      </c>
      <c r="I25" s="458">
        <f t="shared" si="9"/>
        <v>0</v>
      </c>
      <c r="J25" s="458">
        <f t="shared" si="10"/>
        <v>184.1795994908444</v>
      </c>
      <c r="K25" s="458">
        <f t="shared" si="11"/>
        <v>0</v>
      </c>
      <c r="L25" s="458">
        <f t="shared" si="12"/>
        <v>0</v>
      </c>
      <c r="M25" s="458">
        <f t="shared" si="13"/>
        <v>0</v>
      </c>
      <c r="N25" s="458">
        <f t="shared" si="14"/>
        <v>0</v>
      </c>
      <c r="O25" s="458">
        <f t="shared" si="15"/>
        <v>0</v>
      </c>
      <c r="P25" s="459">
        <f t="shared" si="16"/>
        <v>0</v>
      </c>
      <c r="Q25" s="457">
        <f t="shared" ca="1" si="17"/>
        <v>4717.6351309899792</v>
      </c>
    </row>
    <row r="26" spans="1:17">
      <c r="A26" s="457" t="s">
        <v>655</v>
      </c>
      <c r="B26" s="458">
        <f t="shared" ca="1" si="2"/>
        <v>800.40199330147959</v>
      </c>
      <c r="C26" s="458">
        <f t="shared" ca="1" si="3"/>
        <v>0</v>
      </c>
      <c r="D26" s="458">
        <f t="shared" si="4"/>
        <v>693.40647464000006</v>
      </c>
      <c r="E26" s="458">
        <f t="shared" si="5"/>
        <v>80.859244849308681</v>
      </c>
      <c r="F26" s="458">
        <f t="shared" si="6"/>
        <v>567.30240110803106</v>
      </c>
      <c r="G26" s="458">
        <f t="shared" si="7"/>
        <v>0</v>
      </c>
      <c r="H26" s="458">
        <f t="shared" si="8"/>
        <v>0</v>
      </c>
      <c r="I26" s="458">
        <f t="shared" si="9"/>
        <v>0</v>
      </c>
      <c r="J26" s="458">
        <f t="shared" si="10"/>
        <v>4.6995828321584794</v>
      </c>
      <c r="K26" s="458">
        <f t="shared" si="11"/>
        <v>0</v>
      </c>
      <c r="L26" s="458">
        <f t="shared" si="12"/>
        <v>0</v>
      </c>
      <c r="M26" s="458">
        <f t="shared" si="13"/>
        <v>0</v>
      </c>
      <c r="N26" s="458">
        <f t="shared" si="14"/>
        <v>0</v>
      </c>
      <c r="O26" s="458">
        <f t="shared" si="15"/>
        <v>0</v>
      </c>
      <c r="P26" s="459">
        <f t="shared" si="16"/>
        <v>0</v>
      </c>
      <c r="Q26" s="457">
        <f t="shared" ca="1" si="17"/>
        <v>2146.6696967309776</v>
      </c>
    </row>
    <row r="27" spans="1:17" s="463" customFormat="1">
      <c r="A27" s="461" t="s">
        <v>573</v>
      </c>
      <c r="B27" s="771">
        <f t="shared" ca="1" si="2"/>
        <v>0.49276090529485478</v>
      </c>
      <c r="C27" s="462">
        <f t="shared" ca="1" si="3"/>
        <v>0</v>
      </c>
      <c r="D27" s="462">
        <f t="shared" si="4"/>
        <v>0.93443247551739617</v>
      </c>
      <c r="E27" s="462">
        <f t="shared" si="5"/>
        <v>37.047063641747521</v>
      </c>
      <c r="F27" s="462">
        <f t="shared" si="6"/>
        <v>0</v>
      </c>
      <c r="G27" s="462">
        <f t="shared" si="7"/>
        <v>12043.750074473071</v>
      </c>
      <c r="H27" s="462">
        <f t="shared" si="8"/>
        <v>2098.3210142641647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14180.545345759794</v>
      </c>
    </row>
    <row r="28" spans="1:17">
      <c r="A28" s="457" t="s">
        <v>563</v>
      </c>
      <c r="B28" s="458">
        <f t="shared" ca="1" si="2"/>
        <v>0</v>
      </c>
      <c r="C28" s="458">
        <f t="shared" ca="1" si="3"/>
        <v>0</v>
      </c>
      <c r="D28" s="458">
        <f t="shared" si="4"/>
        <v>0</v>
      </c>
      <c r="E28" s="458">
        <f t="shared" si="5"/>
        <v>0</v>
      </c>
      <c r="F28" s="458">
        <f t="shared" si="6"/>
        <v>0</v>
      </c>
      <c r="G28" s="458">
        <f t="shared" si="7"/>
        <v>126.83930422643795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126.83930422643795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74.462136980963479</v>
      </c>
      <c r="C32" s="458">
        <f t="shared" ca="1" si="3"/>
        <v>0</v>
      </c>
      <c r="D32" s="458">
        <f t="shared" si="4"/>
        <v>530.25383799999997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604.71597498096344</v>
      </c>
    </row>
    <row r="33" spans="1:17" s="470" customFormat="1">
      <c r="A33" s="467" t="s">
        <v>567</v>
      </c>
      <c r="B33" s="468">
        <f ca="1">SUM(B22:B32)</f>
        <v>7364.0581890938201</v>
      </c>
      <c r="C33" s="468">
        <f t="shared" ref="C33:Q33" ca="1" si="18">SUM(C22:C32)</f>
        <v>0</v>
      </c>
      <c r="D33" s="468">
        <f t="shared" ca="1" si="18"/>
        <v>8315.2829609355194</v>
      </c>
      <c r="E33" s="468">
        <f t="shared" si="18"/>
        <v>1486.13958161657</v>
      </c>
      <c r="F33" s="468">
        <f t="shared" ca="1" si="18"/>
        <v>18529.113585930489</v>
      </c>
      <c r="G33" s="468">
        <f t="shared" si="18"/>
        <v>12170.589378699509</v>
      </c>
      <c r="H33" s="468">
        <f t="shared" si="18"/>
        <v>2098.3210142641647</v>
      </c>
      <c r="I33" s="468">
        <f t="shared" si="18"/>
        <v>0</v>
      </c>
      <c r="J33" s="468">
        <f t="shared" si="18"/>
        <v>188.87918232300288</v>
      </c>
      <c r="K33" s="468">
        <f t="shared" si="18"/>
        <v>0</v>
      </c>
      <c r="L33" s="468">
        <f t="shared" ca="1" si="18"/>
        <v>0</v>
      </c>
      <c r="M33" s="468">
        <f t="shared" si="18"/>
        <v>0</v>
      </c>
      <c r="N33" s="468">
        <f t="shared" ca="1" si="18"/>
        <v>0</v>
      </c>
      <c r="O33" s="468">
        <f t="shared" si="18"/>
        <v>0</v>
      </c>
      <c r="P33" s="468">
        <f t="shared" si="18"/>
        <v>0</v>
      </c>
      <c r="Q33" s="468">
        <f t="shared" ca="1" si="18"/>
        <v>50152.383892863072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8058.5222026806359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8058.5222026806359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0.17796154788396143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0.17796154788396143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0.17796154788396143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0.17796154788396143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4738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3048</v>
      </c>
      <c r="C14" s="332"/>
      <c r="D14" s="332"/>
      <c r="E14" s="332"/>
      <c r="F14" s="332"/>
    </row>
    <row r="15" spans="1:6">
      <c r="A15" s="1306" t="s">
        <v>183</v>
      </c>
      <c r="B15" s="1307">
        <v>441</v>
      </c>
      <c r="C15" s="332"/>
      <c r="D15" s="332"/>
      <c r="E15" s="332"/>
      <c r="F15" s="332"/>
    </row>
    <row r="16" spans="1:6">
      <c r="A16" s="1306" t="s">
        <v>6</v>
      </c>
      <c r="B16" s="1307">
        <v>2783</v>
      </c>
      <c r="C16" s="332"/>
      <c r="D16" s="332"/>
      <c r="E16" s="332"/>
      <c r="F16" s="332"/>
    </row>
    <row r="17" spans="1:6">
      <c r="A17" s="1306" t="s">
        <v>7</v>
      </c>
      <c r="B17" s="1307">
        <v>181</v>
      </c>
      <c r="C17" s="332"/>
      <c r="D17" s="332"/>
      <c r="E17" s="332"/>
      <c r="F17" s="332"/>
    </row>
    <row r="18" spans="1:6">
      <c r="A18" s="1306" t="s">
        <v>8</v>
      </c>
      <c r="B18" s="1307">
        <v>1414</v>
      </c>
      <c r="C18" s="332"/>
      <c r="D18" s="332"/>
      <c r="E18" s="332"/>
      <c r="F18" s="332"/>
    </row>
    <row r="19" spans="1:6">
      <c r="A19" s="1306" t="s">
        <v>9</v>
      </c>
      <c r="B19" s="1307">
        <v>1181</v>
      </c>
      <c r="C19" s="332"/>
      <c r="D19" s="332"/>
      <c r="E19" s="332"/>
      <c r="F19" s="332"/>
    </row>
    <row r="20" spans="1:6">
      <c r="A20" s="1306" t="s">
        <v>10</v>
      </c>
      <c r="B20" s="1307">
        <v>623</v>
      </c>
      <c r="C20" s="332"/>
      <c r="D20" s="332"/>
      <c r="E20" s="332"/>
      <c r="F20" s="332"/>
    </row>
    <row r="21" spans="1:6">
      <c r="A21" s="1306" t="s">
        <v>11</v>
      </c>
      <c r="B21" s="1307">
        <v>8805</v>
      </c>
      <c r="C21" s="332"/>
      <c r="D21" s="332"/>
      <c r="E21" s="332"/>
      <c r="F21" s="332"/>
    </row>
    <row r="22" spans="1:6">
      <c r="A22" s="1306" t="s">
        <v>12</v>
      </c>
      <c r="B22" s="1307">
        <v>21764</v>
      </c>
      <c r="C22" s="332"/>
      <c r="D22" s="332"/>
      <c r="E22" s="332"/>
      <c r="F22" s="332"/>
    </row>
    <row r="23" spans="1:6">
      <c r="A23" s="1306" t="s">
        <v>13</v>
      </c>
      <c r="B23" s="1307">
        <v>197</v>
      </c>
      <c r="C23" s="332"/>
      <c r="D23" s="332"/>
      <c r="E23" s="332"/>
      <c r="F23" s="332"/>
    </row>
    <row r="24" spans="1:6">
      <c r="A24" s="1306" t="s">
        <v>14</v>
      </c>
      <c r="B24" s="1307">
        <v>10</v>
      </c>
      <c r="C24" s="332"/>
      <c r="D24" s="332"/>
      <c r="E24" s="332"/>
      <c r="F24" s="332"/>
    </row>
    <row r="25" spans="1:6">
      <c r="A25" s="1306" t="s">
        <v>15</v>
      </c>
      <c r="B25" s="1307">
        <v>1909</v>
      </c>
      <c r="C25" s="332"/>
      <c r="D25" s="332"/>
      <c r="E25" s="332"/>
      <c r="F25" s="332"/>
    </row>
    <row r="26" spans="1:6">
      <c r="A26" s="1306" t="s">
        <v>16</v>
      </c>
      <c r="B26" s="1307">
        <v>284</v>
      </c>
      <c r="C26" s="332"/>
      <c r="D26" s="332"/>
      <c r="E26" s="332"/>
      <c r="F26" s="332"/>
    </row>
    <row r="27" spans="1:6">
      <c r="A27" s="1306" t="s">
        <v>17</v>
      </c>
      <c r="B27" s="1307">
        <v>0</v>
      </c>
      <c r="C27" s="332"/>
      <c r="D27" s="332"/>
      <c r="E27" s="332"/>
      <c r="F27" s="332"/>
    </row>
    <row r="28" spans="1:6" s="43" customFormat="1">
      <c r="A28" s="1308" t="s">
        <v>18</v>
      </c>
      <c r="B28" s="1309">
        <v>613032</v>
      </c>
      <c r="C28" s="338"/>
      <c r="D28" s="338"/>
      <c r="E28" s="338"/>
      <c r="F28" s="338"/>
    </row>
    <row r="29" spans="1:6">
      <c r="A29" s="1308" t="s">
        <v>916</v>
      </c>
      <c r="B29" s="1309">
        <v>114</v>
      </c>
      <c r="C29" s="338"/>
      <c r="D29" s="338"/>
      <c r="E29" s="338"/>
      <c r="F29" s="338"/>
    </row>
    <row r="30" spans="1:6">
      <c r="A30" s="1301" t="s">
        <v>917</v>
      </c>
      <c r="B30" s="1310">
        <v>33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11</v>
      </c>
      <c r="F36" s="1307">
        <v>190640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5231</v>
      </c>
    </row>
    <row r="39" spans="1:6">
      <c r="A39" s="1306" t="s">
        <v>29</v>
      </c>
      <c r="B39" s="1306" t="s">
        <v>30</v>
      </c>
      <c r="C39" s="1307">
        <v>1666</v>
      </c>
      <c r="D39" s="1307">
        <v>31636410</v>
      </c>
      <c r="E39" s="1307">
        <v>4585</v>
      </c>
      <c r="F39" s="1307">
        <v>19050268</v>
      </c>
    </row>
    <row r="40" spans="1:6">
      <c r="A40" s="1306" t="s">
        <v>29</v>
      </c>
      <c r="B40" s="1306" t="s">
        <v>28</v>
      </c>
      <c r="C40" s="1307">
        <v>0</v>
      </c>
      <c r="D40" s="1307">
        <v>0</v>
      </c>
      <c r="E40" s="1307">
        <v>0</v>
      </c>
      <c r="F40" s="1307">
        <v>0</v>
      </c>
    </row>
    <row r="41" spans="1:6">
      <c r="A41" s="1306" t="s">
        <v>31</v>
      </c>
      <c r="B41" s="1306" t="s">
        <v>32</v>
      </c>
      <c r="C41" s="1307">
        <v>31</v>
      </c>
      <c r="D41" s="1307">
        <v>1251156</v>
      </c>
      <c r="E41" s="1307">
        <v>98</v>
      </c>
      <c r="F41" s="1307">
        <v>1106421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7</v>
      </c>
      <c r="D44" s="1307">
        <v>510173</v>
      </c>
      <c r="E44" s="1307">
        <v>23</v>
      </c>
      <c r="F44" s="1307">
        <v>792151</v>
      </c>
    </row>
    <row r="45" spans="1:6">
      <c r="A45" s="1306" t="s">
        <v>31</v>
      </c>
      <c r="B45" s="1306" t="s">
        <v>36</v>
      </c>
      <c r="C45" s="1307">
        <v>0</v>
      </c>
      <c r="D45" s="1307">
        <v>0</v>
      </c>
      <c r="E45" s="1307">
        <v>3</v>
      </c>
      <c r="F45" s="1307">
        <v>2411782</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2044331</v>
      </c>
      <c r="E48" s="1307">
        <v>1</v>
      </c>
      <c r="F48" s="1307">
        <v>3369</v>
      </c>
    </row>
    <row r="49" spans="1:6">
      <c r="A49" s="1306" t="s">
        <v>31</v>
      </c>
      <c r="B49" s="1306" t="s">
        <v>39</v>
      </c>
      <c r="C49" s="1307">
        <v>0</v>
      </c>
      <c r="D49" s="1307">
        <v>0</v>
      </c>
      <c r="E49" s="1307">
        <v>0</v>
      </c>
      <c r="F49" s="1307">
        <v>0</v>
      </c>
    </row>
    <row r="50" spans="1:6">
      <c r="A50" s="1306" t="s">
        <v>31</v>
      </c>
      <c r="B50" s="1306" t="s">
        <v>40</v>
      </c>
      <c r="C50" s="1307">
        <v>0</v>
      </c>
      <c r="D50" s="1307">
        <v>0</v>
      </c>
      <c r="E50" s="1307">
        <v>6</v>
      </c>
      <c r="F50" s="1307">
        <v>183889</v>
      </c>
    </row>
    <row r="51" spans="1:6">
      <c r="A51" s="1306" t="s">
        <v>41</v>
      </c>
      <c r="B51" s="1306" t="s">
        <v>42</v>
      </c>
      <c r="C51" s="1307">
        <v>7</v>
      </c>
      <c r="D51" s="1307">
        <v>3956361</v>
      </c>
      <c r="E51" s="1307">
        <v>134</v>
      </c>
      <c r="F51" s="1307">
        <v>3459579</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71</v>
      </c>
      <c r="F54" s="1307">
        <v>597928</v>
      </c>
    </row>
    <row r="55" spans="1:6">
      <c r="A55" s="1306" t="s">
        <v>45</v>
      </c>
      <c r="B55" s="1306" t="s">
        <v>28</v>
      </c>
      <c r="C55" s="1307">
        <v>0</v>
      </c>
      <c r="D55" s="1307">
        <v>0</v>
      </c>
      <c r="E55" s="1307">
        <v>0</v>
      </c>
      <c r="F55" s="1307">
        <v>0</v>
      </c>
    </row>
    <row r="56" spans="1:6">
      <c r="A56" s="1306" t="s">
        <v>47</v>
      </c>
      <c r="B56" s="1306" t="s">
        <v>28</v>
      </c>
      <c r="C56" s="1307">
        <v>37</v>
      </c>
      <c r="D56" s="1307">
        <v>2625019</v>
      </c>
      <c r="E56" s="1307">
        <v>59</v>
      </c>
      <c r="F56" s="1307">
        <v>418417</v>
      </c>
    </row>
    <row r="57" spans="1:6">
      <c r="A57" s="1306" t="s">
        <v>48</v>
      </c>
      <c r="B57" s="1306" t="s">
        <v>49</v>
      </c>
      <c r="C57" s="1307">
        <v>10</v>
      </c>
      <c r="D57" s="1307">
        <v>242301</v>
      </c>
      <c r="E57" s="1307">
        <v>61</v>
      </c>
      <c r="F57" s="1307">
        <v>1427374</v>
      </c>
    </row>
    <row r="58" spans="1:6">
      <c r="A58" s="1306" t="s">
        <v>48</v>
      </c>
      <c r="B58" s="1306" t="s">
        <v>50</v>
      </c>
      <c r="C58" s="1307">
        <v>0</v>
      </c>
      <c r="D58" s="1307">
        <v>0</v>
      </c>
      <c r="E58" s="1307">
        <v>17</v>
      </c>
      <c r="F58" s="1307">
        <v>642961</v>
      </c>
    </row>
    <row r="59" spans="1:6">
      <c r="A59" s="1306" t="s">
        <v>48</v>
      </c>
      <c r="B59" s="1306" t="s">
        <v>51</v>
      </c>
      <c r="C59" s="1307">
        <v>28</v>
      </c>
      <c r="D59" s="1307">
        <v>1187895</v>
      </c>
      <c r="E59" s="1307">
        <v>128</v>
      </c>
      <c r="F59" s="1307">
        <v>3262775</v>
      </c>
    </row>
    <row r="60" spans="1:6">
      <c r="A60" s="1306" t="s">
        <v>48</v>
      </c>
      <c r="B60" s="1306" t="s">
        <v>52</v>
      </c>
      <c r="C60" s="1307">
        <v>14</v>
      </c>
      <c r="D60" s="1307">
        <v>917426</v>
      </c>
      <c r="E60" s="1307">
        <v>38</v>
      </c>
      <c r="F60" s="1307">
        <v>1106441</v>
      </c>
    </row>
    <row r="61" spans="1:6">
      <c r="A61" s="1306" t="s">
        <v>48</v>
      </c>
      <c r="B61" s="1306" t="s">
        <v>53</v>
      </c>
      <c r="C61" s="1307">
        <v>14</v>
      </c>
      <c r="D61" s="1307">
        <v>395511</v>
      </c>
      <c r="E61" s="1307">
        <v>160</v>
      </c>
      <c r="F61" s="1307">
        <v>1926541</v>
      </c>
    </row>
    <row r="62" spans="1:6">
      <c r="A62" s="1306" t="s">
        <v>48</v>
      </c>
      <c r="B62" s="1306" t="s">
        <v>54</v>
      </c>
      <c r="C62" s="1307">
        <v>5</v>
      </c>
      <c r="D62" s="1307">
        <v>513851</v>
      </c>
      <c r="E62" s="1307">
        <v>13</v>
      </c>
      <c r="F62" s="1307">
        <v>151076</v>
      </c>
    </row>
    <row r="63" spans="1:6">
      <c r="A63" s="1306" t="s">
        <v>48</v>
      </c>
      <c r="B63" s="1306" t="s">
        <v>28</v>
      </c>
      <c r="C63" s="1307">
        <v>2</v>
      </c>
      <c r="D63" s="1307">
        <v>66450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25020</v>
      </c>
      <c r="E65" s="1307">
        <v>2</v>
      </c>
      <c r="F65" s="1307">
        <v>363243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136158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52424181</v>
      </c>
      <c r="E73" s="456"/>
      <c r="F73" s="332"/>
    </row>
    <row r="74" spans="1:6">
      <c r="A74" s="1306" t="s">
        <v>63</v>
      </c>
      <c r="B74" s="1306" t="s">
        <v>724</v>
      </c>
      <c r="C74" s="1320" t="s">
        <v>725</v>
      </c>
      <c r="D74" s="1321">
        <v>4553638.2403443847</v>
      </c>
      <c r="E74" s="456"/>
      <c r="F74" s="332"/>
    </row>
    <row r="75" spans="1:6">
      <c r="A75" s="1306" t="s">
        <v>64</v>
      </c>
      <c r="B75" s="1306" t="s">
        <v>722</v>
      </c>
      <c r="C75" s="1320" t="s">
        <v>726</v>
      </c>
      <c r="D75" s="1321">
        <v>11715908</v>
      </c>
      <c r="E75" s="456"/>
      <c r="F75" s="332"/>
    </row>
    <row r="76" spans="1:6">
      <c r="A76" s="1306" t="s">
        <v>64</v>
      </c>
      <c r="B76" s="1306" t="s">
        <v>724</v>
      </c>
      <c r="C76" s="1320" t="s">
        <v>727</v>
      </c>
      <c r="D76" s="1321">
        <v>212077.24034438515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131297.51931122973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4836.3115522305397</v>
      </c>
      <c r="C91" s="332"/>
      <c r="D91" s="332"/>
      <c r="E91" s="332"/>
      <c r="F91" s="332"/>
    </row>
    <row r="92" spans="1:6">
      <c r="A92" s="1301" t="s">
        <v>68</v>
      </c>
      <c r="B92" s="1302">
        <v>3222.2106504500962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313</v>
      </c>
      <c r="C97" s="332"/>
      <c r="D97" s="332"/>
      <c r="E97" s="332"/>
      <c r="F97" s="332"/>
    </row>
    <row r="98" spans="1:6">
      <c r="A98" s="1306" t="s">
        <v>71</v>
      </c>
      <c r="B98" s="1307">
        <v>4</v>
      </c>
      <c r="C98" s="332"/>
      <c r="D98" s="332"/>
      <c r="E98" s="332"/>
      <c r="F98" s="332"/>
    </row>
    <row r="99" spans="1:6">
      <c r="A99" s="1306" t="s">
        <v>72</v>
      </c>
      <c r="B99" s="1307">
        <v>69</v>
      </c>
      <c r="C99" s="332"/>
      <c r="D99" s="332"/>
      <c r="E99" s="332"/>
      <c r="F99" s="332"/>
    </row>
    <row r="100" spans="1:6">
      <c r="A100" s="1306" t="s">
        <v>73</v>
      </c>
      <c r="B100" s="1307">
        <v>97</v>
      </c>
      <c r="C100" s="332"/>
      <c r="D100" s="332"/>
      <c r="E100" s="332"/>
      <c r="F100" s="332"/>
    </row>
    <row r="101" spans="1:6">
      <c r="A101" s="1306" t="s">
        <v>74</v>
      </c>
      <c r="B101" s="1307">
        <v>44</v>
      </c>
      <c r="C101" s="332"/>
      <c r="D101" s="332"/>
      <c r="E101" s="332"/>
      <c r="F101" s="332"/>
    </row>
    <row r="102" spans="1:6">
      <c r="A102" s="1306" t="s">
        <v>75</v>
      </c>
      <c r="B102" s="1307">
        <v>36</v>
      </c>
      <c r="C102" s="332"/>
      <c r="D102" s="332"/>
      <c r="E102" s="332"/>
      <c r="F102" s="332"/>
    </row>
    <row r="103" spans="1:6">
      <c r="A103" s="1306" t="s">
        <v>76</v>
      </c>
      <c r="B103" s="1307">
        <v>68</v>
      </c>
      <c r="C103" s="332"/>
      <c r="D103" s="332"/>
      <c r="E103" s="332"/>
      <c r="F103" s="332"/>
    </row>
    <row r="104" spans="1:6">
      <c r="A104" s="1306" t="s">
        <v>77</v>
      </c>
      <c r="B104" s="1307">
        <v>3494</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5</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193</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41380.05247007349</v>
      </c>
      <c r="C3" s="43" t="s">
        <v>169</v>
      </c>
      <c r="D3" s="43"/>
      <c r="E3" s="156"/>
      <c r="F3" s="43"/>
      <c r="G3" s="43"/>
      <c r="H3" s="43"/>
      <c r="I3" s="43"/>
      <c r="J3" s="43"/>
      <c r="K3" s="96"/>
    </row>
    <row r="4" spans="1:11">
      <c r="A4" s="363" t="s">
        <v>170</v>
      </c>
      <c r="B4" s="49">
        <f>IF(ISERROR('SEAP template'!B78+'SEAP template'!C78),0,'SEAP template'!B78+'SEAP template'!C78)</f>
        <v>8058.5222026806359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0.17796154788396143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597.928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0.17796154788396143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106.40819240316129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B46*B57</f>
        <v>5859.6341387251878</v>
      </c>
      <c r="F5" s="17">
        <f>B51*B62</f>
        <v>53571.641121710352</v>
      </c>
      <c r="G5" s="18"/>
      <c r="H5" s="17"/>
      <c r="I5" s="17"/>
      <c r="J5" s="17">
        <f>B50*B61+C50*C61</f>
        <v>0</v>
      </c>
      <c r="K5" s="17"/>
      <c r="L5" s="17"/>
      <c r="M5" s="17"/>
      <c r="N5" s="17">
        <f>B48*B59+C48*C59</f>
        <v>12790.216121064399</v>
      </c>
      <c r="O5" s="17">
        <f>B69*B70*B71</f>
        <v>307.97666666666669</v>
      </c>
      <c r="P5" s="17">
        <f>B77*B78*B79/1000-B77*B78*B79/1000/B80</f>
        <v>343.2</v>
      </c>
    </row>
    <row r="6" spans="1:16">
      <c r="A6" s="16" t="s">
        <v>633</v>
      </c>
      <c r="B6" s="779">
        <f>kWh_PV_kleiner_dan_10kW</f>
        <v>4836.3115522305397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23886.579552230542</v>
      </c>
      <c r="C8" s="21">
        <f>C5</f>
        <v>0</v>
      </c>
      <c r="D8" s="21">
        <f>D5</f>
        <v>28536.041820000002</v>
      </c>
      <c r="E8" s="21">
        <f>E5</f>
        <v>5859.6341387251878</v>
      </c>
      <c r="F8" s="21">
        <f>F5</f>
        <v>53571.641121710352</v>
      </c>
      <c r="G8" s="21"/>
      <c r="H8" s="21"/>
      <c r="I8" s="21"/>
      <c r="J8" s="21">
        <f>J5</f>
        <v>0</v>
      </c>
      <c r="K8" s="21"/>
      <c r="L8" s="21">
        <f>L5</f>
        <v>0</v>
      </c>
      <c r="M8" s="21">
        <f>M5</f>
        <v>0</v>
      </c>
      <c r="N8" s="21">
        <f>N5</f>
        <v>12790.216121064399</v>
      </c>
      <c r="O8" s="21">
        <f>O5</f>
        <v>307.97666666666669</v>
      </c>
      <c r="P8" s="21">
        <f>P5</f>
        <v>343.2</v>
      </c>
    </row>
    <row r="9" spans="1:16">
      <c r="B9" s="19"/>
      <c r="C9" s="19"/>
      <c r="D9" s="261"/>
      <c r="E9" s="19"/>
      <c r="F9" s="19"/>
      <c r="G9" s="19"/>
      <c r="H9" s="19"/>
      <c r="I9" s="19"/>
      <c r="J9" s="19"/>
      <c r="K9" s="19"/>
      <c r="L9" s="19"/>
      <c r="M9" s="19"/>
      <c r="N9" s="19"/>
      <c r="O9" s="19"/>
      <c r="P9" s="19"/>
    </row>
    <row r="10" spans="1:16">
      <c r="A10" s="24" t="s">
        <v>213</v>
      </c>
      <c r="B10" s="25">
        <f ca="1">'EF ele_warmte'!B12</f>
        <v>0.17796154788396143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4250.8926707683295</v>
      </c>
      <c r="C12" s="23">
        <f ca="1">C10*C8</f>
        <v>0</v>
      </c>
      <c r="D12" s="23">
        <f>D8*D10</f>
        <v>5764.2804476400006</v>
      </c>
      <c r="E12" s="23">
        <f>E10*E8</f>
        <v>1330.1369494906176</v>
      </c>
      <c r="F12" s="23">
        <f>F10*F8</f>
        <v>14303.628179496665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313</v>
      </c>
      <c r="C18" s="168" t="s">
        <v>110</v>
      </c>
      <c r="D18" s="230"/>
      <c r="E18" s="15"/>
    </row>
    <row r="19" spans="1:7">
      <c r="A19" s="173" t="s">
        <v>71</v>
      </c>
      <c r="B19" s="37">
        <f>aantalw2001_ander</f>
        <v>4</v>
      </c>
      <c r="C19" s="168" t="s">
        <v>110</v>
      </c>
      <c r="D19" s="231"/>
      <c r="E19" s="15"/>
    </row>
    <row r="20" spans="1:7">
      <c r="A20" s="173" t="s">
        <v>72</v>
      </c>
      <c r="B20" s="37">
        <f>aantalw2001_propaan</f>
        <v>69</v>
      </c>
      <c r="C20" s="169">
        <f>IF(ISERROR(B20/SUM($B$20,$B$21,$B$22)*100),0,B20/SUM($B$20,$B$21,$B$22)*100)</f>
        <v>32.857142857142854</v>
      </c>
      <c r="D20" s="231"/>
      <c r="E20" s="15"/>
    </row>
    <row r="21" spans="1:7">
      <c r="A21" s="173" t="s">
        <v>73</v>
      </c>
      <c r="B21" s="37">
        <f>aantalw2001_elektriciteit</f>
        <v>97</v>
      </c>
      <c r="C21" s="169">
        <f>IF(ISERROR(B21/SUM($B$20,$B$21,$B$22)*100),0,B21/SUM($B$20,$B$21,$B$22)*100)</f>
        <v>46.19047619047619</v>
      </c>
      <c r="D21" s="231"/>
      <c r="E21" s="15"/>
    </row>
    <row r="22" spans="1:7">
      <c r="A22" s="173" t="s">
        <v>74</v>
      </c>
      <c r="B22" s="37">
        <f>aantalw2001_hout</f>
        <v>44</v>
      </c>
      <c r="C22" s="169">
        <f>IF(ISERROR(B22/SUM($B$20,$B$21,$B$22)*100),0,B22/SUM($B$20,$B$21,$B$22)*100)</f>
        <v>20.952380952380953</v>
      </c>
      <c r="D22" s="231"/>
      <c r="E22" s="15"/>
    </row>
    <row r="23" spans="1:7">
      <c r="A23" s="173" t="s">
        <v>75</v>
      </c>
      <c r="B23" s="37">
        <f>aantalw2001_niet_gespec</f>
        <v>36</v>
      </c>
      <c r="C23" s="168" t="s">
        <v>110</v>
      </c>
      <c r="D23" s="230"/>
      <c r="E23" s="15"/>
    </row>
    <row r="24" spans="1:7">
      <c r="A24" s="173" t="s">
        <v>76</v>
      </c>
      <c r="B24" s="37">
        <f>aantalw2001_steenkool</f>
        <v>68</v>
      </c>
      <c r="C24" s="168" t="s">
        <v>110</v>
      </c>
      <c r="D24" s="231"/>
      <c r="E24" s="15"/>
    </row>
    <row r="25" spans="1:7">
      <c r="A25" s="173" t="s">
        <v>77</v>
      </c>
      <c r="B25" s="37">
        <f>aantalw2001_stookolie</f>
        <v>3494</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4738</v>
      </c>
      <c r="C28" s="36"/>
      <c r="D28" s="230"/>
    </row>
    <row r="29" spans="1:7" s="15" customFormat="1">
      <c r="A29" s="232" t="s">
        <v>743</v>
      </c>
      <c r="B29" s="37">
        <f>SUM(HH_hh_gas_aantal,HH_rest_gas_aantal)</f>
        <v>1666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1666</v>
      </c>
      <c r="C32" s="169">
        <f>IF(ISERROR(B32/SUM($B$32,$B$34,$B$35,$B$36,$B$38,$B$39)*100),0,B32/SUM($B$32,$B$34,$B$35,$B$36,$B$38,$B$39)*100)</f>
        <v>35.29661016949153</v>
      </c>
      <c r="D32" s="235"/>
      <c r="G32" s="15"/>
    </row>
    <row r="33" spans="1:7">
      <c r="A33" s="173" t="s">
        <v>71</v>
      </c>
      <c r="B33" s="34" t="s">
        <v>110</v>
      </c>
      <c r="C33" s="169"/>
      <c r="D33" s="235"/>
      <c r="G33" s="15"/>
    </row>
    <row r="34" spans="1:7">
      <c r="A34" s="173" t="s">
        <v>72</v>
      </c>
      <c r="B34" s="33">
        <f>IF((($B$28-$B$32-$B$39-$B$77-$B$38)*C20/100)&lt;0,0,($B$28-$B$32-$B$39-$B$77-$B$38)*C20/100)</f>
        <v>255.52999999999992</v>
      </c>
      <c r="C34" s="169">
        <f>IF(ISERROR(B34/SUM($B$32,$B$34,$B$35,$B$36,$B$38,$B$39)*100),0,B34/SUM($B$32,$B$34,$B$35,$B$36,$B$38,$B$39)*100)</f>
        <v>5.4137711864406759</v>
      </c>
      <c r="D34" s="235"/>
      <c r="G34" s="15"/>
    </row>
    <row r="35" spans="1:7">
      <c r="A35" s="173" t="s">
        <v>73</v>
      </c>
      <c r="B35" s="33">
        <f>IF((($B$28-$B$32-$B$39-$B$77-$B$38)*C21/100)&lt;0,0,($B$28-$B$32-$B$39-$B$77-$B$38)*C21/100)</f>
        <v>359.22333333333319</v>
      </c>
      <c r="C35" s="169">
        <f>IF(ISERROR(B35/SUM($B$32,$B$34,$B$35,$B$36,$B$38,$B$39)*100),0,B35/SUM($B$32,$B$34,$B$35,$B$36,$B$38,$B$39)*100)</f>
        <v>7.6106638418079058</v>
      </c>
      <c r="D35" s="235"/>
      <c r="G35" s="15"/>
    </row>
    <row r="36" spans="1:7">
      <c r="A36" s="173" t="s">
        <v>74</v>
      </c>
      <c r="B36" s="33">
        <f>IF((($B$28-$B$32-$B$39-$B$77-$B$38)*C22/100)&lt;0,0,($B$28-$B$32-$B$39-$B$77-$B$38)*C22/100)</f>
        <v>162.94666666666663</v>
      </c>
      <c r="C36" s="169">
        <f>IF(ISERROR(B36/SUM($B$32,$B$34,$B$35,$B$36,$B$38,$B$39)*100),0,B36/SUM($B$32,$B$34,$B$35,$B$36,$B$38,$B$39)*100)</f>
        <v>3.4522598870056487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2276.3000000000002</v>
      </c>
      <c r="C39" s="169">
        <f>IF(ISERROR(B39/SUM($B$32,$B$34,$B$35,$B$36,$B$38,$B$39)*100),0,B39/SUM($B$32,$B$34,$B$35,$B$36,$B$38,$B$39)*100)</f>
        <v>48.226694915254242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1666</v>
      </c>
      <c r="C44" s="34" t="s">
        <v>110</v>
      </c>
      <c r="D44" s="176"/>
    </row>
    <row r="45" spans="1:7">
      <c r="A45" s="173" t="s">
        <v>71</v>
      </c>
      <c r="B45" s="33" t="str">
        <f t="shared" si="0"/>
        <v>-</v>
      </c>
      <c r="C45" s="34" t="s">
        <v>110</v>
      </c>
      <c r="D45" s="176"/>
    </row>
    <row r="46" spans="1:7">
      <c r="A46" s="173" t="s">
        <v>72</v>
      </c>
      <c r="B46" s="33">
        <f t="shared" si="0"/>
        <v>255.52999999999992</v>
      </c>
      <c r="C46" s="34" t="s">
        <v>110</v>
      </c>
      <c r="D46" s="176"/>
    </row>
    <row r="47" spans="1:7">
      <c r="A47" s="173" t="s">
        <v>73</v>
      </c>
      <c r="B47" s="33">
        <f t="shared" si="0"/>
        <v>359.22333333333319</v>
      </c>
      <c r="C47" s="34" t="s">
        <v>110</v>
      </c>
      <c r="D47" s="176"/>
    </row>
    <row r="48" spans="1:7">
      <c r="A48" s="173" t="s">
        <v>74</v>
      </c>
      <c r="B48" s="33">
        <f t="shared" si="0"/>
        <v>162.94666666666663</v>
      </c>
      <c r="C48" s="33">
        <f>B48*10</f>
        <v>1629.4666666666662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2276.3000000000002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197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53</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52</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51</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50</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49</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54</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0.17796154788396143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1515.7284008677439</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1926.5409999999999</v>
      </c>
      <c r="C26" s="39">
        <f>IF(ISERROR(B26*3.6/1000000/'E Balans VL '!Z12*100),0,B26*3.6/1000000/'E Balans VL '!Z12*100)</f>
        <v>4.0920685124356128E-2</v>
      </c>
      <c r="D26" s="239" t="s">
        <v>689</v>
      </c>
      <c r="F26" s="6"/>
    </row>
    <row r="27" spans="1:18">
      <c r="A27" s="233" t="s">
        <v>52</v>
      </c>
      <c r="B27" s="33">
        <f>IF(ISERROR(TER_horeca_ele_kWh/1000),0,TER_horeca_ele_kWh/1000)</f>
        <v>1106.441</v>
      </c>
      <c r="C27" s="39">
        <f>IF(ISERROR(B27*3.6/1000000/'E Balans VL '!Z9*100),0,B27*3.6/1000000/'E Balans VL '!Z9*100)</f>
        <v>8.6032526062319675E-2</v>
      </c>
      <c r="D27" s="239" t="s">
        <v>689</v>
      </c>
      <c r="F27" s="6"/>
    </row>
    <row r="28" spans="1:18">
      <c r="A28" s="173" t="s">
        <v>51</v>
      </c>
      <c r="B28" s="33">
        <f>IF(ISERROR(TER_handel_ele_kWh/1000),0,TER_handel_ele_kWh/1000)</f>
        <v>3262.7750000000001</v>
      </c>
      <c r="C28" s="39">
        <f>IF(ISERROR(B28*3.6/1000000/'E Balans VL '!Z13*100),0,B28*3.6/1000000/'E Balans VL '!Z13*100)</f>
        <v>9.335183265205009E-2</v>
      </c>
      <c r="D28" s="239" t="s">
        <v>689</v>
      </c>
      <c r="F28" s="6"/>
    </row>
    <row r="29" spans="1:18">
      <c r="A29" s="233" t="s">
        <v>50</v>
      </c>
      <c r="B29" s="33">
        <f>IF(ISERROR(TER_gezond_ele_kWh/1000),0,TER_gezond_ele_kWh/1000)</f>
        <v>642.96100000000001</v>
      </c>
      <c r="C29" s="39">
        <f>IF(ISERROR(B29*3.6/1000000/'E Balans VL '!Z10*100),0,B29*3.6/1000000/'E Balans VL '!Z10*100)</f>
        <v>7.0097689621783948E-2</v>
      </c>
      <c r="D29" s="239" t="s">
        <v>689</v>
      </c>
      <c r="F29" s="6"/>
    </row>
    <row r="30" spans="1:18">
      <c r="A30" s="233" t="s">
        <v>49</v>
      </c>
      <c r="B30" s="33">
        <f>IF(ISERROR(TER_ander_ele_kWh/1000),0,TER_ander_ele_kWh/1000)</f>
        <v>1427.374</v>
      </c>
      <c r="C30" s="39">
        <f>IF(ISERROR(B30*3.6/1000000/'E Balans VL '!Z14*100),0,B30*3.6/1000000/'E Balans VL '!Z14*100)</f>
        <v>0.10445199139883737</v>
      </c>
      <c r="D30" s="239" t="s">
        <v>689</v>
      </c>
      <c r="F30" s="6"/>
    </row>
    <row r="31" spans="1:18">
      <c r="A31" s="233" t="s">
        <v>54</v>
      </c>
      <c r="B31" s="33">
        <f>IF(ISERROR(TER_onderwijs_ele_kWh/1000),0,TER_onderwijs_ele_kWh/1000)</f>
        <v>151.07599999999999</v>
      </c>
      <c r="C31" s="39">
        <f>IF(ISERROR(B31*3.6/1000000/'E Balans VL '!Z11*100),0,B31*3.6/1000000/'E Balans VL '!Z11*100)</f>
        <v>3.0343726785944082E-2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169.22553708021201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32</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93.540566347824267</v>
      </c>
      <c r="O9" s="33"/>
      <c r="P9" s="33"/>
      <c r="R9" s="32"/>
    </row>
    <row r="10" spans="1:18">
      <c r="A10" s="6" t="s">
        <v>40</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0.15635461624525837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169.22553708021201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0.17796154788396143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800.40199330147959</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792.15099999999995</v>
      </c>
      <c r="C30" s="39">
        <f>IF(ISERROR(B30*3.6/1000000/'E Balans VL '!Z18*100),0,B30*3.6/1000000/'E Balans VL '!Z18*100)</f>
        <v>7.7945636253906228E-2</v>
      </c>
      <c r="D30" s="239" t="s">
        <v>689</v>
      </c>
    </row>
    <row r="31" spans="1:18">
      <c r="A31" s="6" t="s">
        <v>32</v>
      </c>
      <c r="B31" s="37">
        <f>IF( ISERROR(IND_ander_ele_kWh/1000),0,IND_ander_ele_kWh/1000)</f>
        <v>1106.421</v>
      </c>
      <c r="C31" s="39">
        <f>IF(ISERROR(B31*3.6/1000000/'E Balans VL '!Z19*100),0,B31*3.6/1000000/'E Balans VL '!Z19*100)</f>
        <v>4.8183751966662317E-2</v>
      </c>
      <c r="D31" s="239" t="s">
        <v>689</v>
      </c>
    </row>
    <row r="32" spans="1:18">
      <c r="A32" s="173" t="s">
        <v>40</v>
      </c>
      <c r="B32" s="37">
        <f>IF( ISERROR(IND_voed_ele_kWh/1000),0,IND_voed_ele_kWh/1000)</f>
        <v>183.88900000000001</v>
      </c>
      <c r="C32" s="39">
        <f>IF(ISERROR(B32*3.6/1000000/'E Balans VL '!Z20*100),0,B32*3.6/1000000/'E Balans VL '!Z20*100)</f>
        <v>3.4890285782120369E-2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2411.7820000000002</v>
      </c>
      <c r="C34" s="39">
        <f>IF(ISERROR(B34*3.6/1000000/'E Balans VL '!Z22*100),0,B34*3.6/1000000/'E Balans VL '!Z22*100)</f>
        <v>0.33912076755996673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3.3690000000000002</v>
      </c>
      <c r="C37" s="39">
        <f>IF(ISERROR(B37*3.6/1000000/'E Balans VL '!Z15*100),0,B37*3.6/1000000/'E Balans VL '!Z15*100)</f>
        <v>2.5962282984956824E-5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3459.5790000000002</v>
      </c>
      <c r="C5" s="17">
        <f>'Eigen informatie GS &amp; warmtenet'!B60</f>
        <v>0</v>
      </c>
      <c r="D5" s="30">
        <f>IF(ISERROR(SUM(LB_lb_gas_kWh,LB_rest_gas_kWh)/1000),0,SUM(LB_lb_gas_kWh,LB_rest_gas_kWh)/1000)*0.902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0.17796154788396143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615.67203386684741</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0.48250223089926536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604.824297652317</v>
      </c>
      <c r="C26" s="249">
        <f>B26*'GWP N2O_CH4'!B5</f>
        <v>12701.310250698658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278.29292313919012</v>
      </c>
      <c r="C27" s="249">
        <f>B27*'GWP N2O_CH4'!B5</f>
        <v>5844.1513859229926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9">
        <f>B28*'GWP N2O_CH4'!B4</f>
        <v>2409.1767977229315</v>
      </c>
      <c r="D28" s="50"/>
    </row>
    <row r="29" spans="1:4">
      <c r="A29" s="41" t="s">
        <v>276</v>
      </c>
      <c r="B29" s="249">
        <f>B34*'ha_N2O bodem landbouw'!B4</f>
        <v>18.15579042650803</v>
      </c>
      <c r="C29" s="249">
        <f>B29*'GWP N2O_CH4'!B4</f>
        <v>5628.2950322174893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4.5333194517777065E-3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9.9681042346190509E-6</v>
      </c>
      <c r="C5" s="444" t="s">
        <v>210</v>
      </c>
      <c r="D5" s="429">
        <f>SUM(D6:D11)</f>
        <v>1.6653252038923892E-5</v>
      </c>
      <c r="E5" s="429">
        <f>SUM(E6:E11)</f>
        <v>5.8753052471493877E-4</v>
      </c>
      <c r="F5" s="442" t="s">
        <v>210</v>
      </c>
      <c r="G5" s="429">
        <f>SUM(G6:G11)</f>
        <v>0.16238764145356949</v>
      </c>
      <c r="H5" s="429">
        <f>SUM(H6:H11)</f>
        <v>3.033717129056623E-2</v>
      </c>
      <c r="I5" s="444" t="s">
        <v>210</v>
      </c>
      <c r="J5" s="444" t="s">
        <v>210</v>
      </c>
      <c r="K5" s="444" t="s">
        <v>210</v>
      </c>
      <c r="L5" s="444" t="s">
        <v>210</v>
      </c>
      <c r="M5" s="429">
        <f>SUM(M6:M11)</f>
        <v>8.7148829210289512E-3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8.1473179842724515E-6</v>
      </c>
      <c r="C6" s="883"/>
      <c r="D6" s="883">
        <f>vkm_GW_PW*SUMIFS(TableVerdeelsleutelVkm[CNG],TableVerdeelsleutelVkm[Voertuigtype],"Lichte voertuigen")*SUMIFS(TableECFTransport[EnergieConsumptieFactor (PJ per km)],TableECFTransport[Index],CONCATENATE($A6,"_CNG_CNG"))</f>
        <v>1.2074082579742471E-5</v>
      </c>
      <c r="E6" s="883">
        <f>vkm_GW_PW*SUMIFS(TableVerdeelsleutelVkm[LPG],TableVerdeelsleutelVkm[Voertuigtype],"Lichte voertuigen")*SUMIFS(TableECFTransport[EnergieConsumptieFactor (PJ per km)],TableECFTransport[Index],CONCATENATE($A6,"_LPG_LPG"))</f>
        <v>4.3244951885045387E-4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8.7031766597012838E-2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2.2233508761888499E-2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4.9431006773734661E-3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4.3114733291563005E-2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1.0017425986219467E-6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1.9466975046400986E-3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1.8207862503465998E-6</v>
      </c>
      <c r="C8" s="883"/>
      <c r="D8" s="432">
        <f>vkm_NGW_PW*SUMIFS(TableVerdeelsleutelVkm[CNG],TableVerdeelsleutelVkm[Voertuigtype],"Lichte voertuigen")*SUMIFS(TableECFTransport[EnergieConsumptieFactor (PJ per km)],TableECFTransport[Index],CONCATENATE($A8,"_CNG_CNG"))</f>
        <v>4.5791694591814222E-6</v>
      </c>
      <c r="E8" s="432">
        <f>vkm_NGW_PW*SUMIFS(TableVerdeelsleutelVkm[LPG],TableVerdeelsleutelVkm[Voertuigtype],"Lichte voertuigen")*SUMIFS(TableECFTransport[EnergieConsumptieFactor (PJ per km)],TableECFTransport[Index],CONCATENATE($A8,"_LPG_LPG"))</f>
        <v>1.5508100586448495E-4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2.9647466294681474E-2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8.1025909365401872E-3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1.707975815111654E-3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2.5936752703121552E-3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6.9849538919723579E-8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1.1710892390373297E-4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2.7689178429497368</v>
      </c>
      <c r="C14" s="21"/>
      <c r="D14" s="21">
        <f t="shared" ref="D14:M14" si="0">((D5)*10^9/3600)+D12</f>
        <v>4.6259033441455255</v>
      </c>
      <c r="E14" s="21">
        <f t="shared" si="0"/>
        <v>163.20292353192741</v>
      </c>
      <c r="F14" s="21"/>
      <c r="G14" s="21">
        <f t="shared" si="0"/>
        <v>45107.678181547082</v>
      </c>
      <c r="H14" s="21">
        <f t="shared" si="0"/>
        <v>8426.9920251572876</v>
      </c>
      <c r="I14" s="21"/>
      <c r="J14" s="21"/>
      <c r="K14" s="21"/>
      <c r="L14" s="21"/>
      <c r="M14" s="21">
        <f t="shared" si="0"/>
        <v>2420.8008113969308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0.17796154788396143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0.49276090529485478</v>
      </c>
      <c r="C18" s="23"/>
      <c r="D18" s="23">
        <f t="shared" ref="D18:M18" si="1">D14*D16</f>
        <v>0.93443247551739617</v>
      </c>
      <c r="E18" s="23">
        <f t="shared" si="1"/>
        <v>37.047063641747521</v>
      </c>
      <c r="F18" s="23"/>
      <c r="G18" s="23">
        <f t="shared" si="1"/>
        <v>12043.750074473071</v>
      </c>
      <c r="H18" s="23">
        <f t="shared" si="1"/>
        <v>2098.3210142641647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1.7101928659744442E-3</v>
      </c>
      <c r="H50" s="321">
        <f t="shared" si="2"/>
        <v>0</v>
      </c>
      <c r="I50" s="321">
        <f t="shared" si="2"/>
        <v>0</v>
      </c>
      <c r="J50" s="321">
        <f t="shared" si="2"/>
        <v>0</v>
      </c>
      <c r="K50" s="321">
        <f t="shared" si="2"/>
        <v>0</v>
      </c>
      <c r="L50" s="321">
        <f t="shared" si="2"/>
        <v>0</v>
      </c>
      <c r="M50" s="321">
        <f t="shared" si="2"/>
        <v>7.6122099293713714E-5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1.7101928659744442E-3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7.6122099293713714E-5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475.05357388179004</v>
      </c>
      <c r="H54" s="21">
        <f t="shared" si="3"/>
        <v>0</v>
      </c>
      <c r="I54" s="21">
        <f t="shared" si="3"/>
        <v>0</v>
      </c>
      <c r="J54" s="21">
        <f t="shared" si="3"/>
        <v>0</v>
      </c>
      <c r="K54" s="21">
        <f t="shared" si="3"/>
        <v>0</v>
      </c>
      <c r="L54" s="21">
        <f t="shared" si="3"/>
        <v>0</v>
      </c>
      <c r="M54" s="21">
        <f t="shared" si="3"/>
        <v>21.145027581587144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0.17796154788396143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126.83930422643795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8058.5222026806359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8058.5222026806359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2020-06-20T16:23:33Z</dcterms:modified>
</cp:coreProperties>
</file>