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G49" i="18"/>
  <c r="F49" i="18"/>
  <c r="C49" i="18"/>
  <c r="B49" i="18"/>
  <c r="C17" i="18" s="1"/>
  <c r="C20" i="18" s="1"/>
  <c r="B20" i="18"/>
  <c r="F20" i="18"/>
  <c r="O18" i="18"/>
  <c r="H20"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D4" i="48"/>
  <c r="D22" i="48" s="1"/>
  <c r="E11" i="14"/>
  <c r="P4" i="48"/>
  <c r="P22" i="48" s="1"/>
  <c r="Q11" i="14"/>
  <c r="B7" i="48"/>
  <c r="C24" i="14"/>
  <c r="C26" i="14"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8" i="48" l="1"/>
  <c r="O26" i="48" s="1"/>
  <c r="P13" i="14"/>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E20" i="15"/>
  <c r="F40" i="14" s="1"/>
  <c r="F10" i="14"/>
  <c r="E5" i="48"/>
  <c r="Q5"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2" i="16"/>
  <c r="F43" i="14" s="1"/>
  <c r="F46" i="14" s="1"/>
  <c r="F61" i="14" s="1"/>
  <c r="E23" i="48"/>
  <c r="E33" i="48" s="1"/>
  <c r="J22" i="16"/>
  <c r="K43" i="14" s="1"/>
  <c r="K46" i="14" s="1"/>
  <c r="K61" i="14" s="1"/>
  <c r="K63"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<sst xmlns="http://schemas.openxmlformats.org/spreadsheetml/2006/main" count="2456" uniqueCount="926">
  <si>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</si>
  <si>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</si>
  <si>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</si>
  <si>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</si>
  <si>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</si>
  <si>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</si>
  <si>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</si>
  <si>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</si>
  <si>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</si>
  <si>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</si>
  <si>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</si>
  <si>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</si>
  <si>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</si>
  <si>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</si>
  <si>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</si>
  <si>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</si>
  <si>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</si>
  <si>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</si>
  <si>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</si>
  <si>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</si>
  <si>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</si>
  <si>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</si>
  <si>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</si>
  <si>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</si>
  <si>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</si>
  <si>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</si>
  <si>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</si>
  <si>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</si>
  <si>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</si>
  <si>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</si>
  <si>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</si>
  <si>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</si>
  <si>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</si>
  <si>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</si>
  <si>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</si>
  <si>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</si>
  <si>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</si>
  <si>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</si>
  <si>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</si>
  <si>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</si>
  <si>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</si>
  <si>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</si>
  <si>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</si>
  <si>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</si>
  <si>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</si>
  <si>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</si>
  <si>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</si>
  <si>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</si>
  <si>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</si>
  <si>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</si>
  <si>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</si>
  <si>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</si>
  <si>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</si>
  <si>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</si>
  <si>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</si>
  <si>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</si>
  <si>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</si>
  <si>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</si>
  <si>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</si>
  <si>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</si>
  <si>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</si>
  <si>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</si>
  <si>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</si>
  <si>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</si>
  <si>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</si>
  <si>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</si>
  <si>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</si>
  <si>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</si>
  <si>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</si>
  <si>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</si>
  <si>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</si>
  <si>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</si>
  <si>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</si>
  <si>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</si>
  <si>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</si>
  <si>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</si>
  <si>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</si>
  <si>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</si>
  <si>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</si>
  <si>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</si>
  <si>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</si>
  <si>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</si>
  <si>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</si>
  <si>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</si>
  <si>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</si>
  <si>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</si>
  <si>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</si>
  <si>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</si>
  <si>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</si>
  <si>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</si>
  <si>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</si>
  <si>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</si>
  <si>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</si>
  <si>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</si>
  <si>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</si>
  <si>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</si>
  <si>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</si>
  <si>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</si>
  <si>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</si>
  <si>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</si>
  <si>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</si>
  <si>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</si>
  <si>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</si>
  <si>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</si>
  <si>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</si>
  <si>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</si>
  <si>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</si>
  <si>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</si>
  <si>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</si>
  <si>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</si>
  <si>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</si>
  <si>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</si>
  <si>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</si>
  <si>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</si>
  <si>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</si>
  <si>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</si>
  <si>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</si>
  <si>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</si>
  <si>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</si>
  <si>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</si>
  <si>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</si>
  <si>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</si>
  <si>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</si>
  <si>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</si>
  <si>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</si>
  <si>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</si>
  <si>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</si>
  <si>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</si>
  <si>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</si>
  <si>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</si>
  <si>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</si>
  <si>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</si>
  <si>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</si>
  <si>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</si>
  <si>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</si>
  <si>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</si>
  <si>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</si>
  <si>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</si>
  <si>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</si>
  <si>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</si>
  <si>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</si>
  <si>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</si>
  <si>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</si>
  <si>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</si>
  <si>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</si>
  <si>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</si>
  <si>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</si>
  <si>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</si>
  <si>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</si>
  <si>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</si>
  <si>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</si>
  <si>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</si>
  <si>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</si>
  <si>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</si>
  <si>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</si>
  <si>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</si>
  <si>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</si>
  <si>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</si>
  <si>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</si>
  <si>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</si>
  <si>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</si>
  <si>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</si>
  <si>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</si>
  <si>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</si>
  <si>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</si>
  <si>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</si>
  <si>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</si>
  <si>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</si>
  <si>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</si>
  <si>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</si>
  <si>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</si>
  <si>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</si>
  <si>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</si>
  <si>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</si>
  <si>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</si>
  <si>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</si>
  <si>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</si>
  <si>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</si>
  <si>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</si>
  <si>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</si>
  <si>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</si>
  <si>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</si>
  <si>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</si>
  <si>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</si>
  <si>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</si>
  <si>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</si>
  <si>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</si>
  <si>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</si>
  <si>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</si>
  <si>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</si>
  <si>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</si>
  <si>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</si>
  <si>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</si>
  <si>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</si>
  <si>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</si>
  <si>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</si>
  <si>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</si>
  <si>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</si>
  <si>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</si>
  <si>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</si>
  <si>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</si>
  <si>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</si>
  <si>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</si>
  <si>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</si>
  <si>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</si>
  <si>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</si>
  <si>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</si>
  <si>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</si>
  <si>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</si>
  <si>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</si>
  <si>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</si>
  <si>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</si>
  <si>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</si>
  <si>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</si>
  <si>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</si>
  <si>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</si>
  <si>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</si>
  <si>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</si>
  <si>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</si>
  <si>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</si>
  <si>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</si>
  <si>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</si>
  <si>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</si>
  <si>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</si>
  <si>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</si>
  <si>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</si>
  <si>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</si>
  <si>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</si>
  <si>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</si>
  <si>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</si>
  <si>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</si>
  <si>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</si>
  <si>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</si>
  <si>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</si>
  <si>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</si>
  <si>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</si>
  <si>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</si>
  <si>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</si>
  <si>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</si>
  <si>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</si>
  <si>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</si>
  <si>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</si>
  <si>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</si>
  <si>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</si>
  <si>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</si>
  <si>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</si>
  <si>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</si>
  <si>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</si>
  <si>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</si>
  <si>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</si>
  <si>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</si>
  <si>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</si>
  <si>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</si>
  <si>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</si>
  <si>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</si>
  <si>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</si>
  <si>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</si>
  <si>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</si>
  <si>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</si>
  <si>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</si>
  <si>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</si>
  <si>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</si>
  <si>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</si>
  <si>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</si>
  <si>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</si>
  <si>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</si>
  <si>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</si>
  <si>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</si>
  <si>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</si>
  <si>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</si>
  <si>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</si>
  <si>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</si>
  <si>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</si>
  <si>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</si>
  <si>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</si>
  <si>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</si>
  <si>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</si>
  <si>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</si>
  <si>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</si>
  <si>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</si>
  <si>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</si>
  <si>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</si>
  <si>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</si>
  <si>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</si>
  <si>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</si>
  <si>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</si>
  <si>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</si>
  <si>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</si>
  <si>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</si>
  <si>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</si>
  <si>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</si>
  <si>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</si>
  <si>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</si>
  <si>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</si>
  <si>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</si>
  <si>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</si>
  <si>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</si>
  <si>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</si>
  <si>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</si>
  <si>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</si>
  <si>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</si>
  <si>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</si>
  <si>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</si>
  <si>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</si>
  <si>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</si>
  <si>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</si>
  <si>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</si>
  <si>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</si>
  <si>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</si>
  <si>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</si>
  <si>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</si>
  <si>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</si>
  <si>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</si>
  <si>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</si>
  <si>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</si>
  <si>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</si>
  <si>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</si>
  <si>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</si>
  <si>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</si>
  <si>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</si>
  <si>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</si>
  <si>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</si>
  <si>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</si>
  <si>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</si>
  <si>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</si>
  <si>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</si>
  <si>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</si>
  <si>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</si>
  <si>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</si>
  <si>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</si>
  <si>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</si>
  <si>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</si>
  <si>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</si>
  <si>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</si>
  <si>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</si>
  <si>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</si>
  <si>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</si>
  <si>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</si>
  <si>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</si>
  <si>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</si>
  <si>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</si>
  <si>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</si>
  <si>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</si>
  <si>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</si>
  <si>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</si>
  <si>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</si>
  <si>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</si>
  <si>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</si>
  <si>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</si>
  <si>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</si>
  <si>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</si>
  <si>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</si>
  <si>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</si>
  <si>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</si>
  <si>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</si>
  <si>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</si>
  <si>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</si>
  <si>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</si>
  <si>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</si>
  <si>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</si>
  <si>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</si>
  <si>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</si>
  <si>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</si>
  <si>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</si>
  <si>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</si>
  <si>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</si>
  <si>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</si>
  <si>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</si>
  <si>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</si>
  <si>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</si>
  <si>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</si>
  <si>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</si>
  <si>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</si>
  <si>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</si>
  <si>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</si>
  <si>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</si>
  <si>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</si>
  <si>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</si>
  <si>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</si>
  <si>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</si>
  <si>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</si>
  <si>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</si>
  <si>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</si>
  <si>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</si>
  <si>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</si>
  <si>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</si>
  <si>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</si>
  <si>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</si>
  <si>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</si>
  <si>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</si>
  <si>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</si>
  <si>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</si>
  <si>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</si>
  <si>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</si>
  <si>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</si>
  <si>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</si>
  <si>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</si>
  <si>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</si>
  <si>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</si>
  <si>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</si>
  <si>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</si>
  <si>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</si>
  <si>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</si>
  <si>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</si>
  <si>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</si>
  <si>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</si>
  <si>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</si>
  <si>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</si>
  <si>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</si>
  <si>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</si>
  <si>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</si>
  <si>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</si>
  <si>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</si>
  <si>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</si>
  <si>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</si>
  <si>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</si>
  <si>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</si>
  <si>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</si>
  <si>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</si>
  <si>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</si>
  <si>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</si>
  <si>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</si>
  <si>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</si>
  <si>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</si>
  <si>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</si>
  <si>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</si>
  <si>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</si>
  <si>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</si>
  <si>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</si>
  <si>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</si>
  <si>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</si>
  <si>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</si>
  <si>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</si>
  <si>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</si>
  <si>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</si>
  <si>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</si>
  <si>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</si>
  <si>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</si>
  <si>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</si>
  <si>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</si>
  <si>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</si>
  <si>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</si>
  <si>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</si>
  <si>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</si>
  <si>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</si>
  <si>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</si>
  <si>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</si>
  <si>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</si>
  <si>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</si>
  <si>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</si>
  <si>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</si>
  <si>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</si>
  <si>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</si>
  <si>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</si>
  <si>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</si>
  <si>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</si>
  <si>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</si>
  <si>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</si>
  <si>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</si>
  <si>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</si>
  <si>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</si>
  <si>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</si>
  <si>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</si>
  <si>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</si>
  <si>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</si>
  <si>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</si>
  <si>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</si>
  <si>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</si>
  <si>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</si>
  <si>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</si>
  <si>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</si>
  <si>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</si>
  <si>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</si>
  <si>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</si>
  <si>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</si>
  <si>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</si>
  <si>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</si>
  <si>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</si>
  <si>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</si>
  <si>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</si>
  <si>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</si>
  <si>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</si>
  <si>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</si>
  <si>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</si>
  <si>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</si>
  <si>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</si>
  <si>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</si>
  <si>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</si>
  <si>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</si>
  <si>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</si>
  <si>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</si>
  <si>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</si>
  <si>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</si>
  <si>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</si>
  <si>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</si>
  <si>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</si>
  <si>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</si>
  <si>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</si>
  <si>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</si>
  <si>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</si>
  <si>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</si>
  <si>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</si>
  <si>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</si>
  <si>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</si>
  <si>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</si>
  <si>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</si>
  <si>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</si>
  <si>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</si>
  <si>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</si>
  <si>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</si>
  <si>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</si>
  <si>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</si>
  <si>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</si>
  <si>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</si>
  <si>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</si>
  <si>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</si>
  <si>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</si>
  <si>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</si>
  <si>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</si>
  <si>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</si>
  <si>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</si>
  <si>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</si>
  <si>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</si>
  <si>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</si>
  <si>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</si>
  <si>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</si>
  <si>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</si>
  <si>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</si>
  <si>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</si>
  <si>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</si>
  <si>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</si>
  <si>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</si>
  <si>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</si>
  <si>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</si>
  <si>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</si>
  <si>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</si>
  <si>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</si>
  <si>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</si>
  <si>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</si>
  <si>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</si>
  <si>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</si>
  <si>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</si>
  <si>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</si>
  <si>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</si>
  <si>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</si>
  <si>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</si>
  <si>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</si>
  <si>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</si>
  <si>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</si>
  <si>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</si>
  <si>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</si>
  <si>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</si>
  <si>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</si>
  <si>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</si>
  <si>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</si>
  <si>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</si>
  <si>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</si>
  <si>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</si>
  <si>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</si>
  <si>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</si>
  <si>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</si>
  <si>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</si>
  <si>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</si>
  <si>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</si>
  <si>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</si>
  <si>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</si>
  <si>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</si>
  <si>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</si>
  <si>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</si>
  <si>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</si>
  <si>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</si>
  <si>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</si>
  <si>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</si>
  <si>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</si>
  <si>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</si>
  <si>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</si>
  <si>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</si>
  <si>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</si>
  <si>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</si>
  <si>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</si>
  <si>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</si>
  <si>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</si>
  <si>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</si>
  <si>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</si>
  <si>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</si>
  <si>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</si>
  <si>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</si>
  <si>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</si>
  <si>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</si>
  <si>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</si>
  <si>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</si>
  <si>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</si>
  <si>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</si>
  <si>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</si>
  <si>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</si>
  <si>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</si>
  <si>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</si>
  <si>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</si>
  <si>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</si>
  <si>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</si>
  <si>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</si>
  <si>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</si>
  <si>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</si>
  <si>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</si>
  <si>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</si>
  <si>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</si>
  <si>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</si>
  <si>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</si>
  <si>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</si>
  <si>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</si>
  <si>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</si>
  <si>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</si>
  <si>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</si>
  <si>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</si>
  <si>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</si>
  <si>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</si>
  <si>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</si>
  <si>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</si>
  <si>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</si>
  <si>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</si>
  <si>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</si>
  <si>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</si>
  <si>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</si>
  <si>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</si>
  <si>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</si>
  <si>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</si>
  <si>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</si>
  <si>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</si>
  <si>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</si>
  <si>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</si>
  <si>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</si>
  <si>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</si>
  <si>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</si>
  <si>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</si>
  <si>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</si>
  <si>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</si>
  <si>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</si>
  <si>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</si>
  <si>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</si>
  <si>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</si>
  <si>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</si>
  <si>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</si>
  <si>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</si>
  <si>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</si>
  <si>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</si>
  <si>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</si>
  <si>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</si>
  <si>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</si>
  <si>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</si>
  <si>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</si>
  <si>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</si>
  <si>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</si>
  <si>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</si>
  <si>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</si>
  <si>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</si>
  <si>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</si>
  <si>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</si>
  <si>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</si>
  <si>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</si>
  <si>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</si>
  <si>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</si>
  <si>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</si>
  <si>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</si>
  <si>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</si>
  <si>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</si>
  <si>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</si>
  <si>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</si>
  <si>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</si>
  <si>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</si>
  <si>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</si>
  <si>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</si>
  <si>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</si>
  <si>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</si>
  <si>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</si>
  <si>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</si>
  <si>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</si>
  <si>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</si>
  <si>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</si>
  <si>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</si>
  <si>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</si>
  <si>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</si>
  <si>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</si>
  <si>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</si>
  <si>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</si>
  <si>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</si>
  <si>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</si>
  <si>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</si>
  <si>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</si>
  <si>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</si>
  <si>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</si>
  <si>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</si>
  <si>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</si>
  <si>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</si>
  <si>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</si>
  <si>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</si>
  <si>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</si>
  <si>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</si>
  <si>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</si>
  <si>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</si>
  <si>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</si>
  <si>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</si>
  <si>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</si>
  <si>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</si>
  <si>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</si>
  <si>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</si>
  <si>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</si>
  <si>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</si>
  <si>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</si>
  <si>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</si>
  <si>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</si>
  <si>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</si>
  <si>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</si>
  <si>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</si>
  <si>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</si>
  <si>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</si>
  <si>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</si>
  <si>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</si>
  <si>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</si>
  <si>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</si>
  <si>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</si>
  <si>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</si>
  <si>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</si>
  <si>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</si>
  <si>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</si>
  <si>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</si>
  <si>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</si>
  <si>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</si>
  <si>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</si>
  <si>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</si>
  <si>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</si>
  <si>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</si>
  <si>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</si>
  <si>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</si>
  <si>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</si>
  <si>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</si>
  <si>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</si>
  <si>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</si>
  <si>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</si>
  <si>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</si>
  <si>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</si>
  <si>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</si>
  <si>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</si>
  <si>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</si>
  <si>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</si>
  <si>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</si>
  <si>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</si>
  <si>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</si>
  <si>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</si>
  <si>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</si>
  <si>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</si>
  <si>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</si>
  <si>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</si>
  <si>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</si>
  <si>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</si>
  <si>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</si>
  <si>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</si>
  <si>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</si>
  <si>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</si>
  <si>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</si>
  <si>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</si>
  <si>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</si>
  <si>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</si>
  <si>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</si>
  <si>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</si>
  <si>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</si>
  <si>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</si>
  <si>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</si>
  <si>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</si>
  <si>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</si>
  <si>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</si>
  <si>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</si>
  <si>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</si>
  <si>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</si>
  <si>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</si>
  <si>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</si>
  <si>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</si>
  <si>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</si>
  <si>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</si>
  <si>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</si>
  <si>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</si>
  <si>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</si>
  <si>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</si>
  <si>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</si>
  <si>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</si>
  <si>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</si>
  <si>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</si>
  <si>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</si>
  <si>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</si>
  <si>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</si>
  <si>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</si>
  <si>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</si>
  <si>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</si>
  <si>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</si>
  <si>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</si>
  <si>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</si>
  <si>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</si>
  <si>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</si>
  <si>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</si>
  <si>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</si>
  <si>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</si>
  <si>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</si>
  <si>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</si>
  <si>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</si>
  <si>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</si>
  <si>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</si>
  <si>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</si>
  <si>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</si>
  <si>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</si>
  <si>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</si>
  <si>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</si>
  <si>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</si>
  <si>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</si>
  <si>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</si>
  <si>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</si>
  <si>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</si>
  <si>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</si>
  <si>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</si>
  <si>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</si>
  <si>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</si>
  <si>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</si>
  <si>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</si>
  <si>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</si>
  <si>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</si>
  <si>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</si>
  <si>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</si>
  <si>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</si>
  <si>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</si>
  <si>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</si>
  <si>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</si>
  <si>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</si>
  <si>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</si>
  <si>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</si>
  <si>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</si>
  <si>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</si>
  <si>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</si>
  <si>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</si>
  <si>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</si>
  <si>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</si>
  <si>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</si>
  <si>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</si>
  <si>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</si>
  <si>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</si>
  <si>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</si>
  <si>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</si>
  <si>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</si>
  <si>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</si>
  <si>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</si>
  <si>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</si>
  <si>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</si>
  <si>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</si>
  <si>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</si>
  <si>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</si>
  <si>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</si>
  <si>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</si>
  <si>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</si>
  <si>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</si>
  <si>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</si>
  <si>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</si>
  <si>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</si>
  <si>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</si>
  <si>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</si>
  <si>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</si>
  <si>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</si>
  <si>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</si>
  <si>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</si>
  <si>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</si>
  <si>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</si>
  <si>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</si>
  <si>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</si>
  <si>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</si>
  <si>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</si>
  <si>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</si>
  <si>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</si>
  <si>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</si>
  <si>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</si>
  <si>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</si>
  <si>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</si>
  <si>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</si>
  <si>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</si>
  <si>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</si>
  <si>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</si>
  <si>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</si>
  <si>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</si>
  <si>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</si>
  <si>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</si>
  <si>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</si>
  <si>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</si>
  <si>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</si>
  <si>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</si>
  <si>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</si>
  <si>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</si>
  <si>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</si>
  <si>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</si>
  <si>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</si>
  <si>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</si>
  <si>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</si>
  <si>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</si>
  <si>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</si>
  <si>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</si>
  <si>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</si>
  <si>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</si>
  <si>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</si>
  <si>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</si>
  <si>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</si>
  <si>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</si>
  <si>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</si>
  <si>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</si>
  <si>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</si>
  <si>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</si>
  <si>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</si>
  <si>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</si>
  <si>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</si>
  <si>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</si>
  <si>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71037</t>
  </si>
  <si>
    <t>LUMMEN</t>
  </si>
  <si>
    <t>Cultuurgrond (ha)</t>
  </si>
  <si>
    <t>Paarden&amp;pony's 200 - 600 kg</t>
  </si>
  <si>
    <t>Paarden&amp;pony's &lt; 200 kg</t>
  </si>
  <si>
    <t>Fluvius</t>
  </si>
  <si>
    <t>referentietaak LNE (2017); Jaarverslag De Lijn</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</si>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</sst>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145682.85518311732</c:v>
                </c:pt>
                <c:pt idx="1">
                  <c:v>46069.40759651587</c:v>
                </c:pt>
                <c:pt idx="2">
                  <c:v>1041.971</c:v>
                </c:pt>
                <c:pt idx="3">
                  <c:v>10362.367616138949</c:v>
                </c:pt>
                <c:pt idx="4">
                  <c:v>212265.17226762127</c:v>
                </c:pt>
                <c:pt idx="5">
                  <c:v>377345.14269665617</c:v>
                </c:pt>
                <c:pt idx="6">
                  <c:v>2261.9891488304525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145682.85518311732</c:v>
                </c:pt>
                <c:pt idx="1">
                  <c:v>46069.40759651587</c:v>
                </c:pt>
                <c:pt idx="2">
                  <c:v>1041.971</c:v>
                </c:pt>
                <c:pt idx="3">
                  <c:v>10362.367616138949</c:v>
                </c:pt>
                <c:pt idx="4">
                  <c:v>212265.17226762127</c:v>
                </c:pt>
                <c:pt idx="5">
                  <c:v>377345.14269665617</c:v>
                </c:pt>
                <c:pt idx="6">
                  <c:v>2261.9891488304525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29157.911125412269</c:v>
                </c:pt>
                <c:pt idx="2">
                  <c:v>8549.5683709783716</c:v>
                </c:pt>
                <c:pt idx="3">
                  <c:v>204.46854992430016</c:v>
                </c:pt>
                <c:pt idx="4">
                  <c:v>2425.9117076790362</c:v>
                </c:pt>
                <c:pt idx="5">
                  <c:v>44178.690135231715</c:v>
                </c:pt>
                <c:pt idx="6">
                  <c:v>95469.162019978961</c:v>
                </c:pt>
                <c:pt idx="7">
                  <c:v>578.21430564145408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29157.911125412269</c:v>
                </c:pt>
                <c:pt idx="2">
                  <c:v>8549.5683709783716</c:v>
                </c:pt>
                <c:pt idx="3">
                  <c:v>204.46854992430016</c:v>
                </c:pt>
                <c:pt idx="4">
                  <c:v>2425.9117076790362</c:v>
                </c:pt>
                <c:pt idx="5">
                  <c:v>44178.690135231715</c:v>
                </c:pt>
                <c:pt idx="6">
                  <c:v>95469.162019978961</c:v>
                </c:pt>
                <c:pt idx="7">
                  <c:v>578.21430564145408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71037</v>
      </c>
      <c r="B6" s="395"/>
      <c r="C6" s="396"/>
    </row>
    <row r="7" spans="1:7" s="393" customFormat="1" ht="15.75" customHeight="1">
      <c r="A7" s="397" t="str">
        <f>txtMunicipality</f>
        <v>LUMMEN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24961.220999999998</v>
      </c>
      <c r="D10" s="686">
        <f ca="1">tertiair!C16</f>
        <v>4100.6250000000009</v>
      </c>
      <c r="E10" s="686">
        <f ca="1">tertiair!D16</f>
        <v>15483.712156000001</v>
      </c>
      <c r="F10" s="686">
        <f>tertiair!E16</f>
        <v>196.92899095427802</v>
      </c>
      <c r="G10" s="686">
        <f ca="1">tertiair!F16</f>
        <v>1353.5666605412766</v>
      </c>
      <c r="H10" s="686">
        <f>tertiair!G16</f>
        <v>0</v>
      </c>
      <c r="I10" s="686">
        <f>tertiair!H16</f>
        <v>0</v>
      </c>
      <c r="J10" s="686">
        <f>tertiair!I16</f>
        <v>0</v>
      </c>
      <c r="K10" s="686">
        <f>tertiair!J16</f>
        <v>0</v>
      </c>
      <c r="L10" s="686">
        <f>tertiair!K16</f>
        <v>0</v>
      </c>
      <c r="M10" s="686">
        <f ca="1">tertiair!L16</f>
        <v>0</v>
      </c>
      <c r="N10" s="686">
        <f>tertiair!M16</f>
        <v>0</v>
      </c>
      <c r="O10" s="686">
        <f ca="1">tertiair!N16</f>
        <v>994.69478902032029</v>
      </c>
      <c r="P10" s="686">
        <f>tertiair!O16</f>
        <v>1.5633333333333335</v>
      </c>
      <c r="Q10" s="687">
        <f>tertiair!P16</f>
        <v>19.066666666666666</v>
      </c>
      <c r="R10" s="689">
        <f ca="1">SUM(C10:Q10)</f>
        <v>47111.378596515875</v>
      </c>
      <c r="S10" s="67"/>
    </row>
    <row r="11" spans="1:19" s="454" customFormat="1">
      <c r="A11" s="801" t="s">
        <v>224</v>
      </c>
      <c r="B11" s="806"/>
      <c r="C11" s="686">
        <f>huishoudens!B8</f>
        <v>28391.330718448728</v>
      </c>
      <c r="D11" s="686">
        <f>huishoudens!C8</f>
        <v>0</v>
      </c>
      <c r="E11" s="686">
        <f>huishoudens!D8</f>
        <v>31142.213871999997</v>
      </c>
      <c r="F11" s="686">
        <f>huishoudens!E8</f>
        <v>2659.9702209523543</v>
      </c>
      <c r="G11" s="686">
        <f>huishoudens!F8</f>
        <v>62517.114385498986</v>
      </c>
      <c r="H11" s="686">
        <f>huishoudens!G8</f>
        <v>0</v>
      </c>
      <c r="I11" s="686">
        <f>huishoudens!H8</f>
        <v>0</v>
      </c>
      <c r="J11" s="686">
        <f>huishoudens!I8</f>
        <v>0</v>
      </c>
      <c r="K11" s="686">
        <f>huishoudens!J8</f>
        <v>0</v>
      </c>
      <c r="L11" s="686">
        <f>huishoudens!K8</f>
        <v>0</v>
      </c>
      <c r="M11" s="686">
        <f>huishoudens!L8</f>
        <v>0</v>
      </c>
      <c r="N11" s="686">
        <f>huishoudens!M8</f>
        <v>0</v>
      </c>
      <c r="O11" s="686">
        <f>huishoudens!N8</f>
        <v>19917.215986217285</v>
      </c>
      <c r="P11" s="686">
        <f>huishoudens!O8</f>
        <v>292.34333333333331</v>
      </c>
      <c r="Q11" s="687">
        <f>huishoudens!P8</f>
        <v>762.66666666666674</v>
      </c>
      <c r="R11" s="689">
        <f>SUM(C11:Q11)</f>
        <v>145682.85518311732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52244.955000000002</v>
      </c>
      <c r="D13" s="686">
        <f>industrie!C18</f>
        <v>0</v>
      </c>
      <c r="E13" s="686">
        <f>industrie!D18</f>
        <v>89642.606394000002</v>
      </c>
      <c r="F13" s="686">
        <f>industrie!E18</f>
        <v>3952.3252173080855</v>
      </c>
      <c r="G13" s="686">
        <f>industrie!F18</f>
        <v>55882.507558892939</v>
      </c>
      <c r="H13" s="686">
        <f>industrie!G18</f>
        <v>0</v>
      </c>
      <c r="I13" s="686">
        <f>industrie!H18</f>
        <v>0</v>
      </c>
      <c r="J13" s="686">
        <f>industrie!I18</f>
        <v>0</v>
      </c>
      <c r="K13" s="686">
        <f>industrie!J18</f>
        <v>2.5971444402672073</v>
      </c>
      <c r="L13" s="686">
        <f>industrie!K18</f>
        <v>0</v>
      </c>
      <c r="M13" s="686">
        <f>industrie!L18</f>
        <v>0</v>
      </c>
      <c r="N13" s="686">
        <f>industrie!M18</f>
        <v>0</v>
      </c>
      <c r="O13" s="686">
        <f>industrie!N18</f>
        <v>10540.180952979936</v>
      </c>
      <c r="P13" s="686">
        <f>industrie!O18</f>
        <v>0</v>
      </c>
      <c r="Q13" s="687">
        <f>industrie!P18</f>
        <v>0</v>
      </c>
      <c r="R13" s="689">
        <f>SUM(C13:Q13)</f>
        <v>212265.17226762127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105597.50671844873</v>
      </c>
      <c r="D16" s="721">
        <f t="shared" ref="D16:R16" ca="1" si="0">SUM(D9:D15)</f>
        <v>4100.6250000000009</v>
      </c>
      <c r="E16" s="721">
        <f t="shared" ca="1" si="0"/>
        <v>136268.53242200002</v>
      </c>
      <c r="F16" s="721">
        <f t="shared" si="0"/>
        <v>6809.2244292147179</v>
      </c>
      <c r="G16" s="721">
        <f t="shared" ca="1" si="0"/>
        <v>119753.18860493321</v>
      </c>
      <c r="H16" s="721">
        <f t="shared" si="0"/>
        <v>0</v>
      </c>
      <c r="I16" s="721">
        <f t="shared" si="0"/>
        <v>0</v>
      </c>
      <c r="J16" s="721">
        <f t="shared" si="0"/>
        <v>0</v>
      </c>
      <c r="K16" s="721">
        <f t="shared" si="0"/>
        <v>2.5971444402672073</v>
      </c>
      <c r="L16" s="721">
        <f t="shared" si="0"/>
        <v>0</v>
      </c>
      <c r="M16" s="721">
        <f t="shared" ca="1" si="0"/>
        <v>0</v>
      </c>
      <c r="N16" s="721">
        <f t="shared" si="0"/>
        <v>0</v>
      </c>
      <c r="O16" s="721">
        <f t="shared" ca="1" si="0"/>
        <v>31452.09172821754</v>
      </c>
      <c r="P16" s="721">
        <f t="shared" si="0"/>
        <v>293.90666666666664</v>
      </c>
      <c r="Q16" s="721">
        <f t="shared" si="0"/>
        <v>781.73333333333346</v>
      </c>
      <c r="R16" s="721">
        <f t="shared" ca="1" si="0"/>
        <v>405059.40604725445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2165.5966503425243</v>
      </c>
      <c r="I19" s="686">
        <f>transport!H54</f>
        <v>0</v>
      </c>
      <c r="J19" s="686">
        <f>transport!I54</f>
        <v>0</v>
      </c>
      <c r="K19" s="686">
        <f>transport!J54</f>
        <v>0</v>
      </c>
      <c r="L19" s="686">
        <f>transport!K54</f>
        <v>0</v>
      </c>
      <c r="M19" s="686">
        <f>transport!L54</f>
        <v>0</v>
      </c>
      <c r="N19" s="686">
        <f>transport!M54</f>
        <v>96.39249848792835</v>
      </c>
      <c r="O19" s="686">
        <f>transport!N54</f>
        <v>0</v>
      </c>
      <c r="P19" s="686">
        <f>transport!O54</f>
        <v>0</v>
      </c>
      <c r="Q19" s="687">
        <f>transport!P54</f>
        <v>0</v>
      </c>
      <c r="R19" s="689">
        <f>SUM(C19:Q19)</f>
        <v>2261.9891488304525</v>
      </c>
      <c r="S19" s="67"/>
    </row>
    <row r="20" spans="1:19" s="454" customFormat="1">
      <c r="A20" s="801" t="s">
        <v>306</v>
      </c>
      <c r="B20" s="806"/>
      <c r="C20" s="686">
        <f>transport!B14</f>
        <v>16.661609707513488</v>
      </c>
      <c r="D20" s="686">
        <f>transport!C14</f>
        <v>0</v>
      </c>
      <c r="E20" s="686">
        <f>transport!D14</f>
        <v>26.096310700621473</v>
      </c>
      <c r="F20" s="686">
        <f>transport!E14</f>
        <v>1096.457009328368</v>
      </c>
      <c r="G20" s="686">
        <f>transport!F14</f>
        <v>0</v>
      </c>
      <c r="H20" s="686">
        <f>transport!G14</f>
        <v>310465.15595463791</v>
      </c>
      <c r="I20" s="686">
        <f>transport!H14</f>
        <v>49467.986487043156</v>
      </c>
      <c r="J20" s="686">
        <f>transport!I14</f>
        <v>0</v>
      </c>
      <c r="K20" s="686">
        <f>transport!J14</f>
        <v>0</v>
      </c>
      <c r="L20" s="686">
        <f>transport!K14</f>
        <v>0</v>
      </c>
      <c r="M20" s="686">
        <f>transport!L14</f>
        <v>0</v>
      </c>
      <c r="N20" s="686">
        <f>transport!M14</f>
        <v>16272.785325238603</v>
      </c>
      <c r="O20" s="686">
        <f>transport!N14</f>
        <v>0</v>
      </c>
      <c r="P20" s="686">
        <f>transport!O14</f>
        <v>0</v>
      </c>
      <c r="Q20" s="687">
        <f>transport!P14</f>
        <v>0</v>
      </c>
      <c r="R20" s="689">
        <f>SUM(C20:Q20)</f>
        <v>377345.14269665617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16.661609707513488</v>
      </c>
      <c r="D22" s="804">
        <f t="shared" ref="D22:R22" si="1">SUM(D18:D21)</f>
        <v>0</v>
      </c>
      <c r="E22" s="804">
        <f t="shared" si="1"/>
        <v>26.096310700621473</v>
      </c>
      <c r="F22" s="804">
        <f t="shared" si="1"/>
        <v>1096.457009328368</v>
      </c>
      <c r="G22" s="804">
        <f t="shared" si="1"/>
        <v>0</v>
      </c>
      <c r="H22" s="804">
        <f t="shared" si="1"/>
        <v>312630.75260498043</v>
      </c>
      <c r="I22" s="804">
        <f t="shared" si="1"/>
        <v>49467.986487043156</v>
      </c>
      <c r="J22" s="804">
        <f t="shared" si="1"/>
        <v>0</v>
      </c>
      <c r="K22" s="804">
        <f t="shared" si="1"/>
        <v>0</v>
      </c>
      <c r="L22" s="804">
        <f t="shared" si="1"/>
        <v>0</v>
      </c>
      <c r="M22" s="804">
        <f t="shared" si="1"/>
        <v>0</v>
      </c>
      <c r="N22" s="804">
        <f t="shared" si="1"/>
        <v>16369.177823726532</v>
      </c>
      <c r="O22" s="804">
        <f t="shared" si="1"/>
        <v>0</v>
      </c>
      <c r="P22" s="804">
        <f t="shared" si="1"/>
        <v>0</v>
      </c>
      <c r="Q22" s="804">
        <f t="shared" si="1"/>
        <v>0</v>
      </c>
      <c r="R22" s="804">
        <f t="shared" si="1"/>
        <v>379607.13184548664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1376.71</v>
      </c>
      <c r="D24" s="686">
        <f>+landbouw!C8</f>
        <v>0</v>
      </c>
      <c r="E24" s="686">
        <f>+landbouw!D8</f>
        <v>4011.2733759999996</v>
      </c>
      <c r="F24" s="686">
        <f>+landbouw!E8</f>
        <v>17.348319563081869</v>
      </c>
      <c r="G24" s="686">
        <f>+landbouw!F8</f>
        <v>4749.9943864628112</v>
      </c>
      <c r="H24" s="686">
        <f>+landbouw!G8</f>
        <v>0</v>
      </c>
      <c r="I24" s="686">
        <f>+landbouw!H8</f>
        <v>0</v>
      </c>
      <c r="J24" s="686">
        <f>+landbouw!I8</f>
        <v>0</v>
      </c>
      <c r="K24" s="686">
        <f>+landbouw!J8</f>
        <v>207.04153411305589</v>
      </c>
      <c r="L24" s="686">
        <f>+landbouw!K8</f>
        <v>0</v>
      </c>
      <c r="M24" s="686">
        <f>+landbouw!L8</f>
        <v>0</v>
      </c>
      <c r="N24" s="686">
        <f>+landbouw!M8</f>
        <v>0</v>
      </c>
      <c r="O24" s="686">
        <f>+landbouw!N8</f>
        <v>0</v>
      </c>
      <c r="P24" s="686">
        <f>+landbouw!O8</f>
        <v>0</v>
      </c>
      <c r="Q24" s="687">
        <f>+landbouw!P8</f>
        <v>0</v>
      </c>
      <c r="R24" s="689">
        <f>SUM(C24:Q24)</f>
        <v>10362.367616138949</v>
      </c>
      <c r="S24" s="67"/>
    </row>
    <row r="25" spans="1:19" s="454" customFormat="1" ht="15" thickBot="1">
      <c r="A25" s="823" t="s">
        <v>856</v>
      </c>
      <c r="B25" s="991"/>
      <c r="C25" s="992">
        <f>IF(Onbekend_ele_kWh="---",0,Onbekend_ele_kWh)/1000+IF(REST_rest_ele_kWh="---",0,REST_rest_ele_kWh)/1000</f>
        <v>1059.915</v>
      </c>
      <c r="D25" s="992"/>
      <c r="E25" s="992">
        <f>IF(onbekend_gas_kWh="---",0,onbekend_gas_kWh)/1000+IF(REST_rest_gas_kWh="---",0,REST_rest_gas_kWh)/1000</f>
        <v>5381.299</v>
      </c>
      <c r="F25" s="992"/>
      <c r="G25" s="992"/>
      <c r="H25" s="992"/>
      <c r="I25" s="992"/>
      <c r="J25" s="992"/>
      <c r="K25" s="992"/>
      <c r="L25" s="992"/>
      <c r="M25" s="992"/>
      <c r="N25" s="992"/>
      <c r="O25" s="992"/>
      <c r="P25" s="992"/>
      <c r="Q25" s="993"/>
      <c r="R25" s="689">
        <f>SUM(C25:Q25)</f>
        <v>6441.2139999999999</v>
      </c>
      <c r="S25" s="67"/>
    </row>
    <row r="26" spans="1:19" s="454" customFormat="1" ht="15.75" thickBot="1">
      <c r="A26" s="694" t="s">
        <v>857</v>
      </c>
      <c r="B26" s="809"/>
      <c r="C26" s="804">
        <f>SUM(C24:C25)</f>
        <v>2436.625</v>
      </c>
      <c r="D26" s="804">
        <f t="shared" ref="D26:R26" si="2">SUM(D24:D25)</f>
        <v>0</v>
      </c>
      <c r="E26" s="804">
        <f t="shared" si="2"/>
        <v>9392.5723760000001</v>
      </c>
      <c r="F26" s="804">
        <f t="shared" si="2"/>
        <v>17.348319563081869</v>
      </c>
      <c r="G26" s="804">
        <f t="shared" si="2"/>
        <v>4749.9943864628112</v>
      </c>
      <c r="H26" s="804">
        <f t="shared" si="2"/>
        <v>0</v>
      </c>
      <c r="I26" s="804">
        <f t="shared" si="2"/>
        <v>0</v>
      </c>
      <c r="J26" s="804">
        <f t="shared" si="2"/>
        <v>0</v>
      </c>
      <c r="K26" s="804">
        <f t="shared" si="2"/>
        <v>207.04153411305589</v>
      </c>
      <c r="L26" s="804">
        <f t="shared" si="2"/>
        <v>0</v>
      </c>
      <c r="M26" s="804">
        <f t="shared" si="2"/>
        <v>0</v>
      </c>
      <c r="N26" s="804">
        <f t="shared" si="2"/>
        <v>0</v>
      </c>
      <c r="O26" s="804">
        <f t="shared" si="2"/>
        <v>0</v>
      </c>
      <c r="P26" s="804">
        <f t="shared" si="2"/>
        <v>0</v>
      </c>
      <c r="Q26" s="804">
        <f t="shared" si="2"/>
        <v>0</v>
      </c>
      <c r="R26" s="804">
        <f t="shared" si="2"/>
        <v>16803.581616138948</v>
      </c>
      <c r="S26" s="67"/>
    </row>
    <row r="27" spans="1:19" s="454" customFormat="1" ht="17.25" thickTop="1" thickBot="1">
      <c r="A27" s="695" t="s">
        <v>115</v>
      </c>
      <c r="B27" s="796"/>
      <c r="C27" s="696">
        <f ca="1">C22+C16+C26</f>
        <v>108050.79332815624</v>
      </c>
      <c r="D27" s="696">
        <f t="shared" ref="D27:R27" ca="1" si="3">D22+D16+D26</f>
        <v>4100.6250000000009</v>
      </c>
      <c r="E27" s="696">
        <f t="shared" ca="1" si="3"/>
        <v>145687.20110870062</v>
      </c>
      <c r="F27" s="696">
        <f t="shared" si="3"/>
        <v>7923.0297581061677</v>
      </c>
      <c r="G27" s="696">
        <f t="shared" ca="1" si="3"/>
        <v>124503.18299139602</v>
      </c>
      <c r="H27" s="696">
        <f t="shared" si="3"/>
        <v>312630.75260498043</v>
      </c>
      <c r="I27" s="696">
        <f t="shared" si="3"/>
        <v>49467.986487043156</v>
      </c>
      <c r="J27" s="696">
        <f t="shared" si="3"/>
        <v>0</v>
      </c>
      <c r="K27" s="696">
        <f t="shared" si="3"/>
        <v>209.6386785533231</v>
      </c>
      <c r="L27" s="696">
        <f t="shared" si="3"/>
        <v>0</v>
      </c>
      <c r="M27" s="696">
        <f t="shared" ca="1" si="3"/>
        <v>0</v>
      </c>
      <c r="N27" s="696">
        <f t="shared" si="3"/>
        <v>16369.177823726532</v>
      </c>
      <c r="O27" s="696">
        <f t="shared" ca="1" si="3"/>
        <v>31452.09172821754</v>
      </c>
      <c r="P27" s="696">
        <f t="shared" si="3"/>
        <v>293.90666666666664</v>
      </c>
      <c r="Q27" s="696">
        <f t="shared" si="3"/>
        <v>781.73333333333346</v>
      </c>
      <c r="R27" s="696">
        <f t="shared" ca="1" si="3"/>
        <v>801470.11950888007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4898.2022169618822</v>
      </c>
      <c r="D40" s="686">
        <f ca="1">tertiair!C20</f>
        <v>322.01966911764708</v>
      </c>
      <c r="E40" s="686">
        <f ca="1">tertiair!D20</f>
        <v>3127.7098555120006</v>
      </c>
      <c r="F40" s="686">
        <f>tertiair!E20</f>
        <v>44.702880946621114</v>
      </c>
      <c r="G40" s="686">
        <f ca="1">tertiair!F20</f>
        <v>361.4022983645209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8754.0369209026721</v>
      </c>
    </row>
    <row r="41" spans="1:18">
      <c r="A41" s="814" t="s">
        <v>224</v>
      </c>
      <c r="B41" s="821"/>
      <c r="C41" s="686">
        <f ca="1">huishoudens!B12</f>
        <v>5571.3011421838519</v>
      </c>
      <c r="D41" s="686">
        <f ca="1">huishoudens!C12</f>
        <v>0</v>
      </c>
      <c r="E41" s="686">
        <f>huishoudens!D12</f>
        <v>6290.7272021439994</v>
      </c>
      <c r="F41" s="686">
        <f>huishoudens!E12</f>
        <v>603.81324015618441</v>
      </c>
      <c r="G41" s="686">
        <f>huishoudens!F12</f>
        <v>16692.069540928231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29157.911125412269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10252.156911958506</v>
      </c>
      <c r="D43" s="686">
        <f ca="1">industrie!C22</f>
        <v>0</v>
      </c>
      <c r="E43" s="686">
        <f>industrie!D22</f>
        <v>18107.806491588002</v>
      </c>
      <c r="F43" s="686">
        <f>industrie!E22</f>
        <v>897.17782432893546</v>
      </c>
      <c r="G43" s="686">
        <f>industrie!F22</f>
        <v>14920.629518224416</v>
      </c>
      <c r="H43" s="686">
        <f>industrie!G22</f>
        <v>0</v>
      </c>
      <c r="I43" s="686">
        <f>industrie!H22</f>
        <v>0</v>
      </c>
      <c r="J43" s="686">
        <f>industrie!I22</f>
        <v>0</v>
      </c>
      <c r="K43" s="686">
        <f>industrie!J22</f>
        <v>0.91938913185459137</v>
      </c>
      <c r="L43" s="686">
        <f>industrie!K22</f>
        <v>0</v>
      </c>
      <c r="M43" s="686">
        <f>industrie!L22</f>
        <v>0</v>
      </c>
      <c r="N43" s="686">
        <f>industrie!M22</f>
        <v>0</v>
      </c>
      <c r="O43" s="686">
        <f>industrie!N22</f>
        <v>0</v>
      </c>
      <c r="P43" s="686">
        <f>industrie!O22</f>
        <v>0</v>
      </c>
      <c r="Q43" s="763">
        <f>industrie!P22</f>
        <v>0</v>
      </c>
      <c r="R43" s="841">
        <f t="shared" ca="1" si="4"/>
        <v>44178.690135231715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20721.66027110424</v>
      </c>
      <c r="D46" s="721">
        <f t="shared" ref="D46:Q46" ca="1" si="5">SUM(D39:D45)</f>
        <v>322.01966911764708</v>
      </c>
      <c r="E46" s="721">
        <f t="shared" ca="1" si="5"/>
        <v>27526.243549244002</v>
      </c>
      <c r="F46" s="721">
        <f t="shared" si="5"/>
        <v>1545.693945431741</v>
      </c>
      <c r="G46" s="721">
        <f t="shared" ca="1" si="5"/>
        <v>31974.101357517167</v>
      </c>
      <c r="H46" s="721">
        <f t="shared" si="5"/>
        <v>0</v>
      </c>
      <c r="I46" s="721">
        <f t="shared" si="5"/>
        <v>0</v>
      </c>
      <c r="J46" s="721">
        <f t="shared" si="5"/>
        <v>0</v>
      </c>
      <c r="K46" s="721">
        <f t="shared" si="5"/>
        <v>0.91938913185459137</v>
      </c>
      <c r="L46" s="721">
        <f t="shared" si="5"/>
        <v>0</v>
      </c>
      <c r="M46" s="721">
        <f t="shared" ca="1" si="5"/>
        <v>0</v>
      </c>
      <c r="N46" s="721">
        <f t="shared" si="5"/>
        <v>0</v>
      </c>
      <c r="O46" s="721">
        <f t="shared" ca="1" si="5"/>
        <v>0</v>
      </c>
      <c r="P46" s="721">
        <f t="shared" si="5"/>
        <v>0</v>
      </c>
      <c r="Q46" s="721">
        <f t="shared" si="5"/>
        <v>0</v>
      </c>
      <c r="R46" s="721">
        <f ca="1">SUM(R39:R45)</f>
        <v>82090.638181546645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578.21430564145408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578.21430564145408</v>
      </c>
    </row>
    <row r="50" spans="1:18">
      <c r="A50" s="817" t="s">
        <v>306</v>
      </c>
      <c r="B50" s="827"/>
      <c r="C50" s="692">
        <f ca="1">transport!B18</f>
        <v>3.2695489378302525</v>
      </c>
      <c r="D50" s="692">
        <f>transport!C18</f>
        <v>0</v>
      </c>
      <c r="E50" s="692">
        <f>transport!D18</f>
        <v>5.271454761525538</v>
      </c>
      <c r="F50" s="692">
        <f>transport!E18</f>
        <v>248.89574111753956</v>
      </c>
      <c r="G50" s="692">
        <f>transport!F18</f>
        <v>0</v>
      </c>
      <c r="H50" s="692">
        <f>transport!G18</f>
        <v>82894.196639888323</v>
      </c>
      <c r="I50" s="692">
        <f>transport!H18</f>
        <v>12317.528635273746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95469.162019978961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3.2695489378302525</v>
      </c>
      <c r="D52" s="721">
        <f t="shared" ref="D52:Q52" ca="1" si="6">SUM(D48:D51)</f>
        <v>0</v>
      </c>
      <c r="E52" s="721">
        <f t="shared" si="6"/>
        <v>5.271454761525538</v>
      </c>
      <c r="F52" s="721">
        <f t="shared" si="6"/>
        <v>248.89574111753956</v>
      </c>
      <c r="G52" s="721">
        <f t="shared" si="6"/>
        <v>0</v>
      </c>
      <c r="H52" s="721">
        <f t="shared" si="6"/>
        <v>83472.410945529773</v>
      </c>
      <c r="I52" s="721">
        <f t="shared" si="6"/>
        <v>12317.528635273746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96047.376325620411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270.15521292462387</v>
      </c>
      <c r="D54" s="692">
        <f ca="1">+landbouw!C12</f>
        <v>0</v>
      </c>
      <c r="E54" s="692">
        <f>+landbouw!D12</f>
        <v>810.27722195199999</v>
      </c>
      <c r="F54" s="692">
        <f>+landbouw!E12</f>
        <v>3.9380685408195846</v>
      </c>
      <c r="G54" s="692">
        <f>+landbouw!F12</f>
        <v>1268.2485011855706</v>
      </c>
      <c r="H54" s="692">
        <f>+landbouw!G12</f>
        <v>0</v>
      </c>
      <c r="I54" s="692">
        <f>+landbouw!H12</f>
        <v>0</v>
      </c>
      <c r="J54" s="692">
        <f>+landbouw!I12</f>
        <v>0</v>
      </c>
      <c r="K54" s="692">
        <f>+landbouw!J12</f>
        <v>73.29270307602178</v>
      </c>
      <c r="L54" s="692">
        <f>+landbouw!K12</f>
        <v>0</v>
      </c>
      <c r="M54" s="692">
        <f>+landbouw!L12</f>
        <v>0</v>
      </c>
      <c r="N54" s="692">
        <f>+landbouw!M12</f>
        <v>0</v>
      </c>
      <c r="O54" s="692">
        <f>+landbouw!N12</f>
        <v>0</v>
      </c>
      <c r="P54" s="692">
        <f>+landbouw!O12</f>
        <v>0</v>
      </c>
      <c r="Q54" s="693">
        <f>+landbouw!P12</f>
        <v>0</v>
      </c>
      <c r="R54" s="720">
        <f ca="1">SUM(C54:Q54)</f>
        <v>2425.9117076790362</v>
      </c>
    </row>
    <row r="55" spans="1:18" ht="15" thickBot="1">
      <c r="A55" s="817" t="s">
        <v>856</v>
      </c>
      <c r="B55" s="827"/>
      <c r="C55" s="692">
        <f ca="1">C25*'EF ele_warmte'!B12</f>
        <v>207.98974548525305</v>
      </c>
      <c r="D55" s="692"/>
      <c r="E55" s="692">
        <f>E25*EF_CO2_aardgas</f>
        <v>1087.0223980000001</v>
      </c>
      <c r="F55" s="692"/>
      <c r="G55" s="692"/>
      <c r="H55" s="692"/>
      <c r="I55" s="692"/>
      <c r="J55" s="692"/>
      <c r="K55" s="692"/>
      <c r="L55" s="692"/>
      <c r="M55" s="692"/>
      <c r="N55" s="692"/>
      <c r="O55" s="692"/>
      <c r="P55" s="692"/>
      <c r="Q55" s="693"/>
      <c r="R55" s="720">
        <f ca="1">SUM(C55:Q55)</f>
        <v>1295.0121434852531</v>
      </c>
    </row>
    <row r="56" spans="1:18" ht="15.75" thickBot="1">
      <c r="A56" s="815" t="s">
        <v>857</v>
      </c>
      <c r="B56" s="828"/>
      <c r="C56" s="721">
        <f ca="1">SUM(C54:C55)</f>
        <v>478.14495840987695</v>
      </c>
      <c r="D56" s="721">
        <f t="shared" ref="D56:Q56" ca="1" si="7">SUM(D54:D55)</f>
        <v>0</v>
      </c>
      <c r="E56" s="721">
        <f t="shared" si="7"/>
        <v>1897.2996199520001</v>
      </c>
      <c r="F56" s="721">
        <f t="shared" si="7"/>
        <v>3.9380685408195846</v>
      </c>
      <c r="G56" s="721">
        <f t="shared" si="7"/>
        <v>1268.2485011855706</v>
      </c>
      <c r="H56" s="721">
        <f t="shared" si="7"/>
        <v>0</v>
      </c>
      <c r="I56" s="721">
        <f t="shared" si="7"/>
        <v>0</v>
      </c>
      <c r="J56" s="721">
        <f t="shared" si="7"/>
        <v>0</v>
      </c>
      <c r="K56" s="721">
        <f t="shared" si="7"/>
        <v>73.29270307602178</v>
      </c>
      <c r="L56" s="721">
        <f t="shared" si="7"/>
        <v>0</v>
      </c>
      <c r="M56" s="721">
        <f t="shared" si="7"/>
        <v>0</v>
      </c>
      <c r="N56" s="721">
        <f t="shared" si="7"/>
        <v>0</v>
      </c>
      <c r="O56" s="721">
        <f t="shared" si="7"/>
        <v>0</v>
      </c>
      <c r="P56" s="721">
        <f t="shared" si="7"/>
        <v>0</v>
      </c>
      <c r="Q56" s="722">
        <f t="shared" si="7"/>
        <v>0</v>
      </c>
      <c r="R56" s="723">
        <f ca="1">SUM(R54:R55)</f>
        <v>3720.9238511642893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21203.074778451948</v>
      </c>
      <c r="D61" s="729">
        <f t="shared" ref="D61:Q61" ca="1" si="8">D46+D52+D56</f>
        <v>322.01966911764708</v>
      </c>
      <c r="E61" s="729">
        <f t="shared" ca="1" si="8"/>
        <v>29428.814623957525</v>
      </c>
      <c r="F61" s="729">
        <f t="shared" si="8"/>
        <v>1798.5277550901001</v>
      </c>
      <c r="G61" s="729">
        <f t="shared" ca="1" si="8"/>
        <v>33242.349858702735</v>
      </c>
      <c r="H61" s="729">
        <f t="shared" si="8"/>
        <v>83472.410945529773</v>
      </c>
      <c r="I61" s="729">
        <f t="shared" si="8"/>
        <v>12317.528635273746</v>
      </c>
      <c r="J61" s="729">
        <f t="shared" si="8"/>
        <v>0</v>
      </c>
      <c r="K61" s="729">
        <f t="shared" si="8"/>
        <v>74.212092207876367</v>
      </c>
      <c r="L61" s="729">
        <f t="shared" si="8"/>
        <v>0</v>
      </c>
      <c r="M61" s="729">
        <f t="shared" ca="1" si="8"/>
        <v>0</v>
      </c>
      <c r="N61" s="729">
        <f t="shared" si="8"/>
        <v>0</v>
      </c>
      <c r="O61" s="729">
        <f t="shared" ca="1" si="8"/>
        <v>0</v>
      </c>
      <c r="P61" s="729">
        <f t="shared" si="8"/>
        <v>0</v>
      </c>
      <c r="Q61" s="729">
        <f t="shared" si="8"/>
        <v>0</v>
      </c>
      <c r="R61" s="729">
        <f ca="1">R46+R52+R56</f>
        <v>181858.93835833133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0.19623247664695098</v>
      </c>
      <c r="D63" s="772">
        <f t="shared" ca="1" si="9"/>
        <v>7.8529411764705875E-2</v>
      </c>
      <c r="E63" s="998">
        <f t="shared" ca="1" si="9"/>
        <v>0.20199999999999999</v>
      </c>
      <c r="F63" s="772">
        <f t="shared" si="9"/>
        <v>0.22700000000000001</v>
      </c>
      <c r="G63" s="772">
        <f t="shared" ca="1" si="9"/>
        <v>0.26699999999999996</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9759.480782592469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2733.75</v>
      </c>
      <c r="C76" s="739">
        <f>'lokale energieproductie'!B8*IFERROR(SUM(D76:H76)/SUM(D76:O76),0)</f>
        <v>911.25000000000011</v>
      </c>
      <c r="D76" s="1008">
        <f>'lokale energieproductie'!C8</f>
        <v>0</v>
      </c>
      <c r="E76" s="1009">
        <f>'lokale energieproductie'!D8</f>
        <v>0</v>
      </c>
      <c r="F76" s="1009">
        <f>'lokale energieproductie'!E8</f>
        <v>1072.0588235294117</v>
      </c>
      <c r="G76" s="1009">
        <f>'lokale energieproductie'!F8</f>
        <v>0</v>
      </c>
      <c r="H76" s="1009">
        <f>'lokale energieproductie'!G8</f>
        <v>0</v>
      </c>
      <c r="I76" s="1009">
        <f>'lokale energieproductie'!I8</f>
        <v>3216.1764705882347</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286.23970588235295</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12493.230782592469</v>
      </c>
      <c r="C78" s="744">
        <f>SUM(C72:C77)</f>
        <v>911.25000000000011</v>
      </c>
      <c r="D78" s="745">
        <f t="shared" ref="D78:H78" si="10">SUM(D76:D77)</f>
        <v>0</v>
      </c>
      <c r="E78" s="745">
        <f t="shared" si="10"/>
        <v>0</v>
      </c>
      <c r="F78" s="745">
        <f t="shared" si="10"/>
        <v>1072.0588235294117</v>
      </c>
      <c r="G78" s="745">
        <f t="shared" si="10"/>
        <v>0</v>
      </c>
      <c r="H78" s="745">
        <f t="shared" si="10"/>
        <v>0</v>
      </c>
      <c r="I78" s="745">
        <f>SUM(I76:I77)</f>
        <v>3216.1764705882347</v>
      </c>
      <c r="J78" s="745">
        <f>SUM(J76:J77)</f>
        <v>0</v>
      </c>
      <c r="K78" s="745">
        <f t="shared" ref="K78:L78" si="11">SUM(K76:K77)</f>
        <v>0</v>
      </c>
      <c r="L78" s="745">
        <f t="shared" si="11"/>
        <v>0</v>
      </c>
      <c r="M78" s="745">
        <f>SUM(M76:M77)</f>
        <v>0</v>
      </c>
      <c r="N78" s="745">
        <f>SUM(N76:N77)</f>
        <v>0</v>
      </c>
      <c r="O78" s="852">
        <f>SUM(O76:O77)</f>
        <v>0</v>
      </c>
      <c r="P78" s="746">
        <v>0</v>
      </c>
      <c r="Q78" s="746">
        <f>SUM(Q76:Q77)</f>
        <v>286.23970588235295</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3075.4687500000009</v>
      </c>
      <c r="C87" s="755">
        <f>'lokale energieproductie'!B17*IFERROR(SUM(D87:H87)/SUM(D87:O87),0)</f>
        <v>1025.1562500000002</v>
      </c>
      <c r="D87" s="766">
        <f>'lokale energieproductie'!C17</f>
        <v>0</v>
      </c>
      <c r="E87" s="766">
        <f>'lokale energieproductie'!D17</f>
        <v>0</v>
      </c>
      <c r="F87" s="766">
        <f>'lokale energieproductie'!E17</f>
        <v>1206.0661764705883</v>
      </c>
      <c r="G87" s="766">
        <f>'lokale energieproductie'!F17</f>
        <v>0</v>
      </c>
      <c r="H87" s="766">
        <f>'lokale energieproductie'!G17</f>
        <v>0</v>
      </c>
      <c r="I87" s="766">
        <f>'lokale energieproductie'!I17</f>
        <v>3618.1985294117649</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322.01966911764708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3075.4687500000009</v>
      </c>
      <c r="C90" s="744">
        <f>SUM(C87:C89)</f>
        <v>1025.1562500000002</v>
      </c>
      <c r="D90" s="744">
        <f t="shared" ref="D90:H90" si="12">SUM(D87:D89)</f>
        <v>0</v>
      </c>
      <c r="E90" s="744">
        <f t="shared" si="12"/>
        <v>0</v>
      </c>
      <c r="F90" s="744">
        <f t="shared" si="12"/>
        <v>1206.0661764705883</v>
      </c>
      <c r="G90" s="744">
        <f t="shared" si="12"/>
        <v>0</v>
      </c>
      <c r="H90" s="744">
        <f t="shared" si="12"/>
        <v>0</v>
      </c>
      <c r="I90" s="744">
        <f>SUM(I87:I89)</f>
        <v>3618.1985294117649</v>
      </c>
      <c r="J90" s="744">
        <f>SUM(J87:J89)</f>
        <v>0</v>
      </c>
      <c r="K90" s="744">
        <f t="shared" ref="K90:L90" si="13">SUM(K87:K89)</f>
        <v>0</v>
      </c>
      <c r="L90" s="744">
        <f t="shared" si="13"/>
        <v>0</v>
      </c>
      <c r="M90" s="744">
        <f>SUM(M87:M89)</f>
        <v>0</v>
      </c>
      <c r="N90" s="744">
        <f>SUM(N87:N89)</f>
        <v>0</v>
      </c>
      <c r="O90" s="744">
        <f>SUM(O87:O89)</f>
        <v>0</v>
      </c>
      <c r="P90" s="744">
        <v>0</v>
      </c>
      <c r="Q90" s="744">
        <f>SUM(Q87:Q89)</f>
        <v>322.01966911764708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28391.330718448728</v>
      </c>
      <c r="C4" s="458">
        <f>huishoudens!C8</f>
        <v>0</v>
      </c>
      <c r="D4" s="458">
        <f>huishoudens!D8</f>
        <v>31142.213871999997</v>
      </c>
      <c r="E4" s="458">
        <f>huishoudens!E8</f>
        <v>2659.9702209523543</v>
      </c>
      <c r="F4" s="458">
        <f>huishoudens!F8</f>
        <v>62517.114385498986</v>
      </c>
      <c r="G4" s="458">
        <f>huishoudens!G8</f>
        <v>0</v>
      </c>
      <c r="H4" s="458">
        <f>huishoudens!H8</f>
        <v>0</v>
      </c>
      <c r="I4" s="458">
        <f>huishoudens!I8</f>
        <v>0</v>
      </c>
      <c r="J4" s="458">
        <f>huishoudens!J8</f>
        <v>0</v>
      </c>
      <c r="K4" s="458">
        <f>huishoudens!K8</f>
        <v>0</v>
      </c>
      <c r="L4" s="458">
        <f>huishoudens!L8</f>
        <v>0</v>
      </c>
      <c r="M4" s="458">
        <f>huishoudens!M8</f>
        <v>0</v>
      </c>
      <c r="N4" s="458">
        <f>huishoudens!N8</f>
        <v>19917.215986217285</v>
      </c>
      <c r="O4" s="458">
        <f>huishoudens!O8</f>
        <v>292.34333333333331</v>
      </c>
      <c r="P4" s="459">
        <f>huishoudens!P8</f>
        <v>762.66666666666674</v>
      </c>
      <c r="Q4" s="460">
        <f>SUM(B4:P4)</f>
        <v>145682.85518311732</v>
      </c>
    </row>
    <row r="5" spans="1:17">
      <c r="A5" s="457" t="s">
        <v>155</v>
      </c>
      <c r="B5" s="458">
        <f ca="1">tertiair!B16</f>
        <v>23919.249999999996</v>
      </c>
      <c r="C5" s="458">
        <f ca="1">tertiair!C16</f>
        <v>4100.6250000000009</v>
      </c>
      <c r="D5" s="458">
        <f ca="1">tertiair!D16</f>
        <v>15483.712156000001</v>
      </c>
      <c r="E5" s="458">
        <f>tertiair!E16</f>
        <v>196.92899095427802</v>
      </c>
      <c r="F5" s="458">
        <f ca="1">tertiair!F16</f>
        <v>1353.5666605412766</v>
      </c>
      <c r="G5" s="458">
        <f>tertiair!G16</f>
        <v>0</v>
      </c>
      <c r="H5" s="458">
        <f>tertiair!H16</f>
        <v>0</v>
      </c>
      <c r="I5" s="458">
        <f>tertiair!I16</f>
        <v>0</v>
      </c>
      <c r="J5" s="458">
        <f>tertiair!J16</f>
        <v>0</v>
      </c>
      <c r="K5" s="458">
        <f>tertiair!K16</f>
        <v>0</v>
      </c>
      <c r="L5" s="458">
        <f ca="1">tertiair!L16</f>
        <v>0</v>
      </c>
      <c r="M5" s="458">
        <f>tertiair!M16</f>
        <v>0</v>
      </c>
      <c r="N5" s="458">
        <f ca="1">tertiair!N16</f>
        <v>994.69478902032029</v>
      </c>
      <c r="O5" s="458">
        <f>tertiair!O16</f>
        <v>1.5633333333333335</v>
      </c>
      <c r="P5" s="459">
        <f>tertiair!P16</f>
        <v>19.066666666666666</v>
      </c>
      <c r="Q5" s="457">
        <f t="shared" ref="Q5:Q14" ca="1" si="0">SUM(B5:P5)</f>
        <v>46069.40759651587</v>
      </c>
    </row>
    <row r="6" spans="1:17">
      <c r="A6" s="457" t="s">
        <v>193</v>
      </c>
      <c r="B6" s="458">
        <f>'openbare verlichting'!B8</f>
        <v>1041.971</v>
      </c>
      <c r="C6" s="458"/>
      <c r="D6" s="458"/>
      <c r="E6" s="458"/>
      <c r="F6" s="458"/>
      <c r="G6" s="458"/>
      <c r="H6" s="458"/>
      <c r="I6" s="458"/>
      <c r="J6" s="458"/>
      <c r="K6" s="458"/>
      <c r="L6" s="458"/>
      <c r="M6" s="458"/>
      <c r="N6" s="458"/>
      <c r="O6" s="458"/>
      <c r="P6" s="459"/>
      <c r="Q6" s="457">
        <f t="shared" si="0"/>
        <v>1041.971</v>
      </c>
    </row>
    <row r="7" spans="1:17">
      <c r="A7" s="457" t="s">
        <v>111</v>
      </c>
      <c r="B7" s="458">
        <f>landbouw!B8</f>
        <v>1376.71</v>
      </c>
      <c r="C7" s="458">
        <f>landbouw!C8</f>
        <v>0</v>
      </c>
      <c r="D7" s="458">
        <f>landbouw!D8</f>
        <v>4011.2733759999996</v>
      </c>
      <c r="E7" s="458">
        <f>landbouw!E8</f>
        <v>17.348319563081869</v>
      </c>
      <c r="F7" s="458">
        <f>landbouw!F8</f>
        <v>4749.9943864628112</v>
      </c>
      <c r="G7" s="458">
        <f>landbouw!G8</f>
        <v>0</v>
      </c>
      <c r="H7" s="458">
        <f>landbouw!H8</f>
        <v>0</v>
      </c>
      <c r="I7" s="458">
        <f>landbouw!I8</f>
        <v>0</v>
      </c>
      <c r="J7" s="458">
        <f>landbouw!J8</f>
        <v>207.04153411305589</v>
      </c>
      <c r="K7" s="458">
        <f>landbouw!K8</f>
        <v>0</v>
      </c>
      <c r="L7" s="458">
        <f>landbouw!L8</f>
        <v>0</v>
      </c>
      <c r="M7" s="458">
        <f>landbouw!M8</f>
        <v>0</v>
      </c>
      <c r="N7" s="458">
        <f>landbouw!N8</f>
        <v>0</v>
      </c>
      <c r="O7" s="458">
        <f>landbouw!O8</f>
        <v>0</v>
      </c>
      <c r="P7" s="459">
        <f>landbouw!P8</f>
        <v>0</v>
      </c>
      <c r="Q7" s="457">
        <f t="shared" si="0"/>
        <v>10362.367616138949</v>
      </c>
    </row>
    <row r="8" spans="1:17">
      <c r="A8" s="457" t="s">
        <v>655</v>
      </c>
      <c r="B8" s="458">
        <f>industrie!B18</f>
        <v>52244.955000000002</v>
      </c>
      <c r="C8" s="458">
        <f>industrie!C18</f>
        <v>0</v>
      </c>
      <c r="D8" s="458">
        <f>industrie!D18</f>
        <v>89642.606394000002</v>
      </c>
      <c r="E8" s="458">
        <f>industrie!E18</f>
        <v>3952.3252173080855</v>
      </c>
      <c r="F8" s="458">
        <f>industrie!F18</f>
        <v>55882.507558892939</v>
      </c>
      <c r="G8" s="458">
        <f>industrie!G18</f>
        <v>0</v>
      </c>
      <c r="H8" s="458">
        <f>industrie!H18</f>
        <v>0</v>
      </c>
      <c r="I8" s="458">
        <f>industrie!I18</f>
        <v>0</v>
      </c>
      <c r="J8" s="458">
        <f>industrie!J18</f>
        <v>2.5971444402672073</v>
      </c>
      <c r="K8" s="458">
        <f>industrie!K18</f>
        <v>0</v>
      </c>
      <c r="L8" s="458">
        <f>industrie!L18</f>
        <v>0</v>
      </c>
      <c r="M8" s="458">
        <f>industrie!M18</f>
        <v>0</v>
      </c>
      <c r="N8" s="458">
        <f>industrie!N18</f>
        <v>10540.180952979936</v>
      </c>
      <c r="O8" s="458">
        <f>industrie!O18</f>
        <v>0</v>
      </c>
      <c r="P8" s="459">
        <f>industrie!P18</f>
        <v>0</v>
      </c>
      <c r="Q8" s="457">
        <f t="shared" si="0"/>
        <v>212265.17226762127</v>
      </c>
    </row>
    <row r="9" spans="1:17" s="463" customFormat="1">
      <c r="A9" s="461" t="s">
        <v>573</v>
      </c>
      <c r="B9" s="462">
        <f>transport!B14</f>
        <v>16.661609707513488</v>
      </c>
      <c r="C9" s="462">
        <f>transport!C14</f>
        <v>0</v>
      </c>
      <c r="D9" s="462">
        <f>transport!D14</f>
        <v>26.096310700621473</v>
      </c>
      <c r="E9" s="462">
        <f>transport!E14</f>
        <v>1096.457009328368</v>
      </c>
      <c r="F9" s="462">
        <f>transport!F14</f>
        <v>0</v>
      </c>
      <c r="G9" s="462">
        <f>transport!G14</f>
        <v>310465.15595463791</v>
      </c>
      <c r="H9" s="462">
        <f>transport!H14</f>
        <v>49467.986487043156</v>
      </c>
      <c r="I9" s="462">
        <f>transport!I14</f>
        <v>0</v>
      </c>
      <c r="J9" s="462">
        <f>transport!J14</f>
        <v>0</v>
      </c>
      <c r="K9" s="462">
        <f>transport!K14</f>
        <v>0</v>
      </c>
      <c r="L9" s="462">
        <f>transport!L14</f>
        <v>0</v>
      </c>
      <c r="M9" s="462">
        <f>transport!M14</f>
        <v>16272.785325238603</v>
      </c>
      <c r="N9" s="462">
        <f>transport!N14</f>
        <v>0</v>
      </c>
      <c r="O9" s="462">
        <f>transport!O14</f>
        <v>0</v>
      </c>
      <c r="P9" s="462">
        <f>transport!P14</f>
        <v>0</v>
      </c>
      <c r="Q9" s="461">
        <f>SUM(B9:P9)</f>
        <v>377345.14269665617</v>
      </c>
    </row>
    <row r="10" spans="1:17">
      <c r="A10" s="457" t="s">
        <v>563</v>
      </c>
      <c r="B10" s="458">
        <f>transport!B54</f>
        <v>0</v>
      </c>
      <c r="C10" s="458">
        <f>transport!C54</f>
        <v>0</v>
      </c>
      <c r="D10" s="458">
        <f>transport!D54</f>
        <v>0</v>
      </c>
      <c r="E10" s="458">
        <f>transport!E54</f>
        <v>0</v>
      </c>
      <c r="F10" s="458">
        <f>transport!F54</f>
        <v>0</v>
      </c>
      <c r="G10" s="458">
        <f>transport!G54</f>
        <v>2165.5966503425243</v>
      </c>
      <c r="H10" s="458">
        <f>transport!H54</f>
        <v>0</v>
      </c>
      <c r="I10" s="458">
        <f>transport!I54</f>
        <v>0</v>
      </c>
      <c r="J10" s="458">
        <f>transport!J54</f>
        <v>0</v>
      </c>
      <c r="K10" s="458">
        <f>transport!K54</f>
        <v>0</v>
      </c>
      <c r="L10" s="458">
        <f>transport!L54</f>
        <v>0</v>
      </c>
      <c r="M10" s="458">
        <f>transport!M54</f>
        <v>96.39249848792835</v>
      </c>
      <c r="N10" s="458">
        <f>transport!N54</f>
        <v>0</v>
      </c>
      <c r="O10" s="458">
        <f>transport!O54</f>
        <v>0</v>
      </c>
      <c r="P10" s="459">
        <f>transport!P54</f>
        <v>0</v>
      </c>
      <c r="Q10" s="457">
        <f t="shared" si="0"/>
        <v>2261.9891488304525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1059.915</v>
      </c>
      <c r="C14" s="465"/>
      <c r="D14" s="465">
        <f>'SEAP template'!E25</f>
        <v>5381.299</v>
      </c>
      <c r="E14" s="465"/>
      <c r="F14" s="465"/>
      <c r="G14" s="465"/>
      <c r="H14" s="465"/>
      <c r="I14" s="465"/>
      <c r="J14" s="465"/>
      <c r="K14" s="465"/>
      <c r="L14" s="465"/>
      <c r="M14" s="465"/>
      <c r="N14" s="465"/>
      <c r="O14" s="465"/>
      <c r="P14" s="466"/>
      <c r="Q14" s="457">
        <f t="shared" si="0"/>
        <v>6441.2139999999999</v>
      </c>
    </row>
    <row r="15" spans="1:17" s="470" customFormat="1">
      <c r="A15" s="467" t="s">
        <v>567</v>
      </c>
      <c r="B15" s="468">
        <f ca="1">SUM(B4:B14)</f>
        <v>108050.79332815623</v>
      </c>
      <c r="C15" s="468">
        <f t="shared" ref="C15:Q15" ca="1" si="1">SUM(C4:C14)</f>
        <v>4100.6250000000009</v>
      </c>
      <c r="D15" s="468">
        <f t="shared" ca="1" si="1"/>
        <v>145687.20110870062</v>
      </c>
      <c r="E15" s="468">
        <f t="shared" si="1"/>
        <v>7923.0297581061686</v>
      </c>
      <c r="F15" s="468">
        <f t="shared" ca="1" si="1"/>
        <v>124503.18299139602</v>
      </c>
      <c r="G15" s="468">
        <f t="shared" si="1"/>
        <v>312630.75260498043</v>
      </c>
      <c r="H15" s="468">
        <f t="shared" si="1"/>
        <v>49467.986487043156</v>
      </c>
      <c r="I15" s="468">
        <f t="shared" si="1"/>
        <v>0</v>
      </c>
      <c r="J15" s="468">
        <f t="shared" si="1"/>
        <v>209.6386785533231</v>
      </c>
      <c r="K15" s="468">
        <f t="shared" si="1"/>
        <v>0</v>
      </c>
      <c r="L15" s="468">
        <f t="shared" ca="1" si="1"/>
        <v>0</v>
      </c>
      <c r="M15" s="468">
        <f t="shared" si="1"/>
        <v>16369.177823726532</v>
      </c>
      <c r="N15" s="468">
        <f t="shared" ca="1" si="1"/>
        <v>31452.09172821754</v>
      </c>
      <c r="O15" s="468">
        <f t="shared" si="1"/>
        <v>293.90666666666664</v>
      </c>
      <c r="P15" s="468">
        <f t="shared" si="1"/>
        <v>781.73333333333346</v>
      </c>
      <c r="Q15" s="468">
        <f t="shared" ca="1" si="1"/>
        <v>801470.11950887996</v>
      </c>
    </row>
    <row r="17" spans="1:17">
      <c r="A17" s="471" t="s">
        <v>568</v>
      </c>
      <c r="B17" s="777">
        <f ca="1">huishoudens!B10</f>
        <v>0.19623247664695098</v>
      </c>
      <c r="C17" s="777">
        <f ca="1">huishoudens!C10</f>
        <v>7.8529411764705875E-2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5571.3011421838519</v>
      </c>
      <c r="C22" s="458">
        <f t="shared" ref="C22:C32" ca="1" si="3">C4*$C$17</f>
        <v>0</v>
      </c>
      <c r="D22" s="458">
        <f t="shared" ref="D22:D32" si="4">D4*$D$17</f>
        <v>6290.7272021439994</v>
      </c>
      <c r="E22" s="458">
        <f t="shared" ref="E22:E32" si="5">E4*$E$17</f>
        <v>603.81324015618441</v>
      </c>
      <c r="F22" s="458">
        <f t="shared" ref="F22:F32" si="6">F4*$F$17</f>
        <v>16692.069540928231</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29157.911125412269</v>
      </c>
    </row>
    <row r="23" spans="1:17">
      <c r="A23" s="457" t="s">
        <v>155</v>
      </c>
      <c r="B23" s="458">
        <f t="shared" ca="1" si="2"/>
        <v>4693.7336670375817</v>
      </c>
      <c r="C23" s="458">
        <f t="shared" ca="1" si="3"/>
        <v>322.01966911764708</v>
      </c>
      <c r="D23" s="458">
        <f t="shared" ca="1" si="4"/>
        <v>3127.7098555120006</v>
      </c>
      <c r="E23" s="458">
        <f t="shared" si="5"/>
        <v>44.702880946621114</v>
      </c>
      <c r="F23" s="458">
        <f t="shared" ca="1" si="6"/>
        <v>361.4022983645209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8549.5683709783716</v>
      </c>
    </row>
    <row r="24" spans="1:17">
      <c r="A24" s="457" t="s">
        <v>193</v>
      </c>
      <c r="B24" s="458">
        <f t="shared" ca="1" si="2"/>
        <v>204.46854992430016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204.46854992430016</v>
      </c>
    </row>
    <row r="25" spans="1:17">
      <c r="A25" s="457" t="s">
        <v>111</v>
      </c>
      <c r="B25" s="458">
        <f t="shared" ca="1" si="2"/>
        <v>270.15521292462387</v>
      </c>
      <c r="C25" s="458">
        <f t="shared" ca="1" si="3"/>
        <v>0</v>
      </c>
      <c r="D25" s="458">
        <f t="shared" si="4"/>
        <v>810.27722195199999</v>
      </c>
      <c r="E25" s="458">
        <f t="shared" si="5"/>
        <v>3.9380685408195846</v>
      </c>
      <c r="F25" s="458">
        <f t="shared" si="6"/>
        <v>1268.2485011855706</v>
      </c>
      <c r="G25" s="458">
        <f t="shared" si="7"/>
        <v>0</v>
      </c>
      <c r="H25" s="458">
        <f t="shared" si="8"/>
        <v>0</v>
      </c>
      <c r="I25" s="458">
        <f t="shared" si="9"/>
        <v>0</v>
      </c>
      <c r="J25" s="458">
        <f t="shared" si="10"/>
        <v>73.29270307602178</v>
      </c>
      <c r="K25" s="458">
        <f t="shared" si="11"/>
        <v>0</v>
      </c>
      <c r="L25" s="458">
        <f t="shared" si="12"/>
        <v>0</v>
      </c>
      <c r="M25" s="458">
        <f t="shared" si="13"/>
        <v>0</v>
      </c>
      <c r="N25" s="458">
        <f t="shared" si="14"/>
        <v>0</v>
      </c>
      <c r="O25" s="458">
        <f t="shared" si="15"/>
        <v>0</v>
      </c>
      <c r="P25" s="459">
        <f t="shared" si="16"/>
        <v>0</v>
      </c>
      <c r="Q25" s="457">
        <f t="shared" ca="1" si="17"/>
        <v>2425.9117076790362</v>
      </c>
    </row>
    <row r="26" spans="1:17">
      <c r="A26" s="457" t="s">
        <v>655</v>
      </c>
      <c r="B26" s="458">
        <f t="shared" ca="1" si="2"/>
        <v>10252.156911958506</v>
      </c>
      <c r="C26" s="458">
        <f t="shared" ca="1" si="3"/>
        <v>0</v>
      </c>
      <c r="D26" s="458">
        <f t="shared" si="4"/>
        <v>18107.806491588002</v>
      </c>
      <c r="E26" s="458">
        <f t="shared" si="5"/>
        <v>897.17782432893546</v>
      </c>
      <c r="F26" s="458">
        <f t="shared" si="6"/>
        <v>14920.629518224416</v>
      </c>
      <c r="G26" s="458">
        <f t="shared" si="7"/>
        <v>0</v>
      </c>
      <c r="H26" s="458">
        <f t="shared" si="8"/>
        <v>0</v>
      </c>
      <c r="I26" s="458">
        <f t="shared" si="9"/>
        <v>0</v>
      </c>
      <c r="J26" s="458">
        <f t="shared" si="10"/>
        <v>0.91938913185459137</v>
      </c>
      <c r="K26" s="458">
        <f t="shared" si="11"/>
        <v>0</v>
      </c>
      <c r="L26" s="458">
        <f t="shared" si="12"/>
        <v>0</v>
      </c>
      <c r="M26" s="458">
        <f t="shared" si="13"/>
        <v>0</v>
      </c>
      <c r="N26" s="458">
        <f t="shared" si="14"/>
        <v>0</v>
      </c>
      <c r="O26" s="458">
        <f t="shared" si="15"/>
        <v>0</v>
      </c>
      <c r="P26" s="459">
        <f t="shared" si="16"/>
        <v>0</v>
      </c>
      <c r="Q26" s="457">
        <f t="shared" ca="1" si="17"/>
        <v>44178.690135231715</v>
      </c>
    </row>
    <row r="27" spans="1:17" s="463" customFormat="1">
      <c r="A27" s="461" t="s">
        <v>573</v>
      </c>
      <c r="B27" s="771">
        <f t="shared" ca="1" si="2"/>
        <v>3.2695489378302525</v>
      </c>
      <c r="C27" s="462">
        <f t="shared" ca="1" si="3"/>
        <v>0</v>
      </c>
      <c r="D27" s="462">
        <f t="shared" si="4"/>
        <v>5.271454761525538</v>
      </c>
      <c r="E27" s="462">
        <f t="shared" si="5"/>
        <v>248.89574111753956</v>
      </c>
      <c r="F27" s="462">
        <f t="shared" si="6"/>
        <v>0</v>
      </c>
      <c r="G27" s="462">
        <f t="shared" si="7"/>
        <v>82894.196639888323</v>
      </c>
      <c r="H27" s="462">
        <f t="shared" si="8"/>
        <v>12317.528635273746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95469.162019978961</v>
      </c>
    </row>
    <row r="28" spans="1:17">
      <c r="A28" s="457" t="s">
        <v>563</v>
      </c>
      <c r="B28" s="458">
        <f t="shared" ca="1" si="2"/>
        <v>0</v>
      </c>
      <c r="C28" s="458">
        <f t="shared" ca="1" si="3"/>
        <v>0</v>
      </c>
      <c r="D28" s="458">
        <f t="shared" si="4"/>
        <v>0</v>
      </c>
      <c r="E28" s="458">
        <f t="shared" si="5"/>
        <v>0</v>
      </c>
      <c r="F28" s="458">
        <f t="shared" si="6"/>
        <v>0</v>
      </c>
      <c r="G28" s="458">
        <f t="shared" si="7"/>
        <v>578.21430564145408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578.21430564145408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207.98974548525305</v>
      </c>
      <c r="C32" s="458">
        <f t="shared" ca="1" si="3"/>
        <v>0</v>
      </c>
      <c r="D32" s="458">
        <f t="shared" si="4"/>
        <v>1087.0223980000001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1295.0121434852531</v>
      </c>
    </row>
    <row r="33" spans="1:17" s="470" customFormat="1">
      <c r="A33" s="467" t="s">
        <v>567</v>
      </c>
      <c r="B33" s="468">
        <f ca="1">SUM(B22:B32)</f>
        <v>21203.074778451948</v>
      </c>
      <c r="C33" s="468">
        <f t="shared" ref="C33:Q33" ca="1" si="18">SUM(C22:C32)</f>
        <v>322.01966911764708</v>
      </c>
      <c r="D33" s="468">
        <f t="shared" ca="1" si="18"/>
        <v>29428.814623957529</v>
      </c>
      <c r="E33" s="468">
        <f t="shared" si="18"/>
        <v>1798.5277550901001</v>
      </c>
      <c r="F33" s="468">
        <f t="shared" ca="1" si="18"/>
        <v>33242.349858702742</v>
      </c>
      <c r="G33" s="468">
        <f t="shared" si="18"/>
        <v>83472.410945529773</v>
      </c>
      <c r="H33" s="468">
        <f t="shared" si="18"/>
        <v>12317.528635273746</v>
      </c>
      <c r="I33" s="468">
        <f t="shared" si="18"/>
        <v>0</v>
      </c>
      <c r="J33" s="468">
        <f t="shared" si="18"/>
        <v>74.212092207876367</v>
      </c>
      <c r="K33" s="468">
        <f t="shared" si="18"/>
        <v>0</v>
      </c>
      <c r="L33" s="468">
        <f t="shared" ca="1" si="18"/>
        <v>0</v>
      </c>
      <c r="M33" s="468">
        <f t="shared" si="18"/>
        <v>0</v>
      </c>
      <c r="N33" s="468">
        <f t="shared" ca="1" si="18"/>
        <v>0</v>
      </c>
      <c r="O33" s="468">
        <f t="shared" si="18"/>
        <v>0</v>
      </c>
      <c r="P33" s="468">
        <f t="shared" si="18"/>
        <v>0</v>
      </c>
      <c r="Q33" s="468">
        <f t="shared" ca="1" si="18"/>
        <v>181858.93835833136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9759.480782592469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2733.75</v>
      </c>
      <c r="C8" s="1034">
        <f>'SEAP template'!C76</f>
        <v>911.25000000000011</v>
      </c>
      <c r="D8" s="1034">
        <f>'SEAP template'!D76</f>
        <v>0</v>
      </c>
      <c r="E8" s="1034">
        <f>'SEAP template'!E76</f>
        <v>0</v>
      </c>
      <c r="F8" s="1034">
        <f>'SEAP template'!F76</f>
        <v>1072.0588235294117</v>
      </c>
      <c r="G8" s="1034">
        <f>'SEAP template'!G76</f>
        <v>0</v>
      </c>
      <c r="H8" s="1034">
        <f>'SEAP template'!H76</f>
        <v>0</v>
      </c>
      <c r="I8" s="1034">
        <f>'SEAP template'!I76</f>
        <v>3216.1764705882347</v>
      </c>
      <c r="J8" s="1034">
        <f>'SEAP template'!J76</f>
        <v>0</v>
      </c>
      <c r="K8" s="1034">
        <f>'SEAP template'!K76</f>
        <v>0</v>
      </c>
      <c r="L8" s="1034">
        <f>'SEAP template'!L76</f>
        <v>0</v>
      </c>
      <c r="M8" s="1034">
        <f>'SEAP template'!M76</f>
        <v>0</v>
      </c>
      <c r="N8" s="1034">
        <f>'SEAP template'!N76</f>
        <v>0</v>
      </c>
      <c r="O8" s="1034">
        <f>'SEAP template'!O76</f>
        <v>0</v>
      </c>
      <c r="P8" s="1035">
        <f>'SEAP template'!Q76</f>
        <v>286.23970588235295</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12493.230782592469</v>
      </c>
      <c r="C10" s="1038">
        <f>SUM(C4:C9)</f>
        <v>911.25000000000011</v>
      </c>
      <c r="D10" s="1038">
        <f t="shared" ref="D10:H10" si="0">SUM(D8:D9)</f>
        <v>0</v>
      </c>
      <c r="E10" s="1038">
        <f t="shared" si="0"/>
        <v>0</v>
      </c>
      <c r="F10" s="1038">
        <f t="shared" si="0"/>
        <v>1072.0588235294117</v>
      </c>
      <c r="G10" s="1038">
        <f t="shared" si="0"/>
        <v>0</v>
      </c>
      <c r="H10" s="1038">
        <f t="shared" si="0"/>
        <v>0</v>
      </c>
      <c r="I10" s="1038">
        <f>SUM(I8:I9)</f>
        <v>3216.1764705882347</v>
      </c>
      <c r="J10" s="1038">
        <f>SUM(J8:J9)</f>
        <v>0</v>
      </c>
      <c r="K10" s="1038">
        <f t="shared" ref="K10:L10" si="1">SUM(K8:K9)</f>
        <v>0</v>
      </c>
      <c r="L10" s="1038">
        <f t="shared" si="1"/>
        <v>0</v>
      </c>
      <c r="M10" s="1038">
        <f>SUM(M8:M9)</f>
        <v>0</v>
      </c>
      <c r="N10" s="1038">
        <f>SUM(N8:N9)</f>
        <v>0</v>
      </c>
      <c r="O10" s="1038">
        <f>SUM(O8:O9)</f>
        <v>0</v>
      </c>
      <c r="P10" s="1038">
        <f>SUM(P8:P9)</f>
        <v>286.23970588235295</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0.19623247664695098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3075.4687500000009</v>
      </c>
      <c r="C17" s="1040">
        <f>'SEAP template'!C87</f>
        <v>1025.1562500000002</v>
      </c>
      <c r="D17" s="1035">
        <f>'SEAP template'!D87</f>
        <v>0</v>
      </c>
      <c r="E17" s="1035">
        <f>'SEAP template'!E87</f>
        <v>0</v>
      </c>
      <c r="F17" s="1035">
        <f>'SEAP template'!F87</f>
        <v>1206.0661764705883</v>
      </c>
      <c r="G17" s="1035">
        <f>'SEAP template'!G87</f>
        <v>0</v>
      </c>
      <c r="H17" s="1035">
        <f>'SEAP template'!H87</f>
        <v>0</v>
      </c>
      <c r="I17" s="1035">
        <f>'SEAP template'!I87</f>
        <v>3618.1985294117649</v>
      </c>
      <c r="J17" s="1035">
        <f>'SEAP template'!J87</f>
        <v>0</v>
      </c>
      <c r="K17" s="1035">
        <f>'SEAP template'!K87</f>
        <v>0</v>
      </c>
      <c r="L17" s="1035">
        <f>'SEAP template'!L87</f>
        <v>0</v>
      </c>
      <c r="M17" s="1035">
        <f>'SEAP template'!M87</f>
        <v>0</v>
      </c>
      <c r="N17" s="1035">
        <f>'SEAP template'!N87</f>
        <v>0</v>
      </c>
      <c r="O17" s="1035">
        <f>'SEAP template'!O87</f>
        <v>0</v>
      </c>
      <c r="P17" s="1035">
        <f>'SEAP template'!Q87</f>
        <v>322.01966911764708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3075.4687500000009</v>
      </c>
      <c r="C20" s="1038">
        <f>SUM(C17:C19)</f>
        <v>1025.1562500000002</v>
      </c>
      <c r="D20" s="1038">
        <f t="shared" ref="D20:H20" si="2">SUM(D17:D19)</f>
        <v>0</v>
      </c>
      <c r="E20" s="1038">
        <f t="shared" si="2"/>
        <v>0</v>
      </c>
      <c r="F20" s="1038">
        <f t="shared" si="2"/>
        <v>1206.0661764705883</v>
      </c>
      <c r="G20" s="1038">
        <f t="shared" si="2"/>
        <v>0</v>
      </c>
      <c r="H20" s="1038">
        <f t="shared" si="2"/>
        <v>0</v>
      </c>
      <c r="I20" s="1038">
        <f>SUM(I17:I19)</f>
        <v>3618.1985294117649</v>
      </c>
      <c r="J20" s="1038">
        <f>SUM(J17:J19)</f>
        <v>0</v>
      </c>
      <c r="K20" s="1038">
        <f t="shared" ref="K20:L20" si="3">SUM(K17:K19)</f>
        <v>0</v>
      </c>
      <c r="L20" s="1038">
        <f t="shared" si="3"/>
        <v>0</v>
      </c>
      <c r="M20" s="1038">
        <f>SUM(M17:M19)</f>
        <v>0</v>
      </c>
      <c r="N20" s="1038">
        <f>SUM(N17:N19)</f>
        <v>0</v>
      </c>
      <c r="O20" s="1038">
        <f>SUM(O17:O19)</f>
        <v>0</v>
      </c>
      <c r="P20" s="1038">
        <f>SUM(P17:P19)</f>
        <v>322.01966911764708</v>
      </c>
    </row>
    <row r="22" spans="1:16">
      <c r="A22" s="471" t="s">
        <v>879</v>
      </c>
      <c r="B22" s="777" t="s">
        <v>873</v>
      </c>
      <c r="C22" s="777">
        <f ca="1">'EF ele_warmte'!B22</f>
        <v>7.8529411764705875E-2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0.19623247664695098</v>
      </c>
      <c r="C17" s="508">
        <f ca="1">'EF ele_warmte'!B22</f>
        <v>7.8529411764705875E-2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0.19623247664695098</v>
      </c>
      <c r="C17" s="508">
        <f ca="1">'EF ele_warmte'!B22</f>
        <v>7.8529411764705875E-2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0.19623247664695098</v>
      </c>
      <c r="C29" s="509">
        <f ca="1">'EF ele_warmte'!B22</f>
        <v>7.8529411764705875E-2</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5839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1694</v>
      </c>
      <c r="C14" s="332"/>
      <c r="D14" s="332"/>
      <c r="E14" s="332"/>
      <c r="F14" s="332"/>
    </row>
    <row r="15" spans="1:6">
      <c r="A15" s="1306" t="s">
        <v>183</v>
      </c>
      <c r="B15" s="1307">
        <v>702</v>
      </c>
      <c r="C15" s="332"/>
      <c r="D15" s="332"/>
      <c r="E15" s="332"/>
      <c r="F15" s="332"/>
    </row>
    <row r="16" spans="1:6">
      <c r="A16" s="1306" t="s">
        <v>6</v>
      </c>
      <c r="B16" s="1307">
        <v>533</v>
      </c>
      <c r="C16" s="332"/>
      <c r="D16" s="332"/>
      <c r="E16" s="332"/>
      <c r="F16" s="332"/>
    </row>
    <row r="17" spans="1:6">
      <c r="A17" s="1306" t="s">
        <v>7</v>
      </c>
      <c r="B17" s="1307">
        <v>220</v>
      </c>
      <c r="C17" s="332"/>
      <c r="D17" s="332"/>
      <c r="E17" s="332"/>
      <c r="F17" s="332"/>
    </row>
    <row r="18" spans="1:6">
      <c r="A18" s="1306" t="s">
        <v>8</v>
      </c>
      <c r="B18" s="1307">
        <v>436</v>
      </c>
      <c r="C18" s="332"/>
      <c r="D18" s="332"/>
      <c r="E18" s="332"/>
      <c r="F18" s="332"/>
    </row>
    <row r="19" spans="1:6">
      <c r="A19" s="1306" t="s">
        <v>9</v>
      </c>
      <c r="B19" s="1307">
        <v>378</v>
      </c>
      <c r="C19" s="332"/>
      <c r="D19" s="332"/>
      <c r="E19" s="332"/>
      <c r="F19" s="332"/>
    </row>
    <row r="20" spans="1:6">
      <c r="A20" s="1306" t="s">
        <v>10</v>
      </c>
      <c r="B20" s="1307">
        <v>287</v>
      </c>
      <c r="C20" s="332"/>
      <c r="D20" s="332"/>
      <c r="E20" s="332"/>
      <c r="F20" s="332"/>
    </row>
    <row r="21" spans="1:6">
      <c r="A21" s="1306" t="s">
        <v>11</v>
      </c>
      <c r="B21" s="1307">
        <v>4936</v>
      </c>
      <c r="C21" s="332"/>
      <c r="D21" s="332"/>
      <c r="E21" s="332"/>
      <c r="F21" s="332"/>
    </row>
    <row r="22" spans="1:6">
      <c r="A22" s="1306" t="s">
        <v>12</v>
      </c>
      <c r="B22" s="1307">
        <v>12340</v>
      </c>
      <c r="C22" s="332"/>
      <c r="D22" s="332"/>
      <c r="E22" s="332"/>
      <c r="F22" s="332"/>
    </row>
    <row r="23" spans="1:6">
      <c r="A23" s="1306" t="s">
        <v>13</v>
      </c>
      <c r="B23" s="1307">
        <v>350</v>
      </c>
      <c r="C23" s="332"/>
      <c r="D23" s="332"/>
      <c r="E23" s="332"/>
      <c r="F23" s="332"/>
    </row>
    <row r="24" spans="1:6">
      <c r="A24" s="1306" t="s">
        <v>14</v>
      </c>
      <c r="B24" s="1307">
        <v>43</v>
      </c>
      <c r="C24" s="332"/>
      <c r="D24" s="332"/>
      <c r="E24" s="332"/>
      <c r="F24" s="332"/>
    </row>
    <row r="25" spans="1:6">
      <c r="A25" s="1306" t="s">
        <v>15</v>
      </c>
      <c r="B25" s="1307">
        <v>1607</v>
      </c>
      <c r="C25" s="332"/>
      <c r="D25" s="332"/>
      <c r="E25" s="332"/>
      <c r="F25" s="332"/>
    </row>
    <row r="26" spans="1:6">
      <c r="A26" s="1306" t="s">
        <v>16</v>
      </c>
      <c r="B26" s="1307">
        <v>371</v>
      </c>
      <c r="C26" s="332"/>
      <c r="D26" s="332"/>
      <c r="E26" s="332"/>
      <c r="F26" s="332"/>
    </row>
    <row r="27" spans="1:6">
      <c r="A27" s="1306" t="s">
        <v>17</v>
      </c>
      <c r="B27" s="1307">
        <v>330</v>
      </c>
      <c r="C27" s="332"/>
      <c r="D27" s="332"/>
      <c r="E27" s="332"/>
      <c r="F27" s="332"/>
    </row>
    <row r="28" spans="1:6" s="43" customFormat="1">
      <c r="A28" s="1308" t="s">
        <v>18</v>
      </c>
      <c r="B28" s="1309">
        <v>125</v>
      </c>
      <c r="C28" s="338"/>
      <c r="D28" s="338"/>
      <c r="E28" s="338"/>
      <c r="F28" s="338"/>
    </row>
    <row r="29" spans="1:6">
      <c r="A29" s="1308" t="s">
        <v>916</v>
      </c>
      <c r="B29" s="1309">
        <v>159</v>
      </c>
      <c r="C29" s="338"/>
      <c r="D29" s="338"/>
      <c r="E29" s="338"/>
      <c r="F29" s="338"/>
    </row>
    <row r="30" spans="1:6">
      <c r="A30" s="1301" t="s">
        <v>917</v>
      </c>
      <c r="B30" s="1310">
        <v>27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22433</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2037</v>
      </c>
      <c r="D39" s="1307">
        <v>34525736</v>
      </c>
      <c r="E39" s="1307">
        <v>5870</v>
      </c>
      <c r="F39" s="1307">
        <v>23613322</v>
      </c>
    </row>
    <row r="40" spans="1:6">
      <c r="A40" s="1306" t="s">
        <v>29</v>
      </c>
      <c r="B40" s="1306" t="s">
        <v>28</v>
      </c>
      <c r="C40" s="1307">
        <v>0</v>
      </c>
      <c r="D40" s="1307">
        <v>0</v>
      </c>
      <c r="E40" s="1307">
        <v>0</v>
      </c>
      <c r="F40" s="1307">
        <v>0</v>
      </c>
    </row>
    <row r="41" spans="1:6">
      <c r="A41" s="1306" t="s">
        <v>31</v>
      </c>
      <c r="B41" s="1306" t="s">
        <v>32</v>
      </c>
      <c r="C41" s="1307">
        <v>34</v>
      </c>
      <c r="D41" s="1307">
        <v>1289555</v>
      </c>
      <c r="E41" s="1307">
        <v>118</v>
      </c>
      <c r="F41" s="1307">
        <v>2720868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13</v>
      </c>
      <c r="D44" s="1307">
        <v>25857266</v>
      </c>
      <c r="E44" s="1307">
        <v>23</v>
      </c>
      <c r="F44" s="1307">
        <v>15092205</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61035</v>
      </c>
    </row>
    <row r="48" spans="1:6">
      <c r="A48" s="1306" t="s">
        <v>31</v>
      </c>
      <c r="B48" s="1306" t="s">
        <v>28</v>
      </c>
      <c r="C48" s="1307">
        <v>5</v>
      </c>
      <c r="D48" s="1307">
        <v>926366</v>
      </c>
      <c r="E48" s="1307">
        <v>7</v>
      </c>
      <c r="F48" s="1307">
        <v>840235</v>
      </c>
    </row>
    <row r="49" spans="1:6">
      <c r="A49" s="1306" t="s">
        <v>31</v>
      </c>
      <c r="B49" s="1306" t="s">
        <v>39</v>
      </c>
      <c r="C49" s="1307">
        <v>0</v>
      </c>
      <c r="D49" s="1307">
        <v>0</v>
      </c>
      <c r="E49" s="1307">
        <v>0</v>
      </c>
      <c r="F49" s="1307">
        <v>0</v>
      </c>
    </row>
    <row r="50" spans="1:6">
      <c r="A50" s="1306" t="s">
        <v>31</v>
      </c>
      <c r="B50" s="1306" t="s">
        <v>40</v>
      </c>
      <c r="C50" s="1307">
        <v>8</v>
      </c>
      <c r="D50" s="1307">
        <v>71308860</v>
      </c>
      <c r="E50" s="1307">
        <v>16</v>
      </c>
      <c r="F50" s="1307">
        <v>33530612</v>
      </c>
    </row>
    <row r="51" spans="1:6">
      <c r="A51" s="1306" t="s">
        <v>41</v>
      </c>
      <c r="B51" s="1306" t="s">
        <v>42</v>
      </c>
      <c r="C51" s="1307">
        <v>5</v>
      </c>
      <c r="D51" s="1307">
        <v>4447088</v>
      </c>
      <c r="E51" s="1307">
        <v>52</v>
      </c>
      <c r="F51" s="1307">
        <v>1376710</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77</v>
      </c>
      <c r="F54" s="1307">
        <v>1041971</v>
      </c>
    </row>
    <row r="55" spans="1:6">
      <c r="A55" s="1306" t="s">
        <v>45</v>
      </c>
      <c r="B55" s="1306" t="s">
        <v>28</v>
      </c>
      <c r="C55" s="1307">
        <v>0</v>
      </c>
      <c r="D55" s="1307">
        <v>0</v>
      </c>
      <c r="E55" s="1307">
        <v>0</v>
      </c>
      <c r="F55" s="1307">
        <v>0</v>
      </c>
    </row>
    <row r="56" spans="1:6">
      <c r="A56" s="1306" t="s">
        <v>47</v>
      </c>
      <c r="B56" s="1306" t="s">
        <v>28</v>
      </c>
      <c r="C56" s="1307">
        <v>55</v>
      </c>
      <c r="D56" s="1307">
        <v>5381299</v>
      </c>
      <c r="E56" s="1307">
        <v>105</v>
      </c>
      <c r="F56" s="1307">
        <v>1059915</v>
      </c>
    </row>
    <row r="57" spans="1:6">
      <c r="A57" s="1306" t="s">
        <v>48</v>
      </c>
      <c r="B57" s="1306" t="s">
        <v>49</v>
      </c>
      <c r="C57" s="1307">
        <v>18</v>
      </c>
      <c r="D57" s="1307">
        <v>533540</v>
      </c>
      <c r="E57" s="1307">
        <v>88</v>
      </c>
      <c r="F57" s="1307">
        <v>1377003</v>
      </c>
    </row>
    <row r="58" spans="1:6">
      <c r="A58" s="1306" t="s">
        <v>48</v>
      </c>
      <c r="B58" s="1306" t="s">
        <v>50</v>
      </c>
      <c r="C58" s="1307">
        <v>12</v>
      </c>
      <c r="D58" s="1307">
        <v>3796669</v>
      </c>
      <c r="E58" s="1307">
        <v>32</v>
      </c>
      <c r="F58" s="1307">
        <v>1378118</v>
      </c>
    </row>
    <row r="59" spans="1:6">
      <c r="A59" s="1306" t="s">
        <v>48</v>
      </c>
      <c r="B59" s="1306" t="s">
        <v>51</v>
      </c>
      <c r="C59" s="1307">
        <v>45</v>
      </c>
      <c r="D59" s="1307">
        <v>3773789</v>
      </c>
      <c r="E59" s="1307">
        <v>153</v>
      </c>
      <c r="F59" s="1307">
        <v>5250092</v>
      </c>
    </row>
    <row r="60" spans="1:6">
      <c r="A60" s="1306" t="s">
        <v>48</v>
      </c>
      <c r="B60" s="1306" t="s">
        <v>52</v>
      </c>
      <c r="C60" s="1307">
        <v>12</v>
      </c>
      <c r="D60" s="1307">
        <v>507889</v>
      </c>
      <c r="E60" s="1307">
        <v>39</v>
      </c>
      <c r="F60" s="1307">
        <v>1266669</v>
      </c>
    </row>
    <row r="61" spans="1:6">
      <c r="A61" s="1306" t="s">
        <v>48</v>
      </c>
      <c r="B61" s="1306" t="s">
        <v>53</v>
      </c>
      <c r="C61" s="1307">
        <v>54</v>
      </c>
      <c r="D61" s="1307">
        <v>8033709</v>
      </c>
      <c r="E61" s="1307">
        <v>263</v>
      </c>
      <c r="F61" s="1307">
        <v>10784016</v>
      </c>
    </row>
    <row r="62" spans="1:6">
      <c r="A62" s="1306" t="s">
        <v>48</v>
      </c>
      <c r="B62" s="1306" t="s">
        <v>54</v>
      </c>
      <c r="C62" s="1307">
        <v>3</v>
      </c>
      <c r="D62" s="1307">
        <v>520382</v>
      </c>
      <c r="E62" s="1307">
        <v>14</v>
      </c>
      <c r="F62" s="1307">
        <v>218352</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20266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56891811</v>
      </c>
      <c r="E73" s="456"/>
      <c r="F73" s="332"/>
    </row>
    <row r="74" spans="1:6">
      <c r="A74" s="1306" t="s">
        <v>63</v>
      </c>
      <c r="B74" s="1306" t="s">
        <v>724</v>
      </c>
      <c r="C74" s="1320" t="s">
        <v>725</v>
      </c>
      <c r="D74" s="1321">
        <v>653204.15575651359</v>
      </c>
      <c r="E74" s="456"/>
      <c r="F74" s="332"/>
    </row>
    <row r="75" spans="1:6">
      <c r="A75" s="1306" t="s">
        <v>64</v>
      </c>
      <c r="B75" s="1306" t="s">
        <v>722</v>
      </c>
      <c r="C75" s="1320" t="s">
        <v>726</v>
      </c>
      <c r="D75" s="1321">
        <v>32267067</v>
      </c>
      <c r="E75" s="456"/>
      <c r="F75" s="332"/>
    </row>
    <row r="76" spans="1:6">
      <c r="A76" s="1306" t="s">
        <v>64</v>
      </c>
      <c r="B76" s="1306" t="s">
        <v>724</v>
      </c>
      <c r="C76" s="1320" t="s">
        <v>727</v>
      </c>
      <c r="D76" s="1321">
        <v>57591.155756513588</v>
      </c>
      <c r="E76" s="456"/>
      <c r="F76" s="332"/>
    </row>
    <row r="77" spans="1:6">
      <c r="A77" s="1306" t="s">
        <v>65</v>
      </c>
      <c r="B77" s="1306" t="s">
        <v>722</v>
      </c>
      <c r="C77" s="1320" t="s">
        <v>728</v>
      </c>
      <c r="D77" s="1321">
        <v>296795921</v>
      </c>
      <c r="E77" s="456"/>
      <c r="F77" s="332"/>
    </row>
    <row r="78" spans="1:6">
      <c r="A78" s="1301" t="s">
        <v>65</v>
      </c>
      <c r="B78" s="1301" t="s">
        <v>724</v>
      </c>
      <c r="C78" s="1301" t="s">
        <v>729</v>
      </c>
      <c r="D78" s="1322">
        <v>41836034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598537.68848697282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4778.0087184487265</v>
      </c>
      <c r="C91" s="332"/>
      <c r="D91" s="332"/>
      <c r="E91" s="332"/>
      <c r="F91" s="332"/>
    </row>
    <row r="92" spans="1:6">
      <c r="A92" s="1301" t="s">
        <v>68</v>
      </c>
      <c r="B92" s="1302">
        <v>4981.4720641437416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483</v>
      </c>
      <c r="C97" s="332"/>
      <c r="D97" s="332"/>
      <c r="E97" s="332"/>
      <c r="F97" s="332"/>
    </row>
    <row r="98" spans="1:6">
      <c r="A98" s="1306" t="s">
        <v>71</v>
      </c>
      <c r="B98" s="1307">
        <v>1</v>
      </c>
      <c r="C98" s="332"/>
      <c r="D98" s="332"/>
      <c r="E98" s="332"/>
      <c r="F98" s="332"/>
    </row>
    <row r="99" spans="1:6">
      <c r="A99" s="1306" t="s">
        <v>72</v>
      </c>
      <c r="B99" s="1307">
        <v>32</v>
      </c>
      <c r="C99" s="332"/>
      <c r="D99" s="332"/>
      <c r="E99" s="332"/>
      <c r="F99" s="332"/>
    </row>
    <row r="100" spans="1:6">
      <c r="A100" s="1306" t="s">
        <v>73</v>
      </c>
      <c r="B100" s="1307">
        <v>203</v>
      </c>
      <c r="C100" s="332"/>
      <c r="D100" s="332"/>
      <c r="E100" s="332"/>
      <c r="F100" s="332"/>
    </row>
    <row r="101" spans="1:6">
      <c r="A101" s="1306" t="s">
        <v>74</v>
      </c>
      <c r="B101" s="1307">
        <v>70</v>
      </c>
      <c r="C101" s="332"/>
      <c r="D101" s="332"/>
      <c r="E101" s="332"/>
      <c r="F101" s="332"/>
    </row>
    <row r="102" spans="1:6">
      <c r="A102" s="1306" t="s">
        <v>75</v>
      </c>
      <c r="B102" s="1307">
        <v>48</v>
      </c>
      <c r="C102" s="332"/>
      <c r="D102" s="332"/>
      <c r="E102" s="332"/>
      <c r="F102" s="332"/>
    </row>
    <row r="103" spans="1:6">
      <c r="A103" s="1306" t="s">
        <v>76</v>
      </c>
      <c r="B103" s="1307">
        <v>81</v>
      </c>
      <c r="C103" s="332"/>
      <c r="D103" s="332"/>
      <c r="E103" s="332"/>
      <c r="F103" s="332"/>
    </row>
    <row r="104" spans="1:6">
      <c r="A104" s="1306" t="s">
        <v>77</v>
      </c>
      <c r="B104" s="1307">
        <v>4055</v>
      </c>
      <c r="C104" s="332"/>
      <c r="D104" s="332"/>
      <c r="E104" s="332"/>
      <c r="F104" s="332"/>
    </row>
    <row r="105" spans="1:6">
      <c r="A105" s="1301" t="s">
        <v>78</v>
      </c>
      <c r="B105" s="1310">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18</v>
      </c>
      <c r="C123" s="1307">
        <v>21</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166</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22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108050.79332815624</v>
      </c>
      <c r="C3" s="43" t="s">
        <v>169</v>
      </c>
      <c r="D3" s="43"/>
      <c r="E3" s="156"/>
      <c r="F3" s="43"/>
      <c r="G3" s="43"/>
      <c r="H3" s="43"/>
      <c r="I3" s="43"/>
      <c r="J3" s="43"/>
      <c r="K3" s="96"/>
    </row>
    <row r="4" spans="1:11">
      <c r="A4" s="363" t="s">
        <v>170</v>
      </c>
      <c r="B4" s="49">
        <f>IF(ISERROR('SEAP template'!B78+'SEAP template'!C78),0,'SEAP template'!B78+'SEAP template'!C78)</f>
        <v>13404.480782592469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286.23970588235295</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0.19623247664695098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322.01966911764708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4100.6250000000009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7.8529411764705875E-2</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1041.971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1041.971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0.19623247664695098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204.46854992430016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23613.322</v>
      </c>
      <c r="C5" s="17">
        <f>IF(ISERROR('Eigen informatie GS &amp; warmtenet'!B57),0,'Eigen informatie GS &amp; warmtenet'!B57)</f>
        <v>0</v>
      </c>
      <c r="D5" s="30">
        <f>(SUM(HH_hh_gas_kWh,HH_rest_gas_kWh)/1000)*0.902</f>
        <v>31142.213871999997</v>
      </c>
      <c r="E5" s="17">
        <f>B46*B57</f>
        <v>2659.9702209523543</v>
      </c>
      <c r="F5" s="17">
        <f>B51*B62</f>
        <v>62517.114385498986</v>
      </c>
      <c r="G5" s="18"/>
      <c r="H5" s="17"/>
      <c r="I5" s="17"/>
      <c r="J5" s="17">
        <f>B50*B61+C50*C61</f>
        <v>0</v>
      </c>
      <c r="K5" s="17"/>
      <c r="L5" s="17"/>
      <c r="M5" s="17"/>
      <c r="N5" s="17">
        <f>B48*B59+C48*C59</f>
        <v>19917.215986217285</v>
      </c>
      <c r="O5" s="17">
        <f>B69*B70*B71</f>
        <v>292.34333333333331</v>
      </c>
      <c r="P5" s="17">
        <f>B77*B78*B79/1000-B77*B78*B79/1000/B80</f>
        <v>762.66666666666674</v>
      </c>
    </row>
    <row r="6" spans="1:16">
      <c r="A6" s="16" t="s">
        <v>633</v>
      </c>
      <c r="B6" s="779">
        <f>kWh_PV_kleiner_dan_10kW</f>
        <v>4778.0087184487265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28391.330718448728</v>
      </c>
      <c r="C8" s="21">
        <f>C5</f>
        <v>0</v>
      </c>
      <c r="D8" s="21">
        <f>D5</f>
        <v>31142.213871999997</v>
      </c>
      <c r="E8" s="21">
        <f>E5</f>
        <v>2659.9702209523543</v>
      </c>
      <c r="F8" s="21">
        <f>F5</f>
        <v>62517.114385498986</v>
      </c>
      <c r="G8" s="21"/>
      <c r="H8" s="21"/>
      <c r="I8" s="21"/>
      <c r="J8" s="21">
        <f>J5</f>
        <v>0</v>
      </c>
      <c r="K8" s="21"/>
      <c r="L8" s="21">
        <f>L5</f>
        <v>0</v>
      </c>
      <c r="M8" s="21">
        <f>M5</f>
        <v>0</v>
      </c>
      <c r="N8" s="21">
        <f>N5</f>
        <v>19917.215986217285</v>
      </c>
      <c r="O8" s="21">
        <f>O5</f>
        <v>292.34333333333331</v>
      </c>
      <c r="P8" s="21">
        <f>P5</f>
        <v>762.66666666666674</v>
      </c>
    </row>
    <row r="9" spans="1:16">
      <c r="B9" s="19"/>
      <c r="C9" s="19"/>
      <c r="D9" s="261"/>
      <c r="E9" s="19"/>
      <c r="F9" s="19"/>
      <c r="G9" s="19"/>
      <c r="H9" s="19"/>
      <c r="I9" s="19"/>
      <c r="J9" s="19"/>
      <c r="K9" s="19"/>
      <c r="L9" s="19"/>
      <c r="M9" s="19"/>
      <c r="N9" s="19"/>
      <c r="O9" s="19"/>
      <c r="P9" s="19"/>
    </row>
    <row r="10" spans="1:16">
      <c r="A10" s="24" t="s">
        <v>213</v>
      </c>
      <c r="B10" s="25">
        <f ca="1">'EF ele_warmte'!B12</f>
        <v>0.19623247664695098</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5571.3011421838519</v>
      </c>
      <c r="C12" s="23">
        <f ca="1">C10*C8</f>
        <v>0</v>
      </c>
      <c r="D12" s="23">
        <f>D8*D10</f>
        <v>6290.7272021439994</v>
      </c>
      <c r="E12" s="23">
        <f>E10*E8</f>
        <v>603.81324015618441</v>
      </c>
      <c r="F12" s="23">
        <f>F10*F8</f>
        <v>16692.069540928231</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483</v>
      </c>
      <c r="C18" s="168" t="s">
        <v>110</v>
      </c>
      <c r="D18" s="230"/>
      <c r="E18" s="15"/>
    </row>
    <row r="19" spans="1:7">
      <c r="A19" s="173" t="s">
        <v>71</v>
      </c>
      <c r="B19" s="37">
        <f>aantalw2001_ander</f>
        <v>1</v>
      </c>
      <c r="C19" s="168" t="s">
        <v>110</v>
      </c>
      <c r="D19" s="231"/>
      <c r="E19" s="15"/>
    </row>
    <row r="20" spans="1:7">
      <c r="A20" s="173" t="s">
        <v>72</v>
      </c>
      <c r="B20" s="37">
        <f>aantalw2001_propaan</f>
        <v>32</v>
      </c>
      <c r="C20" s="169">
        <f>IF(ISERROR(B20/SUM($B$20,$B$21,$B$22)*100),0,B20/SUM($B$20,$B$21,$B$22)*100)</f>
        <v>10.491803278688524</v>
      </c>
      <c r="D20" s="231"/>
      <c r="E20" s="15"/>
    </row>
    <row r="21" spans="1:7">
      <c r="A21" s="173" t="s">
        <v>73</v>
      </c>
      <c r="B21" s="37">
        <f>aantalw2001_elektriciteit</f>
        <v>203</v>
      </c>
      <c r="C21" s="169">
        <f>IF(ISERROR(B21/SUM($B$20,$B$21,$B$22)*100),0,B21/SUM($B$20,$B$21,$B$22)*100)</f>
        <v>66.557377049180332</v>
      </c>
      <c r="D21" s="231"/>
      <c r="E21" s="15"/>
    </row>
    <row r="22" spans="1:7">
      <c r="A22" s="173" t="s">
        <v>74</v>
      </c>
      <c r="B22" s="37">
        <f>aantalw2001_hout</f>
        <v>70</v>
      </c>
      <c r="C22" s="169">
        <f>IF(ISERROR(B22/SUM($B$20,$B$21,$B$22)*100),0,B22/SUM($B$20,$B$21,$B$22)*100)</f>
        <v>22.950819672131146</v>
      </c>
      <c r="D22" s="231"/>
      <c r="E22" s="15"/>
    </row>
    <row r="23" spans="1:7">
      <c r="A23" s="173" t="s">
        <v>75</v>
      </c>
      <c r="B23" s="37">
        <f>aantalw2001_niet_gespec</f>
        <v>48</v>
      </c>
      <c r="C23" s="168" t="s">
        <v>110</v>
      </c>
      <c r="D23" s="230"/>
      <c r="E23" s="15"/>
    </row>
    <row r="24" spans="1:7">
      <c r="A24" s="173" t="s">
        <v>76</v>
      </c>
      <c r="B24" s="37">
        <f>aantalw2001_steenkool</f>
        <v>81</v>
      </c>
      <c r="C24" s="168" t="s">
        <v>110</v>
      </c>
      <c r="D24" s="231"/>
      <c r="E24" s="15"/>
    </row>
    <row r="25" spans="1:7">
      <c r="A25" s="173" t="s">
        <v>77</v>
      </c>
      <c r="B25" s="37">
        <f>aantalw2001_stookolie</f>
        <v>4055</v>
      </c>
      <c r="C25" s="168" t="s">
        <v>110</v>
      </c>
      <c r="D25" s="230"/>
      <c r="E25" s="52"/>
    </row>
    <row r="26" spans="1:7">
      <c r="A26" s="173" t="s">
        <v>78</v>
      </c>
      <c r="B26" s="37">
        <f>aantalw2001_WP</f>
        <v>10</v>
      </c>
      <c r="C26" s="168" t="s">
        <v>110</v>
      </c>
      <c r="D26" s="230"/>
      <c r="E26" s="15"/>
    </row>
    <row r="27" spans="1:7" s="15" customFormat="1">
      <c r="A27" s="173"/>
      <c r="B27" s="29"/>
      <c r="C27" s="36"/>
      <c r="D27" s="230"/>
    </row>
    <row r="28" spans="1:7" s="15" customFormat="1">
      <c r="A28" s="232" t="s">
        <v>742</v>
      </c>
      <c r="B28" s="37">
        <f>aantalHuishoudens</f>
        <v>5839</v>
      </c>
      <c r="C28" s="36"/>
      <c r="D28" s="230"/>
    </row>
    <row r="29" spans="1:7" s="15" customFormat="1">
      <c r="A29" s="232" t="s">
        <v>743</v>
      </c>
      <c r="B29" s="37">
        <f>SUM(HH_hh_gas_aantal,HH_rest_gas_aantal)</f>
        <v>2037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2037</v>
      </c>
      <c r="C32" s="169">
        <f>IF(ISERROR(B32/SUM($B$32,$B$34,$B$35,$B$36,$B$38,$B$39)*100),0,B32/SUM($B$32,$B$34,$B$35,$B$36,$B$38,$B$39)*100)</f>
        <v>35.12674599068805</v>
      </c>
      <c r="D32" s="235"/>
      <c r="G32" s="15"/>
    </row>
    <row r="33" spans="1:7">
      <c r="A33" s="173" t="s">
        <v>71</v>
      </c>
      <c r="B33" s="34" t="s">
        <v>110</v>
      </c>
      <c r="C33" s="169"/>
      <c r="D33" s="235"/>
      <c r="G33" s="15"/>
    </row>
    <row r="34" spans="1:7">
      <c r="A34" s="173" t="s">
        <v>72</v>
      </c>
      <c r="B34" s="33">
        <f>IF((($B$28-$B$32-$B$39-$B$77-$B$38)*C20/100)&lt;0,0,($B$28-$B$32-$B$39-$B$77-$B$38)*C20/100)</f>
        <v>115.99737704918036</v>
      </c>
      <c r="C34" s="169">
        <f>IF(ISERROR(B34/SUM($B$32,$B$34,$B$35,$B$36,$B$38,$B$39)*100),0,B34/SUM($B$32,$B$34,$B$35,$B$36,$B$38,$B$39)*100)</f>
        <v>2.000299655961034</v>
      </c>
      <c r="D34" s="235"/>
      <c r="G34" s="15"/>
    </row>
    <row r="35" spans="1:7">
      <c r="A35" s="173" t="s">
        <v>73</v>
      </c>
      <c r="B35" s="33">
        <f>IF((($B$28-$B$32-$B$39-$B$77-$B$38)*C21/100)&lt;0,0,($B$28-$B$32-$B$39-$B$77-$B$38)*C21/100)</f>
        <v>735.8583606557379</v>
      </c>
      <c r="C35" s="169">
        <f>IF(ISERROR(B35/SUM($B$32,$B$34,$B$35,$B$36,$B$38,$B$39)*100),0,B35/SUM($B$32,$B$34,$B$35,$B$36,$B$38,$B$39)*100)</f>
        <v>12.689400942502809</v>
      </c>
      <c r="D35" s="235"/>
      <c r="G35" s="15"/>
    </row>
    <row r="36" spans="1:7">
      <c r="A36" s="173" t="s">
        <v>74</v>
      </c>
      <c r="B36" s="33">
        <f>IF((($B$28-$B$32-$B$39-$B$77-$B$38)*C22/100)&lt;0,0,($B$28-$B$32-$B$39-$B$77-$B$38)*C22/100)</f>
        <v>253.74426229508205</v>
      </c>
      <c r="C36" s="169">
        <f>IF(ISERROR(B36/SUM($B$32,$B$34,$B$35,$B$36,$B$38,$B$39)*100),0,B36/SUM($B$32,$B$34,$B$35,$B$36,$B$38,$B$39)*100)</f>
        <v>4.3756554974147619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2656.3999999999996</v>
      </c>
      <c r="C39" s="169">
        <f>IF(ISERROR(B39/SUM($B$32,$B$34,$B$35,$B$36,$B$38,$B$39)*100),0,B39/SUM($B$32,$B$34,$B$35,$B$36,$B$38,$B$39)*100)</f>
        <v>45.807897913433344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2037</v>
      </c>
      <c r="C44" s="34" t="s">
        <v>110</v>
      </c>
      <c r="D44" s="176"/>
    </row>
    <row r="45" spans="1:7">
      <c r="A45" s="173" t="s">
        <v>71</v>
      </c>
      <c r="B45" s="33" t="str">
        <f t="shared" si="0"/>
        <v>-</v>
      </c>
      <c r="C45" s="34" t="s">
        <v>110</v>
      </c>
      <c r="D45" s="176"/>
    </row>
    <row r="46" spans="1:7">
      <c r="A46" s="173" t="s">
        <v>72</v>
      </c>
      <c r="B46" s="33">
        <f t="shared" si="0"/>
        <v>115.99737704918036</v>
      </c>
      <c r="C46" s="34" t="s">
        <v>110</v>
      </c>
      <c r="D46" s="176"/>
    </row>
    <row r="47" spans="1:7">
      <c r="A47" s="173" t="s">
        <v>73</v>
      </c>
      <c r="B47" s="33">
        <f t="shared" si="0"/>
        <v>735.8583606557379</v>
      </c>
      <c r="C47" s="34" t="s">
        <v>110</v>
      </c>
      <c r="D47" s="176"/>
    </row>
    <row r="48" spans="1:7">
      <c r="A48" s="173" t="s">
        <v>74</v>
      </c>
      <c r="B48" s="33">
        <f t="shared" si="0"/>
        <v>253.74426229508205</v>
      </c>
      <c r="C48" s="33">
        <f>B48*10</f>
        <v>2537.4426229508204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2656.3999999999996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187</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40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20274.249999999996</v>
      </c>
      <c r="C5" s="17">
        <f>IF(ISERROR('Eigen informatie GS &amp; warmtenet'!B58),0,'Eigen informatie GS &amp; warmtenet'!B58)</f>
        <v>0</v>
      </c>
      <c r="D5" s="30">
        <f>SUM(D6:D12)</f>
        <v>15483.712156000001</v>
      </c>
      <c r="E5" s="17">
        <f>SUM(E6:E12)</f>
        <v>196.92899095427802</v>
      </c>
      <c r="F5" s="17">
        <f>SUM(F6:F12)</f>
        <v>3631.6916605412766</v>
      </c>
      <c r="G5" s="18"/>
      <c r="H5" s="17"/>
      <c r="I5" s="17"/>
      <c r="J5" s="17">
        <f>SUM(J6:J12)</f>
        <v>0</v>
      </c>
      <c r="K5" s="17"/>
      <c r="L5" s="17"/>
      <c r="M5" s="17"/>
      <c r="N5" s="17">
        <f>SUM(N6:N12)</f>
        <v>994.69478902032029</v>
      </c>
      <c r="O5" s="17">
        <f>B38*B39*B40</f>
        <v>1.5633333333333335</v>
      </c>
      <c r="P5" s="17">
        <f>B46*B47*B48/1000-B46*B47*B48/1000/B49</f>
        <v>19.066666666666666</v>
      </c>
      <c r="R5" s="32"/>
    </row>
    <row r="6" spans="1:18">
      <c r="A6" s="32" t="s">
        <v>53</v>
      </c>
      <c r="B6" s="37">
        <f>B26</f>
        <v>10784.016</v>
      </c>
      <c r="C6" s="33"/>
      <c r="D6" s="37">
        <f>IF(ISERROR(TER_kantoor_gas_kWh/1000),0,TER_kantoor_gas_kWh/1000)*0.902</f>
        <v>7246.4055180000005</v>
      </c>
      <c r="E6" s="33">
        <f>$C$26*'E Balans VL '!I12/100/3.6*1000000</f>
        <v>41.898185269212192</v>
      </c>
      <c r="F6" s="33">
        <f>$C$26*('E Balans VL '!L12+'E Balans VL '!N12)/100/3.6*1000000</f>
        <v>1640.150706877741</v>
      </c>
      <c r="G6" s="34"/>
      <c r="H6" s="33"/>
      <c r="I6" s="33"/>
      <c r="J6" s="33">
        <f>$C$26*('E Balans VL '!D12+'E Balans VL '!E12)/100/3.6*1000000</f>
        <v>0</v>
      </c>
      <c r="K6" s="33"/>
      <c r="L6" s="33"/>
      <c r="M6" s="33"/>
      <c r="N6" s="33">
        <f>$C$26*'E Balans VL '!Y12/100/3.6*1000000</f>
        <v>5.9432847093014169</v>
      </c>
      <c r="O6" s="33"/>
      <c r="P6" s="33"/>
      <c r="R6" s="32"/>
    </row>
    <row r="7" spans="1:18">
      <c r="A7" s="32" t="s">
        <v>52</v>
      </c>
      <c r="B7" s="37">
        <f t="shared" ref="B7:B12" si="0">B27</f>
        <v>1266.6690000000001</v>
      </c>
      <c r="C7" s="33"/>
      <c r="D7" s="37">
        <f>IF(ISERROR(TER_horeca_gas_kWh/1000),0,TER_horeca_gas_kWh/1000)*0.902</f>
        <v>458.11587800000001</v>
      </c>
      <c r="E7" s="33">
        <f>$C$27*'E Balans VL '!I9/100/3.6*1000000</f>
        <v>71.351803421182041</v>
      </c>
      <c r="F7" s="33">
        <f>$C$27*('E Balans VL '!L9+'E Balans VL '!N9)/100/3.6*1000000</f>
        <v>365.23150567504365</v>
      </c>
      <c r="G7" s="34"/>
      <c r="H7" s="33"/>
      <c r="I7" s="33"/>
      <c r="J7" s="33">
        <f>$C$27*('E Balans VL '!D9+'E Balans VL '!E9)/100/3.6*1000000</f>
        <v>0</v>
      </c>
      <c r="K7" s="33"/>
      <c r="L7" s="33"/>
      <c r="M7" s="33"/>
      <c r="N7" s="33">
        <f>$C$27*'E Balans VL '!Y9/100/3.6*1000000</f>
        <v>0.34972072866857418</v>
      </c>
      <c r="O7" s="33"/>
      <c r="P7" s="33"/>
      <c r="R7" s="32"/>
    </row>
    <row r="8" spans="1:18">
      <c r="A8" s="6" t="s">
        <v>51</v>
      </c>
      <c r="B8" s="37">
        <f t="shared" si="0"/>
        <v>5250.0919999999996</v>
      </c>
      <c r="C8" s="33"/>
      <c r="D8" s="37">
        <f>IF(ISERROR(TER_handel_gas_kWh/1000),0,TER_handel_gas_kWh/1000)*0.902</f>
        <v>3403.9576780000002</v>
      </c>
      <c r="E8" s="33">
        <f>$C$28*'E Balans VL '!I13/100/3.6*1000000</f>
        <v>75.671637510316117</v>
      </c>
      <c r="F8" s="33">
        <f>$C$28*('E Balans VL '!L13+'E Balans VL '!N13)/100/3.6*1000000</f>
        <v>912.06324679228419</v>
      </c>
      <c r="G8" s="34"/>
      <c r="H8" s="33"/>
      <c r="I8" s="33"/>
      <c r="J8" s="33">
        <f>$C$28*('E Balans VL '!D13+'E Balans VL '!E13)/100/3.6*1000000</f>
        <v>0</v>
      </c>
      <c r="K8" s="33"/>
      <c r="L8" s="33"/>
      <c r="M8" s="33"/>
      <c r="N8" s="33">
        <f>$C$28*'E Balans VL '!Y13/100/3.6*1000000</f>
        <v>15.729860084281245</v>
      </c>
      <c r="O8" s="33"/>
      <c r="P8" s="33"/>
      <c r="R8" s="32"/>
    </row>
    <row r="9" spans="1:18">
      <c r="A9" s="32" t="s">
        <v>50</v>
      </c>
      <c r="B9" s="37">
        <f t="shared" si="0"/>
        <v>1378.1179999999999</v>
      </c>
      <c r="C9" s="33"/>
      <c r="D9" s="37">
        <f>IF(ISERROR(TER_gezond_gas_kWh/1000),0,TER_gezond_gas_kWh/1000)*0.902</f>
        <v>3424.5954379999998</v>
      </c>
      <c r="E9" s="33">
        <f>$C$29*'E Balans VL '!I10/100/3.6*1000000</f>
        <v>1.4721872190680267</v>
      </c>
      <c r="F9" s="33">
        <f>$C$29*('E Balans VL '!L10+'E Balans VL '!N10)/100/3.6*1000000</f>
        <v>224.81292837767373</v>
      </c>
      <c r="G9" s="34"/>
      <c r="H9" s="33"/>
      <c r="I9" s="33"/>
      <c r="J9" s="33">
        <f>$C$29*('E Balans VL '!D10+'E Balans VL '!E10)/100/3.6*1000000</f>
        <v>0</v>
      </c>
      <c r="K9" s="33"/>
      <c r="L9" s="33"/>
      <c r="M9" s="33"/>
      <c r="N9" s="33">
        <f>$C$29*'E Balans VL '!Y10/100/3.6*1000000</f>
        <v>14.186938471556893</v>
      </c>
      <c r="O9" s="33"/>
      <c r="P9" s="33"/>
      <c r="R9" s="32"/>
    </row>
    <row r="10" spans="1:18">
      <c r="A10" s="32" t="s">
        <v>49</v>
      </c>
      <c r="B10" s="37">
        <f t="shared" si="0"/>
        <v>1377.0029999999999</v>
      </c>
      <c r="C10" s="33"/>
      <c r="D10" s="37">
        <f>IF(ISERROR(TER_ander_gas_kWh/1000),0,TER_ander_gas_kWh/1000)*0.902</f>
        <v>481.25307999999995</v>
      </c>
      <c r="E10" s="33">
        <f>$C$30*'E Balans VL '!I14/100/3.6*1000000</f>
        <v>6.3326273392948913</v>
      </c>
      <c r="F10" s="33">
        <f>$C$30*('E Balans VL '!L14+'E Balans VL '!N14)/100/3.6*1000000</f>
        <v>412.73123367844585</v>
      </c>
      <c r="G10" s="34"/>
      <c r="H10" s="33"/>
      <c r="I10" s="33"/>
      <c r="J10" s="33">
        <f>$C$30*('E Balans VL '!D14+'E Balans VL '!E14)/100/3.6*1000000</f>
        <v>0</v>
      </c>
      <c r="K10" s="33"/>
      <c r="L10" s="33"/>
      <c r="M10" s="33"/>
      <c r="N10" s="33">
        <f>$C$30*'E Balans VL '!Y14/100/3.6*1000000</f>
        <v>958.48498502651216</v>
      </c>
      <c r="O10" s="33"/>
      <c r="P10" s="33"/>
      <c r="R10" s="32"/>
    </row>
    <row r="11" spans="1:18">
      <c r="A11" s="32" t="s">
        <v>54</v>
      </c>
      <c r="B11" s="37">
        <f t="shared" si="0"/>
        <v>218.352</v>
      </c>
      <c r="C11" s="33"/>
      <c r="D11" s="37">
        <f>IF(ISERROR(TER_onderwijs_gas_kWh/1000),0,TER_onderwijs_gas_kWh/1000)*0.902</f>
        <v>469.38456399999995</v>
      </c>
      <c r="E11" s="33">
        <f>$C$31*'E Balans VL '!I11/100/3.6*1000000</f>
        <v>0.20255019520474268</v>
      </c>
      <c r="F11" s="33">
        <f>$C$31*('E Balans VL '!L11+'E Balans VL '!N11)/100/3.6*1000000</f>
        <v>76.702039140088246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3645.0000000000005</v>
      </c>
      <c r="C13" s="249">
        <f ca="1">'lokale energieproductie'!O38+'lokale energieproductie'!O31</f>
        <v>4100.6250000000009</v>
      </c>
      <c r="D13" s="310">
        <f ca="1">('lokale energieproductie'!P31+'lokale energieproductie'!P38)*(-1)</f>
        <v>0</v>
      </c>
      <c r="E13" s="250"/>
      <c r="F13" s="310">
        <f ca="1">('lokale energieproductie'!S31+'lokale energieproductie'!S38)*(-1)</f>
        <v>-2278.125</v>
      </c>
      <c r="G13" s="251"/>
      <c r="H13" s="250"/>
      <c r="I13" s="250"/>
      <c r="J13" s="250"/>
      <c r="K13" s="250"/>
      <c r="L13" s="310">
        <f ca="1">('lokale energieproductie'!U31+'lokale energieproductie'!T31+'lokale energieproductie'!U38+'lokale energieproductie'!T38)*(-1)</f>
        <v>-6834.375</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23919.249999999996</v>
      </c>
      <c r="C16" s="21">
        <f t="shared" ca="1" si="1"/>
        <v>4100.6250000000009</v>
      </c>
      <c r="D16" s="21">
        <f t="shared" ca="1" si="1"/>
        <v>15483.712156000001</v>
      </c>
      <c r="E16" s="21">
        <f t="shared" si="1"/>
        <v>196.92899095427802</v>
      </c>
      <c r="F16" s="21">
        <f t="shared" ca="1" si="1"/>
        <v>1353.5666605412766</v>
      </c>
      <c r="G16" s="21">
        <f t="shared" si="1"/>
        <v>0</v>
      </c>
      <c r="H16" s="21">
        <f t="shared" si="1"/>
        <v>0</v>
      </c>
      <c r="I16" s="21">
        <f t="shared" si="1"/>
        <v>0</v>
      </c>
      <c r="J16" s="21">
        <f t="shared" si="1"/>
        <v>0</v>
      </c>
      <c r="K16" s="21">
        <f t="shared" si="1"/>
        <v>0</v>
      </c>
      <c r="L16" s="21">
        <f t="shared" ca="1" si="1"/>
        <v>0</v>
      </c>
      <c r="M16" s="21">
        <f t="shared" si="1"/>
        <v>0</v>
      </c>
      <c r="N16" s="21">
        <f t="shared" ca="1" si="1"/>
        <v>994.69478902032029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0.19623247664695098</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4693.7336670375817</v>
      </c>
      <c r="C20" s="23">
        <f t="shared" ref="C20:P20" ca="1" si="2">C16*C18</f>
        <v>322.01966911764708</v>
      </c>
      <c r="D20" s="23">
        <f t="shared" ca="1" si="2"/>
        <v>3127.7098555120006</v>
      </c>
      <c r="E20" s="23">
        <f t="shared" si="2"/>
        <v>44.702880946621114</v>
      </c>
      <c r="F20" s="23">
        <f t="shared" ca="1" si="2"/>
        <v>361.4022983645209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10784.016</v>
      </c>
      <c r="C26" s="39">
        <f>IF(ISERROR(B26*3.6/1000000/'E Balans VL '!Z12*100),0,B26*3.6/1000000/'E Balans VL '!Z12*100)</f>
        <v>0.22905784154711395</v>
      </c>
      <c r="D26" s="239" t="s">
        <v>689</v>
      </c>
      <c r="F26" s="6"/>
    </row>
    <row r="27" spans="1:18">
      <c r="A27" s="233" t="s">
        <v>52</v>
      </c>
      <c r="B27" s="33">
        <f>IF(ISERROR(TER_horeca_ele_kWh/1000),0,TER_horeca_ele_kWh/1000)</f>
        <v>1266.6690000000001</v>
      </c>
      <c r="C27" s="39">
        <f>IF(ISERROR(B27*3.6/1000000/'E Balans VL '!Z9*100),0,B27*3.6/1000000/'E Balans VL '!Z9*100)</f>
        <v>9.8491228863384878E-2</v>
      </c>
      <c r="D27" s="239" t="s">
        <v>689</v>
      </c>
      <c r="F27" s="6"/>
    </row>
    <row r="28" spans="1:18">
      <c r="A28" s="173" t="s">
        <v>51</v>
      </c>
      <c r="B28" s="33">
        <f>IF(ISERROR(TER_handel_ele_kWh/1000),0,TER_handel_ele_kWh/1000)</f>
        <v>5250.0919999999996</v>
      </c>
      <c r="C28" s="39">
        <f>IF(ISERROR(B28*3.6/1000000/'E Balans VL '!Z13*100),0,B28*3.6/1000000/'E Balans VL '!Z13*100)</f>
        <v>0.15021131086019324</v>
      </c>
      <c r="D28" s="239" t="s">
        <v>689</v>
      </c>
      <c r="F28" s="6"/>
    </row>
    <row r="29" spans="1:18">
      <c r="A29" s="233" t="s">
        <v>50</v>
      </c>
      <c r="B29" s="33">
        <f>IF(ISERROR(TER_gezond_ele_kWh/1000),0,TER_gezond_ele_kWh/1000)</f>
        <v>1378.1179999999999</v>
      </c>
      <c r="C29" s="39">
        <f>IF(ISERROR(B29*3.6/1000000/'E Balans VL '!Z10*100),0,B29*3.6/1000000/'E Balans VL '!Z10*100)</f>
        <v>0.15024688562166857</v>
      </c>
      <c r="D29" s="239" t="s">
        <v>689</v>
      </c>
      <c r="F29" s="6"/>
    </row>
    <row r="30" spans="1:18">
      <c r="A30" s="233" t="s">
        <v>49</v>
      </c>
      <c r="B30" s="33">
        <f>IF(ISERROR(TER_ander_ele_kWh/1000),0,TER_ander_ele_kWh/1000)</f>
        <v>1377.0029999999999</v>
      </c>
      <c r="C30" s="39">
        <f>IF(ISERROR(B30*3.6/1000000/'E Balans VL '!Z14*100),0,B30*3.6/1000000/'E Balans VL '!Z14*100)</f>
        <v>0.10076595588274218</v>
      </c>
      <c r="D30" s="239" t="s">
        <v>689</v>
      </c>
      <c r="F30" s="6"/>
    </row>
    <row r="31" spans="1:18">
      <c r="A31" s="233" t="s">
        <v>54</v>
      </c>
      <c r="B31" s="33">
        <f>IF(ISERROR(TER_onderwijs_ele_kWh/1000),0,TER_onderwijs_ele_kWh/1000)</f>
        <v>218.352</v>
      </c>
      <c r="C31" s="39">
        <f>IF(ISERROR(B31*3.6/1000000/'E Balans VL '!Z11*100),0,B31*3.6/1000000/'E Balans VL '!Z11*100)</f>
        <v>4.3856161343724102E-2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52244.955000000002</v>
      </c>
      <c r="C5" s="17">
        <f>IF(ISERROR('Eigen informatie GS &amp; warmtenet'!B59),0,'Eigen informatie GS &amp; warmtenet'!B59)</f>
        <v>0</v>
      </c>
      <c r="D5" s="30">
        <f>SUM(D6:D15)</f>
        <v>89642.606394000002</v>
      </c>
      <c r="E5" s="17">
        <f>SUM(E6:E15)</f>
        <v>3952.3252173080855</v>
      </c>
      <c r="F5" s="17">
        <f>SUM(F6:F15)</f>
        <v>55882.507558892939</v>
      </c>
      <c r="G5" s="18"/>
      <c r="H5" s="17"/>
      <c r="I5" s="17"/>
      <c r="J5" s="17">
        <f>SUM(J6:J15)</f>
        <v>2.5971444402672073</v>
      </c>
      <c r="K5" s="17"/>
      <c r="L5" s="17"/>
      <c r="M5" s="17"/>
      <c r="N5" s="17">
        <f>SUM(N6:N15)</f>
        <v>10540.180952979936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15092.205</v>
      </c>
      <c r="C8" s="33"/>
      <c r="D8" s="37">
        <f>IF( ISERROR(IND_metaal_Gas_kWH/1000),0,IND_metaal_Gas_kWH/1000)*0.902</f>
        <v>23323.253932</v>
      </c>
      <c r="E8" s="33">
        <f>C30*'E Balans VL '!I18/100/3.6*1000000</f>
        <v>433.50477678792942</v>
      </c>
      <c r="F8" s="33">
        <f>C30*'E Balans VL '!L18/100/3.6*1000000+C30*'E Balans VL '!N18/100/3.6*1000000</f>
        <v>3870.8603176835209</v>
      </c>
      <c r="G8" s="34"/>
      <c r="H8" s="33"/>
      <c r="I8" s="33"/>
      <c r="J8" s="40">
        <f>C30*'E Balans VL '!D18/100/3.6*1000000+C30*'E Balans VL '!E18/100/3.6*1000000</f>
        <v>0</v>
      </c>
      <c r="K8" s="33"/>
      <c r="L8" s="33"/>
      <c r="M8" s="33"/>
      <c r="N8" s="33">
        <f>C30*'E Balans VL '!Y18/100/3.6*1000000</f>
        <v>409.78417330514924</v>
      </c>
      <c r="O8" s="33"/>
      <c r="P8" s="33"/>
      <c r="R8" s="32"/>
    </row>
    <row r="9" spans="1:18">
      <c r="A9" s="6" t="s">
        <v>32</v>
      </c>
      <c r="B9" s="37">
        <f t="shared" si="0"/>
        <v>2720.8679999999999</v>
      </c>
      <c r="C9" s="33"/>
      <c r="D9" s="37">
        <f>IF( ISERROR(IND_andere_gas_kWh/1000),0,IND_andere_gas_kWh/1000)*0.902</f>
        <v>1163.1786100000002</v>
      </c>
      <c r="E9" s="33">
        <f>C31*'E Balans VL '!I19/100/3.6*1000000</f>
        <v>736.47206950843645</v>
      </c>
      <c r="F9" s="33">
        <f>C31*'E Balans VL '!L19/100/3.6*1000000+C31*'E Balans VL '!N19/100/3.6*1000000</f>
        <v>1812.3860159797478</v>
      </c>
      <c r="G9" s="34"/>
      <c r="H9" s="33"/>
      <c r="I9" s="33"/>
      <c r="J9" s="40">
        <f>C31*'E Balans VL '!D19/100/3.6*1000000+C31*'E Balans VL '!E19/100/3.6*1000000</f>
        <v>0</v>
      </c>
      <c r="K9" s="33"/>
      <c r="L9" s="33"/>
      <c r="M9" s="33"/>
      <c r="N9" s="33">
        <f>C31*'E Balans VL '!Y19/100/3.6*1000000</f>
        <v>230.03136570769345</v>
      </c>
      <c r="O9" s="33"/>
      <c r="P9" s="33"/>
      <c r="R9" s="32"/>
    </row>
    <row r="10" spans="1:18">
      <c r="A10" s="6" t="s">
        <v>40</v>
      </c>
      <c r="B10" s="37">
        <f t="shared" si="0"/>
        <v>33530.612000000001</v>
      </c>
      <c r="C10" s="33"/>
      <c r="D10" s="37">
        <f>IF( ISERROR(IND_voed_gas_kWh/1000),0,IND_voed_gas_kWh/1000)*0.902</f>
        <v>64320.591720000004</v>
      </c>
      <c r="E10" s="33">
        <f>C32*'E Balans VL '!I20/100/3.6*1000000</f>
        <v>2734.8337492965256</v>
      </c>
      <c r="F10" s="33">
        <f>C32*'E Balans VL '!L20/100/3.6*1000000+C32*'E Balans VL '!N20/100/3.6*1000000</f>
        <v>49997.184655678939</v>
      </c>
      <c r="G10" s="34"/>
      <c r="H10" s="33"/>
      <c r="I10" s="33"/>
      <c r="J10" s="40">
        <f>C32*'E Balans VL '!D20/100/3.6*1000000+C32*'E Balans VL '!E20/100/3.6*1000000</f>
        <v>0.44356929605705619</v>
      </c>
      <c r="K10" s="33"/>
      <c r="L10" s="33"/>
      <c r="M10" s="33"/>
      <c r="N10" s="33">
        <f>C32*'E Balans VL '!Y20/100/3.6*1000000</f>
        <v>9850.1106378809618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61.034999999999997</v>
      </c>
      <c r="C13" s="33"/>
      <c r="D13" s="37">
        <f>IF( ISERROR(IND_papier_gas_kWh/1000),0,IND_papier_gas_kWh/1000)*0.902</f>
        <v>0</v>
      </c>
      <c r="E13" s="33">
        <f>C35*'E Balans VL '!I23/100/3.6*1000000</f>
        <v>0.63945281720007563</v>
      </c>
      <c r="F13" s="33">
        <f>C35*'E Balans VL '!L23/100/3.6*1000000+C35*'E Balans VL '!N23/100/3.6*1000000</f>
        <v>4.5544425182116246</v>
      </c>
      <c r="G13" s="34"/>
      <c r="H13" s="33"/>
      <c r="I13" s="33"/>
      <c r="J13" s="40">
        <f>C35*'E Balans VL '!D23/100/3.6*1000000+C35*'E Balans VL '!E23/100/3.6*1000000</f>
        <v>0</v>
      </c>
      <c r="K13" s="33"/>
      <c r="L13" s="33"/>
      <c r="M13" s="33"/>
      <c r="N13" s="33">
        <f>C35*'E Balans VL '!Y23/100/3.6*1000000</f>
        <v>11.25963777184425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840.23500000000001</v>
      </c>
      <c r="C15" s="33"/>
      <c r="D15" s="37">
        <f>IF( ISERROR(IND_rest_gas_kWh/1000),0,IND_rest_gas_kWh/1000)*0.902</f>
        <v>835.582132</v>
      </c>
      <c r="E15" s="33">
        <f>C37*'E Balans VL '!I15/100/3.6*1000000</f>
        <v>46.8751688979942</v>
      </c>
      <c r="F15" s="33">
        <f>C37*'E Balans VL '!L15/100/3.6*1000000+C37*'E Balans VL '!N15/100/3.6*1000000</f>
        <v>197.52212703252542</v>
      </c>
      <c r="G15" s="34"/>
      <c r="H15" s="33"/>
      <c r="I15" s="33"/>
      <c r="J15" s="40">
        <f>C37*'E Balans VL '!D15/100/3.6*1000000+C37*'E Balans VL '!E15/100/3.6*1000000</f>
        <v>2.1535751442101509</v>
      </c>
      <c r="K15" s="33"/>
      <c r="L15" s="33"/>
      <c r="M15" s="33"/>
      <c r="N15" s="33">
        <f>C37*'E Balans VL '!Y15/100/3.6*1000000</f>
        <v>38.99513831428753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52244.955000000002</v>
      </c>
      <c r="C18" s="21">
        <f>C5+C16</f>
        <v>0</v>
      </c>
      <c r="D18" s="21">
        <f>MAX((D5+D16),0)</f>
        <v>89642.606394000002</v>
      </c>
      <c r="E18" s="21">
        <f>MAX((E5+E16),0)</f>
        <v>3952.3252173080855</v>
      </c>
      <c r="F18" s="21">
        <f>MAX((F5+F16),0)</f>
        <v>55882.507558892939</v>
      </c>
      <c r="G18" s="21"/>
      <c r="H18" s="21"/>
      <c r="I18" s="21"/>
      <c r="J18" s="21">
        <f>MAX((J5+J16),0)</f>
        <v>2.5971444402672073</v>
      </c>
      <c r="K18" s="21"/>
      <c r="L18" s="21">
        <f>MAX((L5+L16),0)</f>
        <v>0</v>
      </c>
      <c r="M18" s="21"/>
      <c r="N18" s="21">
        <f>MAX((N5+N16),0)</f>
        <v>10540.180952979936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0.19623247664695098</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10252.156911958506</v>
      </c>
      <c r="C22" s="23">
        <f ca="1">C18*C20</f>
        <v>0</v>
      </c>
      <c r="D22" s="23">
        <f>D18*D20</f>
        <v>18107.806491588002</v>
      </c>
      <c r="E22" s="23">
        <f>E18*E20</f>
        <v>897.17782432893546</v>
      </c>
      <c r="F22" s="23">
        <f>F18*F20</f>
        <v>14920.629518224416</v>
      </c>
      <c r="G22" s="23"/>
      <c r="H22" s="23"/>
      <c r="I22" s="23"/>
      <c r="J22" s="23">
        <f>J18*J20</f>
        <v>0.91938913185459137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15092.205</v>
      </c>
      <c r="C30" s="39">
        <f>IF(ISERROR(B30*3.6/1000000/'E Balans VL '!Z18*100),0,B30*3.6/1000000/'E Balans VL '!Z18*100)</f>
        <v>1.4850344457046509</v>
      </c>
      <c r="D30" s="239" t="s">
        <v>689</v>
      </c>
    </row>
    <row r="31" spans="1:18">
      <c r="A31" s="6" t="s">
        <v>32</v>
      </c>
      <c r="B31" s="37">
        <f>IF( ISERROR(IND_ander_ele_kWh/1000),0,IND_ander_ele_kWh/1000)</f>
        <v>2720.8679999999999</v>
      </c>
      <c r="C31" s="39">
        <f>IF(ISERROR(B31*3.6/1000000/'E Balans VL '!Z19*100),0,B31*3.6/1000000/'E Balans VL '!Z19*100)</f>
        <v>0.11849163098497639</v>
      </c>
      <c r="D31" s="239" t="s">
        <v>689</v>
      </c>
    </row>
    <row r="32" spans="1:18">
      <c r="A32" s="173" t="s">
        <v>40</v>
      </c>
      <c r="B32" s="37">
        <f>IF( ISERROR(IND_voed_ele_kWh/1000),0,IND_voed_ele_kWh/1000)</f>
        <v>33530.612000000001</v>
      </c>
      <c r="C32" s="39">
        <f>IF(ISERROR(B32*3.6/1000000/'E Balans VL '!Z20*100),0,B32*3.6/1000000/'E Balans VL '!Z20*100)</f>
        <v>6.3619500629694787</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61.034999999999997</v>
      </c>
      <c r="C35" s="39">
        <f>IF(ISERROR(B35*3.6/1000000/'E Balans VL '!Z22*100),0,B35*3.6/1000000/'E Balans VL '!Z22*100)</f>
        <v>8.5821338943663089E-3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840.23500000000001</v>
      </c>
      <c r="C37" s="39">
        <f>IF(ISERROR(B37*3.6/1000000/'E Balans VL '!Z15*100),0,B37*3.6/1000000/'E Balans VL '!Z15*100)</f>
        <v>6.4750426963090524E-3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1376.71</v>
      </c>
      <c r="C5" s="17">
        <f>'Eigen informatie GS &amp; warmtenet'!B60</f>
        <v>0</v>
      </c>
      <c r="D5" s="30">
        <f>IF(ISERROR(SUM(LB_lb_gas_kWh,LB_rest_gas_kWh)/1000),0,SUM(LB_lb_gas_kWh,LB_rest_gas_kWh)/1000)*0.902</f>
        <v>4011.2733759999996</v>
      </c>
      <c r="E5" s="17">
        <f>B17*'E Balans VL '!I25/3.6*1000000/100</f>
        <v>17.348319563081869</v>
      </c>
      <c r="F5" s="17">
        <f>B17*('E Balans VL '!L25/3.6*1000000+'E Balans VL '!N25/3.6*1000000)/100</f>
        <v>4749.9943864628112</v>
      </c>
      <c r="G5" s="18"/>
      <c r="H5" s="17"/>
      <c r="I5" s="17"/>
      <c r="J5" s="17">
        <f>('E Balans VL '!D25+'E Balans VL '!E25)/3.6*1000000*landbouw!B17/100</f>
        <v>207.04153411305589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1376.71</v>
      </c>
      <c r="C8" s="21">
        <f>C5+C6</f>
        <v>0</v>
      </c>
      <c r="D8" s="21">
        <f>MAX((D5+D6),0)</f>
        <v>4011.2733759999996</v>
      </c>
      <c r="E8" s="21">
        <f>MAX((E5+E6),0)</f>
        <v>17.348319563081869</v>
      </c>
      <c r="F8" s="21">
        <f>MAX((F5+F6),0)</f>
        <v>4749.9943864628112</v>
      </c>
      <c r="G8" s="21"/>
      <c r="H8" s="21"/>
      <c r="I8" s="21"/>
      <c r="J8" s="21">
        <f>MAX((J5+J6),0)</f>
        <v>207.04153411305589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0.19623247664695098</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270.15521292462387</v>
      </c>
      <c r="C12" s="23">
        <f ca="1">C8*C10</f>
        <v>0</v>
      </c>
      <c r="D12" s="23">
        <f>D8*D10</f>
        <v>810.27722195199999</v>
      </c>
      <c r="E12" s="23">
        <f>E8*E10</f>
        <v>3.9380685408195846</v>
      </c>
      <c r="F12" s="23">
        <f>F8*F10</f>
        <v>1268.2485011855706</v>
      </c>
      <c r="G12" s="23"/>
      <c r="H12" s="23"/>
      <c r="I12" s="23"/>
      <c r="J12" s="23">
        <f>J8*J10</f>
        <v>73.29270307602178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0.19200765361950908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182.0853015470893</v>
      </c>
      <c r="C26" s="249">
        <f>B26*'GWP N2O_CH4'!B5</f>
        <v>3823.7913324888755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118.38313492334835</v>
      </c>
      <c r="C27" s="249">
        <f>B27*'GWP N2O_CH4'!B5</f>
        <v>2486.0458333903152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3.035177767263098</v>
      </c>
      <c r="C28" s="249">
        <f>B28*'GWP N2O_CH4'!B4</f>
        <v>940.90510785156039</v>
      </c>
      <c r="D28" s="50"/>
    </row>
    <row r="29" spans="1:4">
      <c r="A29" s="41" t="s">
        <v>276</v>
      </c>
      <c r="B29" s="249">
        <f>B34*'ha_N2O bodem landbouw'!B4</f>
        <v>10.090521319719358</v>
      </c>
      <c r="C29" s="249">
        <f>B29*'GWP N2O_CH4'!B4</f>
        <v>3128.0616091130009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2.5195023462307856E-3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5.9981794947048557E-5</v>
      </c>
      <c r="C5" s="444" t="s">
        <v>210</v>
      </c>
      <c r="D5" s="429">
        <f>SUM(D6:D11)</f>
        <v>9.3946718522237312E-5</v>
      </c>
      <c r="E5" s="429">
        <f>SUM(E6:E11)</f>
        <v>3.9472452335821253E-3</v>
      </c>
      <c r="F5" s="442" t="s">
        <v>210</v>
      </c>
      <c r="G5" s="429">
        <f>SUM(G6:G11)</f>
        <v>1.1176745614366965</v>
      </c>
      <c r="H5" s="429">
        <f>SUM(H6:H11)</f>
        <v>0.17808475135335536</v>
      </c>
      <c r="I5" s="444" t="s">
        <v>210</v>
      </c>
      <c r="J5" s="444" t="s">
        <v>210</v>
      </c>
      <c r="K5" s="444" t="s">
        <v>210</v>
      </c>
      <c r="L5" s="444" t="s">
        <v>210</v>
      </c>
      <c r="M5" s="429">
        <f>SUM(M6:M11)</f>
        <v>5.8582027170858975E-2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8.8416388406359503E-6</v>
      </c>
      <c r="C6" s="883"/>
      <c r="D6" s="883">
        <f>vkm_GW_PW*SUMIFS(TableVerdeelsleutelVkm[CNG],TableVerdeelsleutelVkm[Voertuigtype],"Lichte voertuigen")*SUMIFS(TableECFTransport[EnergieConsumptieFactor (PJ per km)],TableECFTransport[Index],CONCATENATE($A6,"_CNG_CNG"))</f>
        <v>1.310304540809328E-5</v>
      </c>
      <c r="E6" s="883">
        <f>vkm_GW_PW*SUMIFS(TableVerdeelsleutelVkm[LPG],TableVerdeelsleutelVkm[Voertuigtype],"Lichte voertuigen")*SUMIFS(TableECFTransport[EnergieConsumptieFactor (PJ per km)],TableECFTransport[Index],CONCATENATE($A6,"_LPG_LPG"))</f>
        <v>4.693032074927591E-4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9.4448682302416279E-2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2.4128265892188271E-2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5.3643556108411731E-3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6.1846641024019414E-3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1.4369662100533876E-7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2.7924723768473511E-4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5.0146716697171498E-6</v>
      </c>
      <c r="C8" s="883"/>
      <c r="D8" s="432">
        <f>vkm_NGW_PW*SUMIFS(TableVerdeelsleutelVkm[CNG],TableVerdeelsleutelVkm[Voertuigtype],"Lichte voertuigen")*SUMIFS(TableECFTransport[EnergieConsumptieFactor (PJ per km)],TableECFTransport[Index],CONCATENATE($A8,"_CNG_CNG"))</f>
        <v>1.2611601912865883E-5</v>
      </c>
      <c r="E8" s="432">
        <f>vkm_NGW_PW*SUMIFS(TableVerdeelsleutelVkm[LPG],TableVerdeelsleutelVkm[Voertuigtype],"Lichte voertuigen")*SUMIFS(TableECFTransport[EnergieConsumptieFactor (PJ per km)],TableECFTransport[Index],CONCATENATE($A8,"_LPG_LPG"))</f>
        <v>4.2711236778717696E-4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8.1652807559664087E-2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2.2315542647051771E-2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4.7039777079665819E-3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7.0433185678860869E-4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1.8968163056601948E-8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3.1801801391160676E-5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4.6125484436695453E-5</v>
      </c>
      <c r="C10" s="883"/>
      <c r="D10" s="432">
        <f>vkm_SW_PW*SUMIFS(TableVerdeelsleutelVkm[CNG],TableVerdeelsleutelVkm[Voertuigtype],"Lichte voertuigen")*SUMIFS(TableECFTransport[EnergieConsumptieFactor (PJ per km)],TableECFTransport[Index],CONCATENATE($A10,"_CNG_CNG"))</f>
        <v>6.8232071201278157E-5</v>
      </c>
      <c r="E10" s="432">
        <f>vkm_SW_PW*SUMIFS(TableVerdeelsleutelVkm[LPG],TableVerdeelsleutelVkm[Voertuigtype],"Lichte voertuigen")*SUMIFS(TableECFTransport[EnergieConsumptieFactor (PJ per km)],TableECFTransport[Index],CONCATENATE($A10,"_LPG_LPG"))</f>
        <v>3.0508296583021894E-3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0.55660025517330869</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0.13163140990290356</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3.1131543478620603E-2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0.37808382044211691</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9.3702464276798147E-6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1.7071101334354719E-2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16.661609707513488</v>
      </c>
      <c r="C14" s="21"/>
      <c r="D14" s="21">
        <f t="shared" ref="D14:M14" si="0">((D5)*10^9/3600)+D12</f>
        <v>26.096310700621473</v>
      </c>
      <c r="E14" s="21">
        <f t="shared" si="0"/>
        <v>1096.457009328368</v>
      </c>
      <c r="F14" s="21"/>
      <c r="G14" s="21">
        <f t="shared" si="0"/>
        <v>310465.15595463791</v>
      </c>
      <c r="H14" s="21">
        <f t="shared" si="0"/>
        <v>49467.986487043156</v>
      </c>
      <c r="I14" s="21"/>
      <c r="J14" s="21"/>
      <c r="K14" s="21"/>
      <c r="L14" s="21"/>
      <c r="M14" s="21">
        <f t="shared" si="0"/>
        <v>16272.785325238603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0.19623247664695098</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3.2695489378302525</v>
      </c>
      <c r="C18" s="23"/>
      <c r="D18" s="23">
        <f t="shared" ref="D18:M18" si="1">D14*D16</f>
        <v>5.271454761525538</v>
      </c>
      <c r="E18" s="23">
        <f t="shared" si="1"/>
        <v>248.89574111753956</v>
      </c>
      <c r="F18" s="23"/>
      <c r="G18" s="23">
        <f t="shared" si="1"/>
        <v>82894.196639888323</v>
      </c>
      <c r="H18" s="23">
        <f t="shared" si="1"/>
        <v>12317.528635273746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7.7961479412330878E-3</v>
      </c>
      <c r="H50" s="321">
        <f t="shared" si="2"/>
        <v>0</v>
      </c>
      <c r="I50" s="321">
        <f t="shared" si="2"/>
        <v>0</v>
      </c>
      <c r="J50" s="321">
        <f t="shared" si="2"/>
        <v>0</v>
      </c>
      <c r="K50" s="321">
        <f t="shared" si="2"/>
        <v>0</v>
      </c>
      <c r="L50" s="321">
        <f t="shared" si="2"/>
        <v>0</v>
      </c>
      <c r="M50" s="321">
        <f t="shared" si="2"/>
        <v>3.4701299455654205E-4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7.7961479412330878E-3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3.4701299455654205E-4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2165.5966503425243</v>
      </c>
      <c r="H54" s="21">
        <f t="shared" si="3"/>
        <v>0</v>
      </c>
      <c r="I54" s="21">
        <f t="shared" si="3"/>
        <v>0</v>
      </c>
      <c r="J54" s="21">
        <f t="shared" si="3"/>
        <v>0</v>
      </c>
      <c r="K54" s="21">
        <f t="shared" si="3"/>
        <v>0</v>
      </c>
      <c r="L54" s="21">
        <f t="shared" si="3"/>
        <v>0</v>
      </c>
      <c r="M54" s="21">
        <f t="shared" si="3"/>
        <v>96.39249848792835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0.19623247664695098</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578.21430564145408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9759.480782592469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3645.0000000000005</v>
      </c>
      <c r="C8" s="556">
        <f>B48</f>
        <v>0</v>
      </c>
      <c r="D8" s="1015"/>
      <c r="E8" s="1015">
        <f>E48</f>
        <v>1072.0588235294117</v>
      </c>
      <c r="F8" s="1016"/>
      <c r="G8" s="557"/>
      <c r="H8" s="1015">
        <f>I48</f>
        <v>0</v>
      </c>
      <c r="I8" s="1015">
        <f>G48+F48</f>
        <v>3216.1764705882347</v>
      </c>
      <c r="J8" s="1015">
        <f>H48+D48+C48</f>
        <v>0</v>
      </c>
      <c r="K8" s="1015"/>
      <c r="L8" s="1015"/>
      <c r="M8" s="1015"/>
      <c r="N8" s="558"/>
      <c r="O8" s="559">
        <f>C8*$C$12+D8*$D$12+E8*$E$12+F8*$F$12+G8*$G$12+H8*$H$12+I8*$I$12+J8*$J$12</f>
        <v>286.23970588235295</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13404.480782592469</v>
      </c>
      <c r="C10" s="569">
        <f t="shared" ref="C10:L10" si="0">SUM(C8:C9)</f>
        <v>0</v>
      </c>
      <c r="D10" s="569">
        <f t="shared" si="0"/>
        <v>0</v>
      </c>
      <c r="E10" s="569">
        <f t="shared" si="0"/>
        <v>1072.0588235294117</v>
      </c>
      <c r="F10" s="569">
        <f t="shared" si="0"/>
        <v>0</v>
      </c>
      <c r="G10" s="569">
        <f t="shared" si="0"/>
        <v>0</v>
      </c>
      <c r="H10" s="569">
        <f t="shared" si="0"/>
        <v>0</v>
      </c>
      <c r="I10" s="569">
        <f t="shared" si="0"/>
        <v>3216.1764705882347</v>
      </c>
      <c r="J10" s="569">
        <f t="shared" si="0"/>
        <v>0</v>
      </c>
      <c r="K10" s="569">
        <f t="shared" si="0"/>
        <v>0</v>
      </c>
      <c r="L10" s="569">
        <f t="shared" si="0"/>
        <v>0</v>
      </c>
      <c r="M10" s="1018"/>
      <c r="N10" s="1018"/>
      <c r="O10" s="570">
        <f>SUM(O4:O9)</f>
        <v>286.23970588235295</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4100.6250000000009</v>
      </c>
      <c r="C17" s="581">
        <f>B49</f>
        <v>0</v>
      </c>
      <c r="D17" s="582"/>
      <c r="E17" s="582">
        <f>E49</f>
        <v>1206.0661764705883</v>
      </c>
      <c r="F17" s="1021"/>
      <c r="G17" s="583"/>
      <c r="H17" s="581">
        <f>I49</f>
        <v>0</v>
      </c>
      <c r="I17" s="582">
        <f>G49+F49</f>
        <v>3618.1985294117649</v>
      </c>
      <c r="J17" s="582">
        <f>H49+D49+C49</f>
        <v>0</v>
      </c>
      <c r="K17" s="582"/>
      <c r="L17" s="582"/>
      <c r="M17" s="582"/>
      <c r="N17" s="1022"/>
      <c r="O17" s="584">
        <f>C17*$C$22+E17*$E$22+H17*$H$22+I17*$I$22+J17*$J$22+D17*$D$22+F17*$F$22+G17*$G$22+K17*$K$22+L17*$L$22</f>
        <v>322.01966911764708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4100.6250000000009</v>
      </c>
      <c r="C20" s="568">
        <f>SUM(C17:C19)</f>
        <v>0</v>
      </c>
      <c r="D20" s="568">
        <f t="shared" ref="D20:L20" si="1">SUM(D17:D19)</f>
        <v>0</v>
      </c>
      <c r="E20" s="568">
        <f t="shared" si="1"/>
        <v>1206.0661764705883</v>
      </c>
      <c r="F20" s="568">
        <f t="shared" si="1"/>
        <v>0</v>
      </c>
      <c r="G20" s="568">
        <f t="shared" si="1"/>
        <v>0</v>
      </c>
      <c r="H20" s="568">
        <f t="shared" si="1"/>
        <v>0</v>
      </c>
      <c r="I20" s="568">
        <f t="shared" si="1"/>
        <v>3618.1985294117649</v>
      </c>
      <c r="J20" s="568">
        <f t="shared" si="1"/>
        <v>0</v>
      </c>
      <c r="K20" s="568">
        <f t="shared" si="1"/>
        <v>0</v>
      </c>
      <c r="L20" s="568">
        <f t="shared" si="1"/>
        <v>0</v>
      </c>
      <c r="M20" s="568"/>
      <c r="N20" s="568"/>
      <c r="O20" s="588">
        <f>SUM(O17:O19)</f>
        <v>322.01966911764708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71037</v>
      </c>
      <c r="C28" s="787">
        <v>3560</v>
      </c>
      <c r="D28" s="640" t="s">
        <v>920</v>
      </c>
      <c r="E28" s="639" t="s">
        <v>921</v>
      </c>
      <c r="F28" s="639" t="s">
        <v>922</v>
      </c>
      <c r="G28" s="639" t="s">
        <v>923</v>
      </c>
      <c r="H28" s="639" t="s">
        <v>924</v>
      </c>
      <c r="I28" s="639" t="s">
        <v>921</v>
      </c>
      <c r="J28" s="786">
        <v>40575</v>
      </c>
      <c r="K28" s="786">
        <v>40616</v>
      </c>
      <c r="L28" s="639" t="s">
        <v>925</v>
      </c>
      <c r="M28" s="639">
        <v>810</v>
      </c>
      <c r="N28" s="639">
        <v>3645.0000000000005</v>
      </c>
      <c r="O28" s="639">
        <v>4100.6250000000009</v>
      </c>
      <c r="P28" s="639">
        <v>0</v>
      </c>
      <c r="Q28" s="639">
        <v>0</v>
      </c>
      <c r="R28" s="639">
        <v>0</v>
      </c>
      <c r="S28" s="639">
        <v>2278.125</v>
      </c>
      <c r="T28" s="639">
        <v>6834.375</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810</v>
      </c>
      <c r="N29" s="597">
        <f>SUM(N28:N28)</f>
        <v>3645.0000000000005</v>
      </c>
      <c r="O29" s="597">
        <f>SUM(O28:O28)</f>
        <v>4100.6250000000009</v>
      </c>
      <c r="P29" s="597">
        <f>SUM(P28:P28)</f>
        <v>0</v>
      </c>
      <c r="Q29" s="597">
        <f>SUM(Q28:Q28)</f>
        <v>0</v>
      </c>
      <c r="R29" s="597">
        <f>SUM(R28:R28)</f>
        <v>0</v>
      </c>
      <c r="S29" s="597">
        <f>SUM(S28:S28)</f>
        <v>2278.125</v>
      </c>
      <c r="T29" s="597">
        <f>SUM(T28:T28)</f>
        <v>6834.375</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810</v>
      </c>
      <c r="N31" s="597">
        <f ca="1">SUMIF($Z$28:AD28,"tertiair",N28:N28)</f>
        <v>3645.0000000000005</v>
      </c>
      <c r="O31" s="597">
        <f ca="1">SUMIF($Z$28:AE28,"tertiair",O28:O28)</f>
        <v>4100.6250000000009</v>
      </c>
      <c r="P31" s="597">
        <f ca="1">SUMIF($Z$28:AF28,"tertiair",P28:P28)</f>
        <v>0</v>
      </c>
      <c r="Q31" s="597">
        <f ca="1">SUMIF($Z$28:AG28,"tertiair",Q28:Q28)</f>
        <v>0</v>
      </c>
      <c r="R31" s="597">
        <f ca="1">SUMIF($Z$28:AH28,"tertiair",R28:R28)</f>
        <v>0</v>
      </c>
      <c r="S31" s="597">
        <f ca="1">SUMIF($Z$28:AI28,"tertiair",S28:S28)</f>
        <v>2278.125</v>
      </c>
      <c r="T31" s="597">
        <f ca="1">SUMIF($Z$28:AJ28,"tertiair",T28:T28)</f>
        <v>6834.375</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0.52941176470588236</v>
      </c>
      <c r="C45" s="622">
        <f>IF(ISERROR(N29/(O29+N29)),0,N29/(N29+O29))</f>
        <v>0.47058823529411759</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1072.0588235294117</v>
      </c>
      <c r="F48" s="631">
        <f t="shared" si="2"/>
        <v>3216.1764705882347</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1206.0661764705883</v>
      </c>
      <c r="F49" s="634">
        <f t="shared" si="3"/>
        <v>3618.1985294117649</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2020-06-20T16:23:08Z</dcterms:modified>
</cp:coreProperties>
</file>