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42" i="18"/>
  <c r="V42" i="18"/>
  <c r="U42" i="18"/>
  <c r="T42" i="18"/>
  <c r="S42" i="18"/>
  <c r="R42" i="18"/>
  <c r="Q42" i="18"/>
  <c r="P42" i="18"/>
  <c r="O42" i="18"/>
  <c r="N42" i="18"/>
  <c r="M42" i="18"/>
  <c r="W41" i="18"/>
  <c r="V41" i="18"/>
  <c r="U41" i="18"/>
  <c r="T41" i="18"/>
  <c r="S41" i="18"/>
  <c r="R41" i="18"/>
  <c r="Q41" i="18"/>
  <c r="P41" i="18"/>
  <c r="O41" i="18"/>
  <c r="N41" i="18"/>
  <c r="M41" i="18"/>
  <c r="W40" i="18"/>
  <c r="V40" i="18"/>
  <c r="U40" i="18"/>
  <c r="T40" i="18"/>
  <c r="S40" i="18"/>
  <c r="R40" i="18"/>
  <c r="Q40" i="18"/>
  <c r="P40" i="18"/>
  <c r="O40" i="18"/>
  <c r="N40" i="18"/>
  <c r="M40" i="18"/>
  <c r="W39" i="18"/>
  <c r="H9" i="18" s="1"/>
  <c r="V39" i="18"/>
  <c r="J9" i="18" s="1"/>
  <c r="U39" i="18"/>
  <c r="T39" i="18"/>
  <c r="I9" i="18" s="1"/>
  <c r="S39" i="18"/>
  <c r="E9" i="18" s="1"/>
  <c r="R39" i="18"/>
  <c r="Q39" i="18"/>
  <c r="P39" i="18"/>
  <c r="C9" i="18" s="1"/>
  <c r="O39" i="18"/>
  <c r="N39" i="18"/>
  <c r="B9" i="18" s="1"/>
  <c r="M39" i="18"/>
  <c r="W35" i="18"/>
  <c r="V35" i="18"/>
  <c r="U35" i="18"/>
  <c r="T35" i="18"/>
  <c r="S35" i="18"/>
  <c r="R35" i="18"/>
  <c r="Q35" i="18"/>
  <c r="P35" i="18"/>
  <c r="O35" i="18"/>
  <c r="N35" i="18"/>
  <c r="M35" i="18"/>
  <c r="W34" i="18"/>
  <c r="V34" i="18"/>
  <c r="U34" i="18"/>
  <c r="T34" i="18"/>
  <c r="S34" i="18"/>
  <c r="R34" i="18"/>
  <c r="Q34" i="18"/>
  <c r="P34" i="18"/>
  <c r="O34" i="18"/>
  <c r="N34" i="18"/>
  <c r="M34" i="18"/>
  <c r="W33" i="18"/>
  <c r="V33" i="18"/>
  <c r="U33" i="18"/>
  <c r="T33" i="18"/>
  <c r="S33" i="18"/>
  <c r="R33" i="18"/>
  <c r="Q33" i="18"/>
  <c r="P33" i="18"/>
  <c r="O33" i="18"/>
  <c r="N33" i="18"/>
  <c r="M33" i="18"/>
  <c r="W32" i="18"/>
  <c r="V32" i="18"/>
  <c r="U32" i="18"/>
  <c r="T32" i="18"/>
  <c r="S32" i="18"/>
  <c r="R32" i="18"/>
  <c r="Q32" i="18"/>
  <c r="P32" i="18"/>
  <c r="O32" i="18"/>
  <c r="B48" i="18" s="1"/>
  <c r="N32" i="18"/>
  <c r="B8" i="18" s="1"/>
  <c r="M32" i="18"/>
  <c r="G22" i="18"/>
  <c r="F22" i="18"/>
  <c r="E22" i="18"/>
  <c r="D22" i="18"/>
  <c r="C22" i="18"/>
  <c r="L20" i="18"/>
  <c r="D20" i="18"/>
  <c r="B17" i="18"/>
  <c r="G12" i="18"/>
  <c r="F12" i="18"/>
  <c r="E12" i="18"/>
  <c r="D12" i="18"/>
  <c r="C12" i="18"/>
  <c r="L10" i="18"/>
  <c r="K10" i="18"/>
  <c r="G10" i="18"/>
  <c r="D10" i="18"/>
  <c r="B6" i="18"/>
  <c r="B5" i="18"/>
  <c r="B4" i="18"/>
  <c r="I52" i="18" l="1"/>
  <c r="H17" i="18" s="1"/>
  <c r="G52" i="18"/>
  <c r="F52" i="18"/>
  <c r="C52" i="18"/>
  <c r="B52" i="18"/>
  <c r="C17" i="18" s="1"/>
  <c r="C20" i="18" s="1"/>
  <c r="B20" i="18"/>
  <c r="C48" i="18"/>
  <c r="F20" i="18"/>
  <c r="O18" i="18"/>
  <c r="H20" i="18"/>
  <c r="G20" i="18"/>
  <c r="K20" i="18"/>
  <c r="B10" i="18"/>
  <c r="O19" i="18"/>
  <c r="O9" i="18"/>
  <c r="D52" i="18"/>
  <c r="H52" i="18"/>
  <c r="E51" i="18"/>
  <c r="E8" i="18" s="1"/>
  <c r="E10" i="18" s="1"/>
  <c r="E52" i="18"/>
  <c r="E17" i="18" s="1"/>
  <c r="E20" i="18" s="1"/>
  <c r="N6" i="17"/>
  <c r="I17" i="18" l="1"/>
  <c r="I20" i="18" s="1"/>
  <c r="I51" i="18"/>
  <c r="H8" i="18" s="1"/>
  <c r="H10" i="18" s="1"/>
  <c r="G51" i="18"/>
  <c r="F51" i="18"/>
  <c r="D51" i="18"/>
  <c r="C51" i="18"/>
  <c r="B51" i="18"/>
  <c r="C8" i="18" s="1"/>
  <c r="C10" i="18" s="1"/>
  <c r="H51" i="18"/>
  <c r="J8" i="18" s="1"/>
  <c r="J10" i="18" s="1"/>
  <c r="J17" i="18"/>
  <c r="J20" i="18" s="1"/>
  <c r="L6" i="17"/>
  <c r="F6" i="17"/>
  <c r="D6" i="17"/>
  <c r="C6" i="17"/>
  <c r="N16" i="16"/>
  <c r="L16" i="16"/>
  <c r="F16" i="16"/>
  <c r="D16" i="16"/>
  <c r="C16" i="16"/>
  <c r="B16" i="16"/>
  <c r="B13" i="15"/>
  <c r="I8" i="18" l="1"/>
  <c r="I10" i="18" s="1"/>
  <c r="O8" i="18"/>
  <c r="O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B14" i="48"/>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P26" i="14"/>
  <c r="N26" i="14"/>
  <c r="L26" i="14"/>
  <c r="J26" i="14"/>
  <c r="H26" i="14"/>
  <c r="Q22" i="14"/>
  <c r="M22" i="14"/>
  <c r="J22" i="14"/>
  <c r="L16" i="14"/>
  <c r="H16" i="14"/>
  <c r="R12" i="14"/>
  <c r="N16" i="14"/>
  <c r="J16" i="14"/>
  <c r="D14" i="48" l="1"/>
  <c r="D32" i="48" s="1"/>
  <c r="O10" i="59"/>
  <c r="H20" i="59"/>
  <c r="L20" i="59"/>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B7" i="48"/>
  <c r="C24" i="14"/>
  <c r="C26" i="14" s="1"/>
  <c r="P4" i="48"/>
  <c r="P22" i="48" s="1"/>
  <c r="Q11" i="14"/>
  <c r="P11" i="14"/>
  <c r="O4" i="48"/>
  <c r="O22" i="48" s="1"/>
  <c r="C11" i="14"/>
  <c r="B4" i="48"/>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B47" i="13"/>
  <c r="N12" i="16"/>
  <c r="J12" i="16"/>
  <c r="F12" i="16"/>
  <c r="E12" i="16"/>
  <c r="B46" i="13"/>
  <c r="E5" i="13" s="1"/>
  <c r="E8" i="13" s="1"/>
  <c r="B48" i="13"/>
  <c r="C48" i="13" s="1"/>
  <c r="N5" i="13" s="1"/>
  <c r="N8" i="13" s="1"/>
  <c r="C50" i="13"/>
  <c r="J5" i="13" s="1"/>
  <c r="J8" i="13" s="1"/>
  <c r="P13" i="14" l="1"/>
  <c r="O8" i="48"/>
  <c r="O26" i="48" s="1"/>
  <c r="P16" i="14"/>
  <c r="P27" i="14" s="1"/>
  <c r="E7" i="48"/>
  <c r="E25" i="48" s="1"/>
  <c r="F24" i="14"/>
  <c r="F26"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J5" i="48" l="1"/>
  <c r="J23" i="48" s="1"/>
  <c r="K10" i="14"/>
  <c r="E20" i="15"/>
  <c r="F40" i="14" s="1"/>
  <c r="F10" i="14"/>
  <c r="E5" i="48"/>
  <c r="Q5" i="48" s="1"/>
  <c r="N52" i="14"/>
  <c r="N61" i="14" s="1"/>
  <c r="J20" i="15"/>
  <c r="K40" i="14" s="1"/>
  <c r="H22" i="14"/>
  <c r="H27" i="14" s="1"/>
  <c r="E22" i="48"/>
  <c r="Q4" i="48"/>
  <c r="R11" i="14"/>
  <c r="J22" i="48"/>
  <c r="N22" i="14"/>
  <c r="N27"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B15" i="48"/>
  <c r="F18" i="16"/>
  <c r="E18" i="16"/>
  <c r="N18" i="16"/>
  <c r="N22" i="16" s="1"/>
  <c r="O43" i="14" s="1"/>
  <c r="O46" i="14" s="1"/>
  <c r="O61" i="14" s="1"/>
  <c r="J18" i="16"/>
  <c r="G18" i="22"/>
  <c r="H50" i="14" s="1"/>
  <c r="H52" i="14" s="1"/>
  <c r="H61" i="14" s="1"/>
  <c r="H6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E23" i="48" l="1"/>
  <c r="E33" i="48" s="1"/>
  <c r="F13" i="14"/>
  <c r="F16" i="14" s="1"/>
  <c r="F27" i="14" s="1"/>
  <c r="E8" i="48"/>
  <c r="E26" i="48" s="1"/>
  <c r="N63" i="14"/>
  <c r="E22" i="16"/>
  <c r="F43" i="14" s="1"/>
  <c r="F46" i="14" s="1"/>
  <c r="F61" i="14" s="1"/>
  <c r="J22" i="16"/>
  <c r="K43" i="14" s="1"/>
  <c r="K46" i="14" s="1"/>
  <c r="K61" i="14" s="1"/>
  <c r="K13" i="14"/>
  <c r="K16" i="14" s="1"/>
  <c r="K27" i="14" s="1"/>
  <c r="J8" i="48"/>
  <c r="J26" i="48" s="1"/>
  <c r="J33" i="48" s="1"/>
  <c r="E63" i="14"/>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F63" i="14" l="1"/>
  <c r="E15" i="48"/>
  <c r="J15" i="48"/>
  <c r="K63" i="14"/>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<sst xmlns="http://schemas.openxmlformats.org/spreadsheetml/2006/main" count="2492" uniqueCount="941">
  <si>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</si>
  <si>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</si>
  <si>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</si>
  <si>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</si>
  <si>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</si>
  <si>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</si>
  <si>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</si>
  <si>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</si>
  <si>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</si>
  <si>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</si>
  <si>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</si>
  <si>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</si>
  <si>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</si>
  <si>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</si>
  <si>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</si>
  <si>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</si>
  <si>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</si>
  <si>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</si>
  <si>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</si>
  <si>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</si>
  <si>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</si>
  <si>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</si>
  <si>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</si>
  <si>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</si>
  <si>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</si>
  <si>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</si>
  <si>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</si>
  <si>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</si>
  <si>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</si>
  <si>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</si>
  <si>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</si>
  <si>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</si>
  <si>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</si>
  <si>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</si>
  <si>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</si>
  <si>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</si>
  <si>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</si>
  <si>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</si>
  <si>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</si>
  <si>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</si>
  <si>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</si>
  <si>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</si>
  <si>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</si>
  <si>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</si>
  <si>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</si>
  <si>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</si>
  <si>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</si>
  <si>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</si>
  <si>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</si>
  <si>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</si>
  <si>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</si>
  <si>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</si>
  <si>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</si>
  <si>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</si>
  <si>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</si>
  <si>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</si>
  <si>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</si>
  <si>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</si>
  <si>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</si>
  <si>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</si>
  <si>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</si>
  <si>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</si>
  <si>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</si>
  <si>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</si>
  <si>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</si>
  <si>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</si>
  <si>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</si>
  <si>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</si>
  <si>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</si>
  <si>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</si>
  <si>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</si>
  <si>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</si>
  <si>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</si>
  <si>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</si>
  <si>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</si>
  <si>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</si>
  <si>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</si>
  <si>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</si>
  <si>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</si>
  <si>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</si>
  <si>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</si>
  <si>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</si>
  <si>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</si>
  <si>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</si>
  <si>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</si>
  <si>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</si>
  <si>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</si>
  <si>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</si>
  <si>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</si>
  <si>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</si>
  <si>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</si>
  <si>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</si>
  <si>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</si>
  <si>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</si>
  <si>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</si>
  <si>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</si>
  <si>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</si>
  <si>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</si>
  <si>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</si>
  <si>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</si>
  <si>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</si>
  <si>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</si>
  <si>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</si>
  <si>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</si>
  <si>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</si>
  <si>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</si>
  <si>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</si>
  <si>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</si>
  <si>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</si>
  <si>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</si>
  <si>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</si>
  <si>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</si>
  <si>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</si>
  <si>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</si>
  <si>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</si>
  <si>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</si>
  <si>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</si>
  <si>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</si>
  <si>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</si>
  <si>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</si>
  <si>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</si>
  <si>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</si>
  <si>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</si>
  <si>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</si>
  <si>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</si>
  <si>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</si>
  <si>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</si>
  <si>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</si>
  <si>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</si>
  <si>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</si>
  <si>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</si>
  <si>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</si>
  <si>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</si>
  <si>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</si>
  <si>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</si>
  <si>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</si>
  <si>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</si>
  <si>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</si>
  <si>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</si>
  <si>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</si>
  <si>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</si>
  <si>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</si>
  <si>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</si>
  <si>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</si>
  <si>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</si>
  <si>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</si>
  <si>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</si>
  <si>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</si>
  <si>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</si>
  <si>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</si>
  <si>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</si>
  <si>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</si>
  <si>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</si>
  <si>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</si>
  <si>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</si>
  <si>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</si>
  <si>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</si>
  <si>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</si>
  <si>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</si>
  <si>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</si>
  <si>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</si>
  <si>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</si>
  <si>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</si>
  <si>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</si>
  <si>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</si>
  <si>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</si>
  <si>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</si>
  <si>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</si>
  <si>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</si>
  <si>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</si>
  <si>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</si>
  <si>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</si>
  <si>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</si>
  <si>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</si>
  <si>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</si>
  <si>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</si>
  <si>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</si>
  <si>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</si>
  <si>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</si>
  <si>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</si>
  <si>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</si>
  <si>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</si>
  <si>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</si>
  <si>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</si>
  <si>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</si>
  <si>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</si>
  <si>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</si>
  <si>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</si>
  <si>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</si>
  <si>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</si>
  <si>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</si>
  <si>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</si>
  <si>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</si>
  <si>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</si>
  <si>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</si>
  <si>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</si>
  <si>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</si>
  <si>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</si>
  <si>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</si>
  <si>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</si>
  <si>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</si>
  <si>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</si>
  <si>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</si>
  <si>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</si>
  <si>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</si>
  <si>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</si>
  <si>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</si>
  <si>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</si>
  <si>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</si>
  <si>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</si>
  <si>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</si>
  <si>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</si>
  <si>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</si>
  <si>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</si>
  <si>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</si>
  <si>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</si>
  <si>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</si>
  <si>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</si>
  <si>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</si>
  <si>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</si>
  <si>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</si>
  <si>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</si>
  <si>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</si>
  <si>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</si>
  <si>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</si>
  <si>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</si>
  <si>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</si>
  <si>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</si>
  <si>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</si>
  <si>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</si>
  <si>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</si>
  <si>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</si>
  <si>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</si>
  <si>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</si>
  <si>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</si>
  <si>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</si>
  <si>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</si>
  <si>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</si>
  <si>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</si>
  <si>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</si>
  <si>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</si>
  <si>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</si>
  <si>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</si>
  <si>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</si>
  <si>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</si>
  <si>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</si>
  <si>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</si>
  <si>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</si>
  <si>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</si>
  <si>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</si>
  <si>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</si>
  <si>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</si>
  <si>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</si>
  <si>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</si>
  <si>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</si>
  <si>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</si>
  <si>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</si>
  <si>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</si>
  <si>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</si>
  <si>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</si>
  <si>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</si>
  <si>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</si>
  <si>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</si>
  <si>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</si>
  <si>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</si>
  <si>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</si>
  <si>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</si>
  <si>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</si>
  <si>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</si>
  <si>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</si>
  <si>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</si>
  <si>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</si>
  <si>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</si>
  <si>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</si>
  <si>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</si>
  <si>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</si>
  <si>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</si>
  <si>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</si>
  <si>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</si>
  <si>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</si>
  <si>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</si>
  <si>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</si>
  <si>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</si>
  <si>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</si>
  <si>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</si>
  <si>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</si>
  <si>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</si>
  <si>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</si>
  <si>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</si>
  <si>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</si>
  <si>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</si>
  <si>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</si>
  <si>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</si>
  <si>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</si>
  <si>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</si>
  <si>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</si>
  <si>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</si>
  <si>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</si>
  <si>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</si>
  <si>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</si>
  <si>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</si>
  <si>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</si>
  <si>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</si>
  <si>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</si>
  <si>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</si>
  <si>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</si>
  <si>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</si>
  <si>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</si>
  <si>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</si>
  <si>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</si>
  <si>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</si>
  <si>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</si>
  <si>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</si>
  <si>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</si>
  <si>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</si>
  <si>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</si>
  <si>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</si>
  <si>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</si>
  <si>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</si>
  <si>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</si>
  <si>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</si>
  <si>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</si>
  <si>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</si>
  <si>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</si>
  <si>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</si>
  <si>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</si>
  <si>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</si>
  <si>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</si>
  <si>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</si>
  <si>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</si>
  <si>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</si>
  <si>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</si>
  <si>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</si>
  <si>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</si>
  <si>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</si>
  <si>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</si>
  <si>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</si>
  <si>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</si>
  <si>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</si>
  <si>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</si>
  <si>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</si>
  <si>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</si>
  <si>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</si>
  <si>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</si>
  <si>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</si>
  <si>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</si>
  <si>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</si>
  <si>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</si>
  <si>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</si>
  <si>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</si>
  <si>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</si>
  <si>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</si>
  <si>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</si>
  <si>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</si>
  <si>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</si>
  <si>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</si>
  <si>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</si>
  <si>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</si>
  <si>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</si>
  <si>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</si>
  <si>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</si>
  <si>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</si>
  <si>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</si>
  <si>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</si>
  <si>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</si>
  <si>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</si>
  <si>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</si>
  <si>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</si>
  <si>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</si>
  <si>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</si>
  <si>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</si>
  <si>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</si>
  <si>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</si>
  <si>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</si>
  <si>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</si>
  <si>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</si>
  <si>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</si>
  <si>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</si>
  <si>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</si>
  <si>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</si>
  <si>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</si>
  <si>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</si>
  <si>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</si>
  <si>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</si>
  <si>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</si>
  <si>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</si>
  <si>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</si>
  <si>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</si>
  <si>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</si>
  <si>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</si>
  <si>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</si>
  <si>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</si>
  <si>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</si>
  <si>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</si>
  <si>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</si>
  <si>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</si>
  <si>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</si>
  <si>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</si>
  <si>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</si>
  <si>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</si>
  <si>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</si>
  <si>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</si>
  <si>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</si>
  <si>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</si>
  <si>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</si>
  <si>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</si>
  <si>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</si>
  <si>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</si>
  <si>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</si>
  <si>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</si>
  <si>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</si>
  <si>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</si>
  <si>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</si>
  <si>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</si>
  <si>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</si>
  <si>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</si>
  <si>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</si>
  <si>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</si>
  <si>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</si>
  <si>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</si>
  <si>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</si>
  <si>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</si>
  <si>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</si>
  <si>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</si>
  <si>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</si>
  <si>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</si>
  <si>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</si>
  <si>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</si>
  <si>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</si>
  <si>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</si>
  <si>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</si>
  <si>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</si>
  <si>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</si>
  <si>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</si>
  <si>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</si>
  <si>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</si>
  <si>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</si>
  <si>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</si>
  <si>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</si>
  <si>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</si>
  <si>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</si>
  <si>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</si>
  <si>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</si>
  <si>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</si>
  <si>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</si>
  <si>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</si>
  <si>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</si>
  <si>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</si>
  <si>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</si>
  <si>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</si>
  <si>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</si>
  <si>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</si>
  <si>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</si>
  <si>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</si>
  <si>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</si>
  <si>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</si>
  <si>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</si>
  <si>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</si>
  <si>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</si>
  <si>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</si>
  <si>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</si>
  <si>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</si>
  <si>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</si>
  <si>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</si>
  <si>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</si>
  <si>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</si>
  <si>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</si>
  <si>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</si>
  <si>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</si>
  <si>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</si>
  <si>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</si>
  <si>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</si>
  <si>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</si>
  <si>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</si>
  <si>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</si>
  <si>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</si>
  <si>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</si>
  <si>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</si>
  <si>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</si>
  <si>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</si>
  <si>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</si>
  <si>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</si>
  <si>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</si>
  <si>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</si>
  <si>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</si>
  <si>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</si>
  <si>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</si>
  <si>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</si>
  <si>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</si>
  <si>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</si>
  <si>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</si>
  <si>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</si>
  <si>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</si>
  <si>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</si>
  <si>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</si>
  <si>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</si>
  <si>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</si>
  <si>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</si>
  <si>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</si>
  <si>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</si>
  <si>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</si>
  <si>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</si>
  <si>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</si>
  <si>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</si>
  <si>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</si>
  <si>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</si>
  <si>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</si>
  <si>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</si>
  <si>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</si>
  <si>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</si>
  <si>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</si>
  <si>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</si>
  <si>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</si>
  <si>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</si>
  <si>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</si>
  <si>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</si>
  <si>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</si>
  <si>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</si>
  <si>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</si>
  <si>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</si>
  <si>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</si>
  <si>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</si>
  <si>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</si>
  <si>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</si>
  <si>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</si>
  <si>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</si>
  <si>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</si>
  <si>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</si>
  <si>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</si>
  <si>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</si>
  <si>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</si>
  <si>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</si>
  <si>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</si>
  <si>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</si>
  <si>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</si>
  <si>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</si>
  <si>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</si>
  <si>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</si>
  <si>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</si>
  <si>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</si>
  <si>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</si>
  <si>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</si>
  <si>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</si>
  <si>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</si>
  <si>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</si>
  <si>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</si>
  <si>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</si>
  <si>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</si>
  <si>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</si>
  <si>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</si>
  <si>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</si>
  <si>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</si>
  <si>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</si>
  <si>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</si>
  <si>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</si>
  <si>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</si>
  <si>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</si>
  <si>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</si>
  <si>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</si>
  <si>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</si>
  <si>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71022</t>
  </si>
  <si>
    <t>HASSELT</t>
  </si>
  <si>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</si>
  <si>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</si>
  <si>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</si>
  <si>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</si>
  <si>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</si>
  <si>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</si>
  <si>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</si>
  <si>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</si>
  <si>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</si>
  <si>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</si>
  <si>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</si>
  <si>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</si>
  <si>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</si>
  <si>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</si>
  <si>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</si>
  <si>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</si>
  <si>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</si>
  <si>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</si>
  <si>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</si>
  <si>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</si>
  <si>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</si>
  <si>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</si>
  <si>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</si>
  <si>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</si>
  <si>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</si>
  <si>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</si>
  <si>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</si>
  <si>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</si>
  <si>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</si>
  <si>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</si>
  <si>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</si>
  <si>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</si>
  <si>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</si>
  <si>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</si>
  <si>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</si>
  <si>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</si>
  <si>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</si>
  <si>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</si>
  <si>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</si>
  <si>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</si>
  <si>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</si>
  <si>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</si>
  <si>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</si>
  <si>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</si>
  <si>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</si>
  <si>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</si>
  <si>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</si>
  <si>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</si>
  <si>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</si>
  <si>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</si>
  <si>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</si>
  <si>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</si>
  <si>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</si>
  <si>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</si>
  <si>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</si>
  <si>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</si>
  <si>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</si>
  <si>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</si>
  <si>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</si>
  <si>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</si>
  <si>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</si>
  <si>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</si>
  <si>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</si>
  <si>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</si>
  <si>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</si>
  <si>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</si>
  <si>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</si>
  <si>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</si>
  <si>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</si>
  <si>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</si>
  <si>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</si>
  <si>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</si>
  <si>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</si>
  <si>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</si>
  <si>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</si>
  <si>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</si>
  <si>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</si>
  <si>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</si>
  <si>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</si>
  <si>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</si>
  <si>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</si>
  <si>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</si>
  <si>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</si>
  <si>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</si>
  <si>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</si>
  <si>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</si>
  <si>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</si>
  <si>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</si>
  <si>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</si>
  <si>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</si>
  <si>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</si>
  <si>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</si>
  <si>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</si>
  <si>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</si>
  <si>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</si>
  <si>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</si>
  <si>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</si>
  <si>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</si>
  <si>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</si>
  <si>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</si>
  <si>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</si>
  <si>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</si>
  <si>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</si>
  <si>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</si>
  <si>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</si>
  <si>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</si>
  <si>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</si>
  <si>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</si>
  <si>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</si>
  <si>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</si>
  <si>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</si>
  <si>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</si>
  <si>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</si>
  <si>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</si>
  <si>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</si>
  <si>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</si>
  <si>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</si>
  <si>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</si>
  <si>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</si>
  <si>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</si>
  <si>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</si>
  <si>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</si>
  <si>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</si>
  <si>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</si>
  <si>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</si>
  <si>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</si>
  <si>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</si>
  <si>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</si>
  <si>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</si>
  <si>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</si>
  <si>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</si>
  <si>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</si>
  <si>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</si>
  <si>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</si>
  <si>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</si>
  <si>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</si>
  <si>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</si>
  <si>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</si>
  <si>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</si>
  <si>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</si>
  <si>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</si>
  <si>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</si>
  <si>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</si>
  <si>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</si>
  <si>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</si>
  <si>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</si>
  <si>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</si>
  <si>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</si>
  <si>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</si>
  <si>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</si>
  <si>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</si>
  <si>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</si>
  <si>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</si>
  <si>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</si>
  <si>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</si>
  <si>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</si>
  <si>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</si>
  <si>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</si>
  <si>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</si>
  <si>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</si>
  <si>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</si>
  <si>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</si>
  <si>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</si>
  <si>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</si>
  <si>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</si>
  <si>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</si>
  <si>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</si>
  <si>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</si>
  <si>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</si>
  <si>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</si>
  <si>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</si>
  <si>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</si>
  <si>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</si>
  <si>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</si>
  <si>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</si>
  <si>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</si>
  <si>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</si>
  <si>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</si>
  <si>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</si>
  <si>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</si>
  <si>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</si>
  <si>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</si>
  <si>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</si>
  <si>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</si>
  <si>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</si>
  <si>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</si>
  <si>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</si>
  <si>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</si>
  <si>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</si>
  <si>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</si>
  <si>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</si>
  <si>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</si>
  <si>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</si>
  <si>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</si>
  <si>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</si>
  <si>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</si>
  <si>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</si>
  <si>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</si>
  <si>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</si>
  <si>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</si>
  <si>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</si>
  <si>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</si>
  <si>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</si>
  <si>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</si>
  <si>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</si>
  <si>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</si>
  <si>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</si>
  <si>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</si>
  <si>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</si>
  <si>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</si>
  <si>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</si>
  <si>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</si>
  <si>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</si>
  <si>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</si>
  <si>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</si>
  <si>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</si>
  <si>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</si>
  <si>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</si>
  <si>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</si>
  <si>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</si>
  <si>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</si>
  <si>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</si>
  <si>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</si>
  <si>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</si>
  <si>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</si>
  <si>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</si>
  <si>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</si>
  <si>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</si>
  <si>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</si>
  <si>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</si>
  <si>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</si>
  <si>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</si>
  <si>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</si>
  <si>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</si>
  <si>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</si>
  <si>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</si>
  <si>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</si>
  <si>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</si>
  <si>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</si>
  <si>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</si>
  <si>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</si>
  <si>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</si>
  <si>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</si>
  <si>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</si>
  <si>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</si>
  <si>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</si>
  <si>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</si>
  <si>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</si>
  <si>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</si>
  <si>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</si>
  <si>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</si>
  <si>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</si>
  <si>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</si>
  <si>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</si>
  <si>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</si>
  <si>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</si>
  <si>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</si>
  <si>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</si>
  <si>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</si>
  <si>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</si>
  <si>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</si>
  <si>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</si>
  <si>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</si>
  <si>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</si>
  <si>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</si>
  <si>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</si>
  <si>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</si>
  <si>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</si>
  <si>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</si>
  <si>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</si>
  <si>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</si>
  <si>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</si>
  <si>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</si>
  <si>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</si>
  <si>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</si>
  <si>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</si>
  <si>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</si>
  <si>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</si>
  <si>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</si>
  <si>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</si>
  <si>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</si>
  <si>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</si>
  <si>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</si>
  <si>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</si>
  <si>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</si>
  <si>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</si>
  <si>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</si>
  <si>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</si>
  <si>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</si>
  <si>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</si>
  <si>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</si>
  <si>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</si>
  <si>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</si>
  <si>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</si>
  <si>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</si>
  <si>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</si>
  <si>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</si>
  <si>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</si>
  <si>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</si>
  <si>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</si>
  <si>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</si>
  <si>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</si>
  <si>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</si>
  <si>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</si>
  <si>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</si>
  <si>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</si>
  <si>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</si>
  <si>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</si>
  <si>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</si>
  <si>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</si>
  <si>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</si>
  <si>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</si>
  <si>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</si>
  <si>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</si>
  <si>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</si>
  <si>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</si>
  <si>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</si>
  <si>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</si>
  <si>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</si>
  <si>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</si>
  <si>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</si>
  <si>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</si>
  <si>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</si>
  <si>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</si>
  <si>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</si>
  <si>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</si>
  <si>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</si>
  <si>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</si>
  <si>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</si>
  <si>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</si>
  <si>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</si>
  <si>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</si>
  <si>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</si>
  <si>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</si>
  <si>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</si>
  <si>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</si>
  <si>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</si>
  <si>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</si>
  <si>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</si>
  <si>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</si>
  <si>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</si>
  <si>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</si>
  <si>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</si>
  <si>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</si>
  <si>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</si>
  <si>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</si>
  <si>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</si>
  <si>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</si>
  <si>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</si>
  <si>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</si>
  <si>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</si>
  <si>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</si>
  <si>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</si>
  <si>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Cultuurgrond (ha)</t>
  </si>
  <si>
    <t>Paarden&amp;pony's 200 - 600 kg</t>
  </si>
  <si>
    <t>Paarden&amp;pony's &lt; 200 kg</t>
  </si>
  <si>
    <t>Fluvius</t>
  </si>
  <si>
    <t>referentietaak LNE (2017); Jaarverslag De Lijn</t>
  </si>
  <si>
    <t>Roebben-Hendrickx</t>
  </si>
  <si>
    <t>Rapertingenstraat 5, 3500 Hasselt</t>
  </si>
  <si>
    <t>WKK-0093 Roebben-hendrickx</t>
  </si>
  <si>
    <t>interne verbrandingsmotor</t>
  </si>
  <si>
    <t>WKK interne verbrandinsgmotor (gas)</t>
  </si>
  <si>
    <t>Inter-Energa</t>
  </si>
  <si>
    <t>vzw Jessa Ziekenhuis</t>
  </si>
  <si>
    <t>Salvatorstraat 20, 3500 Hasselt</t>
  </si>
  <si>
    <t>WKK-0097 vzw Jessa Ziekenhuis (voorheen CAZ Midden-Limburg)</t>
  </si>
  <si>
    <t>Limburgs Galvano Technisch Bedrijf nv</t>
  </si>
  <si>
    <t>Albertkanaalstraat 139 , 3511 Kuringen</t>
  </si>
  <si>
    <t>WKK-0345 Limburgs Galvano Technisch Bedrijf</t>
  </si>
  <si>
    <t>Salvatorrusthuis VZW</t>
  </si>
  <si>
    <t>Ekkelgaarden 17 , 3500 Hasselt</t>
  </si>
  <si>
    <t>WKK-0387 Salvatorrusthuis</t>
  </si>
  <si>
    <t>Aquafin NV</t>
  </si>
  <si>
    <t>Dijkstraat 8, 2630 Aartselaar</t>
  </si>
  <si>
    <t>BGS-0002 RWZI Hasselt</t>
  </si>
  <si>
    <t>biogas - RWZI</t>
  </si>
  <si>
    <t>niet WKK interne verbrandingsmotor (gas)</t>
  </si>
  <si>
    <t>Rode Rodestraat 200, 3511 Hasselt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</si>
</sst>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602302.91677337571</c:v>
                </c:pt>
                <c:pt idx="1">
                  <c:v>400072.33592821116</c:v>
                </c:pt>
                <c:pt idx="2">
                  <c:v>5052.1210000000001</c:v>
                </c:pt>
                <c:pt idx="3">
                  <c:v>11059.013300048795</c:v>
                </c:pt>
                <c:pt idx="4">
                  <c:v>205463.72339958919</c:v>
                </c:pt>
                <c:pt idx="5">
                  <c:v>572061.44844254584</c:v>
                </c:pt>
                <c:pt idx="6">
                  <c:v>18737.589303047836</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602302.91677337571</c:v>
                </c:pt>
                <c:pt idx="1">
                  <c:v>400072.33592821116</c:v>
                </c:pt>
                <c:pt idx="2">
                  <c:v>5052.1210000000001</c:v>
                </c:pt>
                <c:pt idx="3">
                  <c:v>11059.013300048795</c:v>
                </c:pt>
                <c:pt idx="4">
                  <c:v>205463.72339958919</c:v>
                </c:pt>
                <c:pt idx="5">
                  <c:v>572061.44844254584</c:v>
                </c:pt>
                <c:pt idx="6">
                  <c:v>18737.589303047836</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118820.96021651797</c:v>
                </c:pt>
                <c:pt idx="2">
                  <c:v>81495.614518382179</c:v>
                </c:pt>
                <c:pt idx="3">
                  <c:v>1011.2373255115688</c:v>
                </c:pt>
                <c:pt idx="4">
                  <c:v>2689.4161156138457</c:v>
                </c:pt>
                <c:pt idx="5">
                  <c:v>43134.431899775445</c:v>
                </c:pt>
                <c:pt idx="6">
                  <c:v>144534.07656861364</c:v>
                </c:pt>
                <c:pt idx="7">
                  <c:v>4789.7410090841377</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118820.96021651797</c:v>
                </c:pt>
                <c:pt idx="2">
                  <c:v>81495.614518382179</c:v>
                </c:pt>
                <c:pt idx="3">
                  <c:v>1011.2373255115688</c:v>
                </c:pt>
                <c:pt idx="4">
                  <c:v>2689.4161156138457</c:v>
                </c:pt>
                <c:pt idx="5">
                  <c:v>43134.431899775445</c:v>
                </c:pt>
                <c:pt idx="6">
                  <c:v>144534.07656861364</c:v>
                </c:pt>
                <c:pt idx="7">
                  <c:v>4789.7410090841377</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673</v>
      </c>
      <c r="B2" s="399"/>
      <c r="C2" s="400"/>
    </row>
    <row r="3" spans="1:7" s="11" customFormat="1" ht="15" customHeight="1">
      <c r="A3" s="93"/>
      <c r="B3" s="74"/>
      <c r="C3" s="94"/>
    </row>
    <row r="4" spans="1:7" s="11" customFormat="1" ht="15.75" customHeight="1" thickBot="1">
      <c r="A4" s="105" t="s">
        <v>912</v>
      </c>
      <c r="B4" s="106"/>
      <c r="C4" s="107"/>
    </row>
    <row r="5" spans="1:7" s="393" customFormat="1" ht="15.75" customHeight="1">
      <c r="A5" s="390" t="s">
        <v>0</v>
      </c>
      <c r="B5" s="391"/>
      <c r="C5" s="392"/>
    </row>
    <row r="6" spans="1:7" s="393" customFormat="1" ht="15" customHeight="1">
      <c r="A6" s="394" t="str">
        <f>txtNIS</f>
        <v>71022</v>
      </c>
      <c r="B6" s="395"/>
      <c r="C6" s="396"/>
    </row>
    <row r="7" spans="1:7" s="393" customFormat="1" ht="15.75" customHeight="1">
      <c r="A7" s="397" t="str">
        <f>txtMunicipality</f>
        <v>HASSELT</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675</v>
      </c>
      <c r="B10" s="1076"/>
      <c r="C10" s="1077"/>
    </row>
    <row r="11" spans="1:7" s="387" customFormat="1" ht="15.75" thickBot="1">
      <c r="A11" s="410" t="s">
        <v>359</v>
      </c>
      <c r="B11" s="413"/>
      <c r="C11" s="414"/>
      <c r="G11" s="388"/>
    </row>
    <row r="12" spans="1:7">
      <c r="A12" s="44"/>
      <c r="B12" s="43"/>
      <c r="C12" s="96"/>
    </row>
    <row r="13" spans="1:7" s="387" customFormat="1">
      <c r="A13" s="767" t="s">
        <v>630</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676</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587</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590</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617</v>
      </c>
      <c r="B17" s="508">
        <f ca="1">'EF ele_warmte'!B12</f>
        <v>0.20016094735489684</v>
      </c>
      <c r="C17" s="508">
        <f ca="1">'EF ele_warmte'!B22</f>
        <v>0.23764705882352946</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590</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608</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617</v>
      </c>
      <c r="B29" s="509">
        <f ca="1">'EF ele_warmte'!B12</f>
        <v>0.20016094735489684</v>
      </c>
      <c r="C29" s="509">
        <f ca="1">'EF ele_warmte'!B22</f>
        <v>0.23764705882352946</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578</v>
      </c>
      <c r="B10" s="511"/>
      <c r="C10" s="142" t="s">
        <v>181</v>
      </c>
      <c r="D10" s="145" t="s">
        <v>391</v>
      </c>
      <c r="I10" s="1200"/>
      <c r="K10" s="58"/>
    </row>
    <row r="11" spans="1:11" s="43" customFormat="1">
      <c r="A11" s="44" t="s">
        <v>579</v>
      </c>
      <c r="B11" s="47"/>
      <c r="D11" s="143" t="s">
        <v>392</v>
      </c>
      <c r="I11" s="1200"/>
      <c r="K11" s="58"/>
    </row>
    <row r="12" spans="1:11" s="43" customFormat="1">
      <c r="A12" s="44" t="s">
        <v>580</v>
      </c>
      <c r="B12" s="47"/>
      <c r="D12" s="143" t="s">
        <v>392</v>
      </c>
      <c r="I12" s="1200"/>
      <c r="K12" s="58"/>
    </row>
    <row r="13" spans="1:11" s="43" customFormat="1">
      <c r="A13" s="44"/>
      <c r="B13" s="458"/>
      <c r="D13" s="96"/>
      <c r="I13" s="1200"/>
    </row>
    <row r="14" spans="1:11" s="43" customFormat="1">
      <c r="A14" s="304" t="s">
        <v>577</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588</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578</v>
      </c>
      <c r="B31" s="511"/>
      <c r="C31" s="142" t="s">
        <v>181</v>
      </c>
      <c r="D31" s="145" t="s">
        <v>391</v>
      </c>
    </row>
    <row r="32" spans="1:11">
      <c r="A32" s="448" t="s">
        <v>579</v>
      </c>
      <c r="B32" s="47"/>
      <c r="C32" s="48"/>
      <c r="D32" s="143" t="s">
        <v>392</v>
      </c>
    </row>
    <row r="33" spans="1:11">
      <c r="A33" s="44"/>
      <c r="B33" s="48"/>
      <c r="C33" s="48"/>
      <c r="D33" s="143"/>
    </row>
    <row r="34" spans="1:11" s="43" customFormat="1">
      <c r="A34" s="304" t="s">
        <v>577</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581</v>
      </c>
      <c r="B50" s="47"/>
      <c r="C50" s="32"/>
      <c r="D50" s="144" t="s">
        <v>393</v>
      </c>
    </row>
    <row r="51" spans="1:4">
      <c r="A51" s="44" t="s">
        <v>582</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583</v>
      </c>
      <c r="B57" s="47"/>
      <c r="C57" s="32"/>
      <c r="D57" s="143" t="s">
        <v>154</v>
      </c>
    </row>
    <row r="58" spans="1:4">
      <c r="A58" s="44" t="s">
        <v>584</v>
      </c>
      <c r="B58" s="47"/>
      <c r="C58" s="32"/>
      <c r="D58" s="143" t="s">
        <v>155</v>
      </c>
    </row>
    <row r="59" spans="1:4">
      <c r="A59" s="44" t="s">
        <v>585</v>
      </c>
      <c r="B59" s="47"/>
      <c r="C59" s="48"/>
      <c r="D59" s="143" t="s">
        <v>389</v>
      </c>
    </row>
    <row r="60" spans="1:4">
      <c r="A60" s="44" t="s">
        <v>586</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603</v>
      </c>
      <c r="B1" s="646"/>
      <c r="C1" s="646"/>
      <c r="D1" s="646"/>
      <c r="E1" s="647"/>
    </row>
    <row r="2" spans="1:5">
      <c r="A2" s="658" t="s">
        <v>394</v>
      </c>
      <c r="B2" s="663" t="s">
        <v>526</v>
      </c>
      <c r="C2" s="659"/>
      <c r="D2" s="659"/>
      <c r="E2" s="660"/>
    </row>
    <row r="3" spans="1:5">
      <c r="A3" s="661"/>
      <c r="B3" s="662"/>
      <c r="C3" s="650"/>
      <c r="D3" s="650"/>
      <c r="E3" s="651"/>
    </row>
    <row r="4" spans="1:5" s="332" customFormat="1" ht="45">
      <c r="A4" s="649" t="s">
        <v>607</v>
      </c>
      <c r="B4" s="657" t="s">
        <v>596</v>
      </c>
      <c r="C4" s="678" t="s">
        <v>618</v>
      </c>
      <c r="D4" s="679" t="s">
        <v>619</v>
      </c>
      <c r="E4" s="680" t="s">
        <v>620</v>
      </c>
    </row>
    <row r="5" spans="1:5">
      <c r="A5" s="652" t="s">
        <v>597</v>
      </c>
      <c r="B5" s="644" t="s">
        <v>598</v>
      </c>
      <c r="C5" s="675">
        <v>3.678273E-2</v>
      </c>
      <c r="D5" s="676">
        <v>0.27778000000000003</v>
      </c>
      <c r="E5" s="668">
        <f>C5*D5</f>
        <v>1.0217506739400001E-2</v>
      </c>
    </row>
    <row r="6" spans="1:5">
      <c r="A6" s="652" t="s">
        <v>597</v>
      </c>
      <c r="B6" s="644" t="s">
        <v>599</v>
      </c>
      <c r="C6" s="675">
        <v>4.2278999999999997E-2</v>
      </c>
      <c r="D6" s="676">
        <v>0.27778000000000003</v>
      </c>
      <c r="E6" s="668">
        <f t="shared" ref="E6:E21" si="0">C6*D6</f>
        <v>1.174426062E-2</v>
      </c>
    </row>
    <row r="7" spans="1:5">
      <c r="A7" s="652" t="s">
        <v>597</v>
      </c>
      <c r="B7" s="644" t="s">
        <v>600</v>
      </c>
      <c r="C7" s="675">
        <v>42.279000000000003</v>
      </c>
      <c r="D7" s="676">
        <v>0.27778000000000003</v>
      </c>
      <c r="E7" s="668">
        <f t="shared" si="0"/>
        <v>11.744260620000002</v>
      </c>
    </row>
    <row r="8" spans="1:5">
      <c r="A8" s="652" t="s">
        <v>601</v>
      </c>
      <c r="B8" s="644" t="s">
        <v>598</v>
      </c>
      <c r="C8" s="675">
        <v>3.8573799999999998E-2</v>
      </c>
      <c r="D8" s="676">
        <v>0.27778000000000003</v>
      </c>
      <c r="E8" s="668">
        <f t="shared" si="0"/>
        <v>1.0715030164E-2</v>
      </c>
    </row>
    <row r="9" spans="1:5">
      <c r="A9" s="652" t="s">
        <v>601</v>
      </c>
      <c r="B9" s="644" t="s">
        <v>599</v>
      </c>
      <c r="C9" s="675">
        <v>4.0604000000000001E-2</v>
      </c>
      <c r="D9" s="676">
        <v>0.27778000000000003</v>
      </c>
      <c r="E9" s="668">
        <f t="shared" si="0"/>
        <v>1.1278979120000001E-2</v>
      </c>
    </row>
    <row r="10" spans="1:5">
      <c r="A10" s="652" t="s">
        <v>601</v>
      </c>
      <c r="B10" s="644" t="s">
        <v>600</v>
      </c>
      <c r="C10" s="675">
        <v>40.603999999999999</v>
      </c>
      <c r="D10" s="676">
        <v>0.27778000000000003</v>
      </c>
      <c r="E10" s="668">
        <f t="shared" si="0"/>
        <v>11.278979120000001</v>
      </c>
    </row>
    <row r="11" spans="1:5">
      <c r="A11" s="652" t="s">
        <v>621</v>
      </c>
      <c r="B11" s="644" t="s">
        <v>598</v>
      </c>
      <c r="C11" s="675">
        <v>2.3511000000000001E-2</v>
      </c>
      <c r="D11" s="676">
        <v>0.27778000000000003</v>
      </c>
      <c r="E11" s="668">
        <f t="shared" si="0"/>
        <v>6.5308855800000004E-3</v>
      </c>
    </row>
    <row r="12" spans="1:5">
      <c r="A12" s="652" t="s">
        <v>621</v>
      </c>
      <c r="B12" s="644" t="s">
        <v>599</v>
      </c>
      <c r="C12" s="675">
        <v>4.6100000000000002E-2</v>
      </c>
      <c r="D12" s="676">
        <v>0.27778000000000003</v>
      </c>
      <c r="E12" s="668">
        <f t="shared" si="0"/>
        <v>1.2805658000000001E-2</v>
      </c>
    </row>
    <row r="13" spans="1:5">
      <c r="A13" s="652" t="s">
        <v>621</v>
      </c>
      <c r="B13" s="644" t="s">
        <v>600</v>
      </c>
      <c r="C13" s="675">
        <v>46.1</v>
      </c>
      <c r="D13" s="676">
        <v>0.27778000000000003</v>
      </c>
      <c r="E13" s="668">
        <f t="shared" si="0"/>
        <v>12.805658000000001</v>
      </c>
    </row>
    <row r="14" spans="1:5">
      <c r="A14" s="652" t="s">
        <v>622</v>
      </c>
      <c r="B14" s="644" t="s">
        <v>598</v>
      </c>
      <c r="C14" s="675">
        <v>2.6525139999999999E-2</v>
      </c>
      <c r="D14" s="676">
        <v>0.27778000000000003</v>
      </c>
      <c r="E14" s="668">
        <f t="shared" si="0"/>
        <v>7.3681533892000009E-3</v>
      </c>
    </row>
    <row r="15" spans="1:5">
      <c r="A15" s="652" t="s">
        <v>622</v>
      </c>
      <c r="B15" s="644" t="s">
        <v>599</v>
      </c>
      <c r="C15" s="675">
        <v>4.5733000000000003E-2</v>
      </c>
      <c r="D15" s="676">
        <v>0.27778000000000003</v>
      </c>
      <c r="E15" s="668">
        <f t="shared" si="0"/>
        <v>1.2703712740000001E-2</v>
      </c>
    </row>
    <row r="16" spans="1:5">
      <c r="A16" s="652" t="s">
        <v>622</v>
      </c>
      <c r="B16" s="644" t="s">
        <v>600</v>
      </c>
      <c r="C16" s="675">
        <v>45.732999999999997</v>
      </c>
      <c r="D16" s="676">
        <v>0.27778000000000003</v>
      </c>
      <c r="E16" s="668">
        <f t="shared" si="0"/>
        <v>12.70371274</v>
      </c>
    </row>
    <row r="17" spans="1:10">
      <c r="A17" s="652" t="s">
        <v>605</v>
      </c>
      <c r="B17" s="644" t="s">
        <v>602</v>
      </c>
      <c r="C17" s="675">
        <v>3.2923000000000001E-2</v>
      </c>
      <c r="D17" s="676">
        <f>0.27778</f>
        <v>0.27778000000000003</v>
      </c>
      <c r="E17" s="668">
        <f t="shared" si="0"/>
        <v>9.1453509400000015E-3</v>
      </c>
    </row>
    <row r="18" spans="1:10">
      <c r="A18" s="652" t="s">
        <v>606</v>
      </c>
      <c r="B18" s="644" t="s">
        <v>602</v>
      </c>
      <c r="C18" s="675">
        <v>3.8852400000000002E-2</v>
      </c>
      <c r="D18" s="676">
        <f>0.27778</f>
        <v>0.27778000000000003</v>
      </c>
      <c r="E18" s="668">
        <f t="shared" si="0"/>
        <v>1.0792419672000002E-2</v>
      </c>
    </row>
    <row r="19" spans="1:10">
      <c r="A19" s="652" t="s">
        <v>609</v>
      </c>
      <c r="B19" s="644" t="s">
        <v>598</v>
      </c>
      <c r="C19" s="675">
        <v>2.4812460000000001E-2</v>
      </c>
      <c r="D19" s="676">
        <v>0.27778000000000003</v>
      </c>
      <c r="E19" s="668">
        <f t="shared" si="0"/>
        <v>6.8924051388000009E-3</v>
      </c>
    </row>
    <row r="20" spans="1:10">
      <c r="A20" s="652" t="s">
        <v>609</v>
      </c>
      <c r="B20" s="644" t="s">
        <v>599</v>
      </c>
      <c r="C20" s="675">
        <v>4.5948999999999997E-2</v>
      </c>
      <c r="D20" s="676">
        <v>0.27778000000000003</v>
      </c>
      <c r="E20" s="668">
        <f t="shared" si="0"/>
        <v>1.276371322E-2</v>
      </c>
    </row>
    <row r="21" spans="1:10">
      <c r="A21" s="652" t="s">
        <v>609</v>
      </c>
      <c r="B21" s="644" t="s">
        <v>600</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604</v>
      </c>
      <c r="B24" s="646"/>
      <c r="C24" s="646"/>
      <c r="D24" s="646"/>
      <c r="E24" s="647"/>
    </row>
    <row r="25" spans="1:10">
      <c r="A25" s="672" t="s">
        <v>394</v>
      </c>
      <c r="B25" s="1066" t="s">
        <v>898</v>
      </c>
      <c r="C25" s="650"/>
      <c r="D25" s="650"/>
      <c r="E25" s="651"/>
    </row>
    <row r="26" spans="1:10">
      <c r="A26" s="44"/>
      <c r="B26" s="43"/>
      <c r="C26" s="43"/>
      <c r="D26" s="43"/>
      <c r="E26" s="96"/>
    </row>
    <row r="27" spans="1:10" s="332" customFormat="1">
      <c r="A27" s="649" t="s">
        <v>607</v>
      </c>
      <c r="B27" s="657" t="s">
        <v>596</v>
      </c>
      <c r="C27" s="665"/>
      <c r="D27" s="664"/>
      <c r="E27" s="680" t="s">
        <v>611</v>
      </c>
    </row>
    <row r="28" spans="1:10">
      <c r="A28" s="652" t="s">
        <v>201</v>
      </c>
      <c r="B28" s="644" t="s">
        <v>598</v>
      </c>
      <c r="C28" s="666"/>
      <c r="D28" s="667"/>
      <c r="E28" s="674">
        <f>E29*0.84</f>
        <v>9.962166666666666E-3</v>
      </c>
      <c r="G28" s="648"/>
      <c r="H28" s="788"/>
      <c r="I28" s="788"/>
      <c r="J28" s="788"/>
    </row>
    <row r="29" spans="1:10">
      <c r="A29" s="652" t="s">
        <v>201</v>
      </c>
      <c r="B29" s="644" t="s">
        <v>599</v>
      </c>
      <c r="C29" s="666"/>
      <c r="D29" s="667"/>
      <c r="E29" s="674">
        <f>0.042695/3.6</f>
        <v>1.1859722222222221E-2</v>
      </c>
      <c r="F29" s="904"/>
      <c r="G29" s="648"/>
      <c r="H29" s="788"/>
      <c r="I29" s="788"/>
      <c r="J29" s="788"/>
    </row>
    <row r="30" spans="1:10">
      <c r="A30" s="652" t="s">
        <v>119</v>
      </c>
      <c r="B30" s="644" t="s">
        <v>598</v>
      </c>
      <c r="C30" s="666"/>
      <c r="D30" s="667"/>
      <c r="E30" s="674">
        <f>E31*0.75</f>
        <v>9.1195833333333337E-3</v>
      </c>
      <c r="H30" s="788"/>
      <c r="I30" s="788"/>
      <c r="J30" s="788"/>
    </row>
    <row r="31" spans="1:10">
      <c r="A31" s="652" t="s">
        <v>119</v>
      </c>
      <c r="B31" s="644" t="s">
        <v>599</v>
      </c>
      <c r="C31" s="666"/>
      <c r="D31" s="667"/>
      <c r="E31" s="674">
        <f>0.043774/3.6</f>
        <v>1.2159444444444445E-2</v>
      </c>
      <c r="H31" s="788"/>
      <c r="I31" s="788"/>
      <c r="J31" s="788"/>
    </row>
    <row r="32" spans="1:10">
      <c r="A32" s="652" t="s">
        <v>609</v>
      </c>
      <c r="B32" s="644" t="s">
        <v>598</v>
      </c>
      <c r="C32" s="666"/>
      <c r="D32" s="667"/>
      <c r="E32" s="674">
        <f>E33*0.52</f>
        <v>6.7259111111111118E-3</v>
      </c>
      <c r="H32" s="788"/>
    </row>
    <row r="33" spans="1:8">
      <c r="A33" s="652" t="s">
        <v>609</v>
      </c>
      <c r="B33" s="644" t="s">
        <v>599</v>
      </c>
      <c r="C33" s="666"/>
      <c r="D33" s="667"/>
      <c r="E33" s="674">
        <f>0.046564/3.6</f>
        <v>1.2934444444444445E-2</v>
      </c>
      <c r="H33" s="788"/>
    </row>
    <row r="34" spans="1:8">
      <c r="A34" s="652" t="s">
        <v>610</v>
      </c>
      <c r="B34" s="644" t="s">
        <v>598</v>
      </c>
      <c r="C34" s="666"/>
      <c r="D34" s="667"/>
      <c r="E34" s="674">
        <f>E35*0.175</f>
        <v>2.3333333333333331E-3</v>
      </c>
      <c r="H34" s="788"/>
    </row>
    <row r="35" spans="1:8">
      <c r="A35" s="652" t="s">
        <v>610</v>
      </c>
      <c r="B35" s="644" t="s">
        <v>599</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623</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680</v>
      </c>
      <c r="C21" s="131" t="s">
        <v>591</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560</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560</v>
      </c>
      <c r="B4" s="332"/>
      <c r="C4" s="332"/>
      <c r="D4" s="332"/>
      <c r="E4" s="332"/>
      <c r="F4" s="332"/>
    </row>
    <row r="5" spans="1:6" ht="22.5">
      <c r="A5" s="1297" t="s">
        <v>561</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34321</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641</v>
      </c>
      <c r="D12" s="333"/>
      <c r="E12" s="333"/>
      <c r="F12" s="337"/>
    </row>
    <row r="13" spans="1:6" ht="16.5" thickTop="1" thickBot="1">
      <c r="A13" s="1303" t="s">
        <v>4</v>
      </c>
      <c r="B13" s="1304" t="s">
        <v>5</v>
      </c>
      <c r="C13" s="1304"/>
      <c r="D13" s="1304"/>
      <c r="E13" s="1304"/>
      <c r="F13" s="1305"/>
    </row>
    <row r="14" spans="1:6">
      <c r="A14" s="1306" t="s">
        <v>915</v>
      </c>
      <c r="B14" s="1307">
        <v>3077</v>
      </c>
      <c r="C14" s="332"/>
      <c r="D14" s="332"/>
      <c r="E14" s="332"/>
      <c r="F14" s="332"/>
    </row>
    <row r="15" spans="1:6">
      <c r="A15" s="1306" t="s">
        <v>183</v>
      </c>
      <c r="B15" s="1307">
        <v>3863</v>
      </c>
      <c r="C15" s="332"/>
      <c r="D15" s="332"/>
      <c r="E15" s="332"/>
      <c r="F15" s="332"/>
    </row>
    <row r="16" spans="1:6">
      <c r="A16" s="1306" t="s">
        <v>6</v>
      </c>
      <c r="B16" s="1307">
        <v>543</v>
      </c>
      <c r="C16" s="332"/>
      <c r="D16" s="332"/>
      <c r="E16" s="332"/>
      <c r="F16" s="332"/>
    </row>
    <row r="17" spans="1:6">
      <c r="A17" s="1306" t="s">
        <v>7</v>
      </c>
      <c r="B17" s="1307">
        <v>330</v>
      </c>
      <c r="C17" s="332"/>
      <c r="D17" s="332"/>
      <c r="E17" s="332"/>
      <c r="F17" s="332"/>
    </row>
    <row r="18" spans="1:6">
      <c r="A18" s="1306" t="s">
        <v>8</v>
      </c>
      <c r="B18" s="1307">
        <v>581</v>
      </c>
      <c r="C18" s="332"/>
      <c r="D18" s="332"/>
      <c r="E18" s="332"/>
      <c r="F18" s="332"/>
    </row>
    <row r="19" spans="1:6">
      <c r="A19" s="1306" t="s">
        <v>9</v>
      </c>
      <c r="B19" s="1307">
        <v>539</v>
      </c>
      <c r="C19" s="332"/>
      <c r="D19" s="332"/>
      <c r="E19" s="332"/>
      <c r="F19" s="332"/>
    </row>
    <row r="20" spans="1:6">
      <c r="A20" s="1306" t="s">
        <v>10</v>
      </c>
      <c r="B20" s="1307">
        <v>509</v>
      </c>
      <c r="C20" s="332"/>
      <c r="D20" s="332"/>
      <c r="E20" s="332"/>
      <c r="F20" s="332"/>
    </row>
    <row r="21" spans="1:6">
      <c r="A21" s="1306" t="s">
        <v>11</v>
      </c>
      <c r="B21" s="1307">
        <v>1340</v>
      </c>
      <c r="C21" s="332"/>
      <c r="D21" s="332"/>
      <c r="E21" s="332"/>
      <c r="F21" s="332"/>
    </row>
    <row r="22" spans="1:6">
      <c r="A22" s="1306" t="s">
        <v>12</v>
      </c>
      <c r="B22" s="1307">
        <v>3682</v>
      </c>
      <c r="C22" s="332"/>
      <c r="D22" s="332"/>
      <c r="E22" s="332"/>
      <c r="F22" s="332"/>
    </row>
    <row r="23" spans="1:6">
      <c r="A23" s="1306" t="s">
        <v>13</v>
      </c>
      <c r="B23" s="1307">
        <v>37</v>
      </c>
      <c r="C23" s="332"/>
      <c r="D23" s="332"/>
      <c r="E23" s="332"/>
      <c r="F23" s="332"/>
    </row>
    <row r="24" spans="1:6">
      <c r="A24" s="1306" t="s">
        <v>14</v>
      </c>
      <c r="B24" s="1307">
        <v>3</v>
      </c>
      <c r="C24" s="332"/>
      <c r="D24" s="332"/>
      <c r="E24" s="332"/>
      <c r="F24" s="332"/>
    </row>
    <row r="25" spans="1:6">
      <c r="A25" s="1306" t="s">
        <v>15</v>
      </c>
      <c r="B25" s="1307">
        <v>356</v>
      </c>
      <c r="C25" s="332"/>
      <c r="D25" s="332"/>
      <c r="E25" s="332"/>
      <c r="F25" s="332"/>
    </row>
    <row r="26" spans="1:6">
      <c r="A26" s="1306" t="s">
        <v>16</v>
      </c>
      <c r="B26" s="1307">
        <v>1040</v>
      </c>
      <c r="C26" s="332"/>
      <c r="D26" s="332"/>
      <c r="E26" s="332"/>
      <c r="F26" s="332"/>
    </row>
    <row r="27" spans="1:6">
      <c r="A27" s="1306" t="s">
        <v>17</v>
      </c>
      <c r="B27" s="1307">
        <v>315</v>
      </c>
      <c r="C27" s="332"/>
      <c r="D27" s="332"/>
      <c r="E27" s="332"/>
      <c r="F27" s="332"/>
    </row>
    <row r="28" spans="1:6" s="43" customFormat="1">
      <c r="A28" s="1308" t="s">
        <v>18</v>
      </c>
      <c r="B28" s="1309">
        <v>50185</v>
      </c>
      <c r="C28" s="338"/>
      <c r="D28" s="338"/>
      <c r="E28" s="338"/>
      <c r="F28" s="338"/>
    </row>
    <row r="29" spans="1:6">
      <c r="A29" s="1308" t="s">
        <v>916</v>
      </c>
      <c r="B29" s="1309">
        <v>461</v>
      </c>
      <c r="C29" s="338"/>
      <c r="D29" s="338"/>
      <c r="E29" s="338"/>
      <c r="F29" s="338"/>
    </row>
    <row r="30" spans="1:6">
      <c r="A30" s="1301" t="s">
        <v>917</v>
      </c>
      <c r="B30" s="1310">
        <v>134</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48</v>
      </c>
      <c r="F36" s="1307">
        <v>3566171</v>
      </c>
    </row>
    <row r="37" spans="1:6">
      <c r="A37" s="1306" t="s">
        <v>24</v>
      </c>
      <c r="B37" s="1306" t="s">
        <v>27</v>
      </c>
      <c r="C37" s="1307">
        <v>0</v>
      </c>
      <c r="D37" s="1307">
        <v>0</v>
      </c>
      <c r="E37" s="1307">
        <v>3</v>
      </c>
      <c r="F37" s="1307">
        <v>92291</v>
      </c>
    </row>
    <row r="38" spans="1:6">
      <c r="A38" s="1306" t="s">
        <v>24</v>
      </c>
      <c r="B38" s="1306" t="s">
        <v>28</v>
      </c>
      <c r="C38" s="1307">
        <v>3</v>
      </c>
      <c r="D38" s="1307">
        <v>3920925</v>
      </c>
      <c r="E38" s="1307">
        <v>2</v>
      </c>
      <c r="F38" s="1307">
        <v>593108</v>
      </c>
    </row>
    <row r="39" spans="1:6">
      <c r="A39" s="1306" t="s">
        <v>29</v>
      </c>
      <c r="B39" s="1306" t="s">
        <v>30</v>
      </c>
      <c r="C39" s="1307">
        <v>22287</v>
      </c>
      <c r="D39" s="1307">
        <v>356398914</v>
      </c>
      <c r="E39" s="1307">
        <v>34708</v>
      </c>
      <c r="F39" s="1307">
        <v>123420812</v>
      </c>
    </row>
    <row r="40" spans="1:6">
      <c r="A40" s="1306" t="s">
        <v>29</v>
      </c>
      <c r="B40" s="1306" t="s">
        <v>28</v>
      </c>
      <c r="C40" s="1307">
        <v>0</v>
      </c>
      <c r="D40" s="1307">
        <v>0</v>
      </c>
      <c r="E40" s="1307">
        <v>0</v>
      </c>
      <c r="F40" s="1307">
        <v>0</v>
      </c>
    </row>
    <row r="41" spans="1:6">
      <c r="A41" s="1306" t="s">
        <v>31</v>
      </c>
      <c r="B41" s="1306" t="s">
        <v>32</v>
      </c>
      <c r="C41" s="1307">
        <v>240</v>
      </c>
      <c r="D41" s="1307">
        <v>17412949</v>
      </c>
      <c r="E41" s="1307">
        <v>576</v>
      </c>
      <c r="F41" s="1307">
        <v>32295413</v>
      </c>
    </row>
    <row r="42" spans="1:6">
      <c r="A42" s="1306" t="s">
        <v>31</v>
      </c>
      <c r="B42" s="1306" t="s">
        <v>33</v>
      </c>
      <c r="C42" s="1307">
        <v>4</v>
      </c>
      <c r="D42" s="1307">
        <v>683853</v>
      </c>
      <c r="E42" s="1307">
        <v>10</v>
      </c>
      <c r="F42" s="1307">
        <v>1458032</v>
      </c>
    </row>
    <row r="43" spans="1:6">
      <c r="A43" s="1306" t="s">
        <v>31</v>
      </c>
      <c r="B43" s="1306" t="s">
        <v>34</v>
      </c>
      <c r="C43" s="1307">
        <v>0</v>
      </c>
      <c r="D43" s="1307">
        <v>0</v>
      </c>
      <c r="E43" s="1307">
        <v>0</v>
      </c>
      <c r="F43" s="1307">
        <v>0</v>
      </c>
    </row>
    <row r="44" spans="1:6">
      <c r="A44" s="1306" t="s">
        <v>31</v>
      </c>
      <c r="B44" s="1306" t="s">
        <v>35</v>
      </c>
      <c r="C44" s="1307">
        <v>24</v>
      </c>
      <c r="D44" s="1307">
        <v>4373455</v>
      </c>
      <c r="E44" s="1307">
        <v>82</v>
      </c>
      <c r="F44" s="1307">
        <v>3957952</v>
      </c>
    </row>
    <row r="45" spans="1:6">
      <c r="A45" s="1306" t="s">
        <v>31</v>
      </c>
      <c r="B45" s="1306" t="s">
        <v>36</v>
      </c>
      <c r="C45" s="1307">
        <v>9</v>
      </c>
      <c r="D45" s="1307">
        <v>49772566</v>
      </c>
      <c r="E45" s="1307">
        <v>17</v>
      </c>
      <c r="F45" s="1307">
        <v>11911291</v>
      </c>
    </row>
    <row r="46" spans="1:6">
      <c r="A46" s="1306" t="s">
        <v>31</v>
      </c>
      <c r="B46" s="1306" t="s">
        <v>37</v>
      </c>
      <c r="C46" s="1307">
        <v>0</v>
      </c>
      <c r="D46" s="1307">
        <v>0</v>
      </c>
      <c r="E46" s="1307">
        <v>0</v>
      </c>
      <c r="F46" s="1307">
        <v>0</v>
      </c>
    </row>
    <row r="47" spans="1:6">
      <c r="A47" s="1306" t="s">
        <v>31</v>
      </c>
      <c r="B47" s="1306" t="s">
        <v>38</v>
      </c>
      <c r="C47" s="1307">
        <v>10</v>
      </c>
      <c r="D47" s="1307">
        <v>3533676</v>
      </c>
      <c r="E47" s="1307">
        <v>20</v>
      </c>
      <c r="F47" s="1307">
        <v>4053610</v>
      </c>
    </row>
    <row r="48" spans="1:6">
      <c r="A48" s="1306" t="s">
        <v>31</v>
      </c>
      <c r="B48" s="1306" t="s">
        <v>28</v>
      </c>
      <c r="C48" s="1307">
        <v>1</v>
      </c>
      <c r="D48" s="1307">
        <v>33754</v>
      </c>
      <c r="E48" s="1307">
        <v>2</v>
      </c>
      <c r="F48" s="1307">
        <v>64328</v>
      </c>
    </row>
    <row r="49" spans="1:6">
      <c r="A49" s="1306" t="s">
        <v>31</v>
      </c>
      <c r="B49" s="1306" t="s">
        <v>39</v>
      </c>
      <c r="C49" s="1307">
        <v>9</v>
      </c>
      <c r="D49" s="1307">
        <v>288610</v>
      </c>
      <c r="E49" s="1307">
        <v>18</v>
      </c>
      <c r="F49" s="1307">
        <v>418204</v>
      </c>
    </row>
    <row r="50" spans="1:6">
      <c r="A50" s="1306" t="s">
        <v>31</v>
      </c>
      <c r="B50" s="1306" t="s">
        <v>40</v>
      </c>
      <c r="C50" s="1307">
        <v>43</v>
      </c>
      <c r="D50" s="1307">
        <v>10565529</v>
      </c>
      <c r="E50" s="1307">
        <v>78</v>
      </c>
      <c r="F50" s="1307">
        <v>11567435</v>
      </c>
    </row>
    <row r="51" spans="1:6">
      <c r="A51" s="1306" t="s">
        <v>41</v>
      </c>
      <c r="B51" s="1306" t="s">
        <v>42</v>
      </c>
      <c r="C51" s="1307">
        <v>27</v>
      </c>
      <c r="D51" s="1307">
        <v>2775208</v>
      </c>
      <c r="E51" s="1307">
        <v>116</v>
      </c>
      <c r="F51" s="1307">
        <v>1854613</v>
      </c>
    </row>
    <row r="52" spans="1:6">
      <c r="A52" s="1306" t="s">
        <v>41</v>
      </c>
      <c r="B52" s="1306" t="s">
        <v>28</v>
      </c>
      <c r="C52" s="1307">
        <v>0</v>
      </c>
      <c r="D52" s="1307">
        <v>0</v>
      </c>
      <c r="E52" s="1307">
        <v>0</v>
      </c>
      <c r="F52" s="1307">
        <v>0</v>
      </c>
    </row>
    <row r="53" spans="1:6">
      <c r="A53" s="1306" t="s">
        <v>43</v>
      </c>
      <c r="B53" s="1306" t="s">
        <v>44</v>
      </c>
      <c r="C53" s="1307">
        <v>0</v>
      </c>
      <c r="D53" s="1307">
        <v>0</v>
      </c>
      <c r="E53" s="1307">
        <v>0</v>
      </c>
      <c r="F53" s="1307">
        <v>0</v>
      </c>
    </row>
    <row r="54" spans="1:6">
      <c r="A54" s="1306" t="s">
        <v>45</v>
      </c>
      <c r="B54" s="1306" t="s">
        <v>46</v>
      </c>
      <c r="C54" s="1307">
        <v>0</v>
      </c>
      <c r="D54" s="1307">
        <v>0</v>
      </c>
      <c r="E54" s="1307">
        <v>360</v>
      </c>
      <c r="F54" s="1307">
        <v>5052121</v>
      </c>
    </row>
    <row r="55" spans="1:6">
      <c r="A55" s="1306" t="s">
        <v>45</v>
      </c>
      <c r="B55" s="1306" t="s">
        <v>28</v>
      </c>
      <c r="C55" s="1307">
        <v>0</v>
      </c>
      <c r="D55" s="1307">
        <v>0</v>
      </c>
      <c r="E55" s="1307">
        <v>0</v>
      </c>
      <c r="F55" s="1307">
        <v>0</v>
      </c>
    </row>
    <row r="56" spans="1:6">
      <c r="A56" s="1306" t="s">
        <v>47</v>
      </c>
      <c r="B56" s="1306" t="s">
        <v>28</v>
      </c>
      <c r="C56" s="1307">
        <v>807</v>
      </c>
      <c r="D56" s="1307">
        <v>104429768</v>
      </c>
      <c r="E56" s="1307">
        <v>1009</v>
      </c>
      <c r="F56" s="1307">
        <v>7682289</v>
      </c>
    </row>
    <row r="57" spans="1:6">
      <c r="A57" s="1306" t="s">
        <v>48</v>
      </c>
      <c r="B57" s="1306" t="s">
        <v>49</v>
      </c>
      <c r="C57" s="1307">
        <v>215</v>
      </c>
      <c r="D57" s="1307">
        <v>17712426</v>
      </c>
      <c r="E57" s="1307">
        <v>543</v>
      </c>
      <c r="F57" s="1307">
        <v>15481598</v>
      </c>
    </row>
    <row r="58" spans="1:6">
      <c r="A58" s="1306" t="s">
        <v>48</v>
      </c>
      <c r="B58" s="1306" t="s">
        <v>50</v>
      </c>
      <c r="C58" s="1307">
        <v>168</v>
      </c>
      <c r="D58" s="1307">
        <v>15969407</v>
      </c>
      <c r="E58" s="1307">
        <v>312</v>
      </c>
      <c r="F58" s="1307">
        <v>18896767</v>
      </c>
    </row>
    <row r="59" spans="1:6">
      <c r="A59" s="1306" t="s">
        <v>48</v>
      </c>
      <c r="B59" s="1306" t="s">
        <v>51</v>
      </c>
      <c r="C59" s="1307">
        <v>619</v>
      </c>
      <c r="D59" s="1307">
        <v>36781092</v>
      </c>
      <c r="E59" s="1307">
        <v>1354</v>
      </c>
      <c r="F59" s="1307">
        <v>63222522</v>
      </c>
    </row>
    <row r="60" spans="1:6">
      <c r="A60" s="1306" t="s">
        <v>48</v>
      </c>
      <c r="B60" s="1306" t="s">
        <v>52</v>
      </c>
      <c r="C60" s="1307">
        <v>248</v>
      </c>
      <c r="D60" s="1307">
        <v>17767270</v>
      </c>
      <c r="E60" s="1307">
        <v>414</v>
      </c>
      <c r="F60" s="1307">
        <v>18896925</v>
      </c>
    </row>
    <row r="61" spans="1:6">
      <c r="A61" s="1306" t="s">
        <v>48</v>
      </c>
      <c r="B61" s="1306" t="s">
        <v>53</v>
      </c>
      <c r="C61" s="1307">
        <v>822</v>
      </c>
      <c r="D61" s="1307">
        <v>71133639</v>
      </c>
      <c r="E61" s="1307">
        <v>2383</v>
      </c>
      <c r="F61" s="1307">
        <v>71826491</v>
      </c>
    </row>
    <row r="62" spans="1:6">
      <c r="A62" s="1306" t="s">
        <v>48</v>
      </c>
      <c r="B62" s="1306" t="s">
        <v>54</v>
      </c>
      <c r="C62" s="1307">
        <v>51</v>
      </c>
      <c r="D62" s="1307">
        <v>12053502</v>
      </c>
      <c r="E62" s="1307">
        <v>98</v>
      </c>
      <c r="F62" s="1307">
        <v>8485586</v>
      </c>
    </row>
    <row r="63" spans="1:6">
      <c r="A63" s="1306" t="s">
        <v>48</v>
      </c>
      <c r="B63" s="1306" t="s">
        <v>28</v>
      </c>
      <c r="C63" s="1307">
        <v>0</v>
      </c>
      <c r="D63" s="1307">
        <v>0</v>
      </c>
      <c r="E63" s="1307">
        <v>0</v>
      </c>
      <c r="F63" s="1307">
        <v>0</v>
      </c>
    </row>
    <row r="64" spans="1:6">
      <c r="A64" s="1306" t="s">
        <v>55</v>
      </c>
      <c r="B64" s="1306" t="s">
        <v>56</v>
      </c>
      <c r="C64" s="1307">
        <v>0</v>
      </c>
      <c r="D64" s="1307">
        <v>0</v>
      </c>
      <c r="E64" s="1307">
        <v>0</v>
      </c>
      <c r="F64" s="1307">
        <v>0</v>
      </c>
    </row>
    <row r="65" spans="1:6">
      <c r="A65" s="1306" t="s">
        <v>55</v>
      </c>
      <c r="B65" s="1306" t="s">
        <v>28</v>
      </c>
      <c r="C65" s="1307">
        <v>1</v>
      </c>
      <c r="D65" s="1307">
        <v>2203329</v>
      </c>
      <c r="E65" s="1307">
        <v>0</v>
      </c>
      <c r="F65" s="1307">
        <v>0</v>
      </c>
    </row>
    <row r="66" spans="1:6">
      <c r="A66" s="1306" t="s">
        <v>55</v>
      </c>
      <c r="B66" s="1306" t="s">
        <v>57</v>
      </c>
      <c r="C66" s="1307">
        <v>3</v>
      </c>
      <c r="D66" s="1307">
        <v>51880</v>
      </c>
      <c r="E66" s="1307">
        <v>3</v>
      </c>
      <c r="F66" s="1307">
        <v>59717</v>
      </c>
    </row>
    <row r="67" spans="1:6">
      <c r="A67" s="1308" t="s">
        <v>55</v>
      </c>
      <c r="B67" s="1308" t="s">
        <v>58</v>
      </c>
      <c r="C67" s="1307">
        <v>0</v>
      </c>
      <c r="D67" s="1307">
        <v>0</v>
      </c>
      <c r="E67" s="1307">
        <v>0</v>
      </c>
      <c r="F67" s="1307">
        <v>0</v>
      </c>
    </row>
    <row r="68" spans="1:6">
      <c r="A68" s="1301" t="s">
        <v>55</v>
      </c>
      <c r="B68" s="1301" t="s">
        <v>59</v>
      </c>
      <c r="C68" s="1310">
        <v>19</v>
      </c>
      <c r="D68" s="1310">
        <v>2190423</v>
      </c>
      <c r="E68" s="1310">
        <v>37</v>
      </c>
      <c r="F68" s="1310">
        <v>1051856</v>
      </c>
    </row>
    <row r="69" spans="1:6" ht="15.75" thickBot="1">
      <c r="A69" s="336"/>
      <c r="B69" s="332"/>
      <c r="C69" s="332"/>
      <c r="D69" s="332"/>
      <c r="E69" s="332"/>
      <c r="F69" s="332"/>
    </row>
    <row r="70" spans="1:6" ht="19.5">
      <c r="A70" s="1298" t="s">
        <v>60</v>
      </c>
      <c r="B70" s="333" t="s">
        <v>409</v>
      </c>
      <c r="C70" s="333" t="s">
        <v>759</v>
      </c>
      <c r="D70" s="333"/>
      <c r="E70" s="333"/>
      <c r="F70" s="337"/>
    </row>
    <row r="71" spans="1:6" ht="20.25" thickBot="1">
      <c r="A71" s="1317"/>
      <c r="B71" s="339"/>
      <c r="C71" s="339"/>
      <c r="D71" s="340" t="s">
        <v>450</v>
      </c>
      <c r="E71" s="339"/>
      <c r="F71" s="341"/>
    </row>
    <row r="72" spans="1:6" ht="16.5" thickTop="1" thickBot="1">
      <c r="A72" s="1303" t="s">
        <v>61</v>
      </c>
      <c r="B72" s="1304" t="s">
        <v>62</v>
      </c>
      <c r="C72" s="1318" t="s">
        <v>723</v>
      </c>
      <c r="D72" s="1319"/>
      <c r="E72" s="1319"/>
      <c r="F72" s="1305"/>
    </row>
    <row r="73" spans="1:6">
      <c r="A73" s="1306" t="s">
        <v>63</v>
      </c>
      <c r="B73" s="1306" t="s">
        <v>724</v>
      </c>
      <c r="C73" s="1320" t="s">
        <v>725</v>
      </c>
      <c r="D73" s="1321">
        <v>352100326</v>
      </c>
      <c r="E73" s="456"/>
      <c r="F73" s="332"/>
    </row>
    <row r="74" spans="1:6">
      <c r="A74" s="1306" t="s">
        <v>63</v>
      </c>
      <c r="B74" s="1306" t="s">
        <v>726</v>
      </c>
      <c r="C74" s="1320" t="s">
        <v>727</v>
      </c>
      <c r="D74" s="1321">
        <v>24140879.317777142</v>
      </c>
      <c r="E74" s="456"/>
      <c r="F74" s="332"/>
    </row>
    <row r="75" spans="1:6">
      <c r="A75" s="1306" t="s">
        <v>64</v>
      </c>
      <c r="B75" s="1306" t="s">
        <v>724</v>
      </c>
      <c r="C75" s="1320" t="s">
        <v>728</v>
      </c>
      <c r="D75" s="1321">
        <v>95782256</v>
      </c>
      <c r="E75" s="456"/>
      <c r="F75" s="332"/>
    </row>
    <row r="76" spans="1:6">
      <c r="A76" s="1306" t="s">
        <v>64</v>
      </c>
      <c r="B76" s="1306" t="s">
        <v>726</v>
      </c>
      <c r="C76" s="1320" t="s">
        <v>729</v>
      </c>
      <c r="D76" s="1321">
        <v>240414.30000000002</v>
      </c>
      <c r="E76" s="456"/>
      <c r="F76" s="332"/>
    </row>
    <row r="77" spans="1:6">
      <c r="A77" s="1306" t="s">
        <v>65</v>
      </c>
      <c r="B77" s="1306" t="s">
        <v>724</v>
      </c>
      <c r="C77" s="1320" t="s">
        <v>730</v>
      </c>
      <c r="D77" s="1321">
        <v>210290184</v>
      </c>
      <c r="E77" s="456"/>
      <c r="F77" s="332"/>
    </row>
    <row r="78" spans="1:6">
      <c r="A78" s="1301" t="s">
        <v>65</v>
      </c>
      <c r="B78" s="1301" t="s">
        <v>726</v>
      </c>
      <c r="C78" s="1301" t="s">
        <v>731</v>
      </c>
      <c r="D78" s="1322">
        <v>22391907</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4958093.3644457161</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562</v>
      </c>
      <c r="B89" s="1307">
        <v>0</v>
      </c>
      <c r="C89" s="332"/>
      <c r="D89" s="332"/>
      <c r="E89" s="332"/>
      <c r="F89" s="332"/>
    </row>
    <row r="90" spans="1:6">
      <c r="A90" s="1306" t="s">
        <v>563</v>
      </c>
      <c r="B90" s="1307">
        <v>15825.32915</v>
      </c>
      <c r="C90" s="332"/>
      <c r="D90" s="332"/>
      <c r="E90" s="332"/>
      <c r="F90" s="332"/>
    </row>
    <row r="91" spans="1:6">
      <c r="A91" s="1306" t="s">
        <v>67</v>
      </c>
      <c r="B91" s="1307">
        <v>12617.189287280826</v>
      </c>
      <c r="C91" s="332"/>
      <c r="D91" s="332"/>
      <c r="E91" s="332"/>
      <c r="F91" s="332"/>
    </row>
    <row r="92" spans="1:6">
      <c r="A92" s="1301" t="s">
        <v>68</v>
      </c>
      <c r="B92" s="1302">
        <v>9775.9062802829721</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12607</v>
      </c>
      <c r="C97" s="332"/>
      <c r="D97" s="332"/>
      <c r="E97" s="332"/>
      <c r="F97" s="332"/>
    </row>
    <row r="98" spans="1:6">
      <c r="A98" s="1306" t="s">
        <v>71</v>
      </c>
      <c r="B98" s="1307">
        <v>2</v>
      </c>
      <c r="C98" s="332"/>
      <c r="D98" s="332"/>
      <c r="E98" s="332"/>
      <c r="F98" s="332"/>
    </row>
    <row r="99" spans="1:6">
      <c r="A99" s="1306" t="s">
        <v>72</v>
      </c>
      <c r="B99" s="1307">
        <v>137</v>
      </c>
      <c r="C99" s="332"/>
      <c r="D99" s="332"/>
      <c r="E99" s="332"/>
      <c r="F99" s="332"/>
    </row>
    <row r="100" spans="1:6">
      <c r="A100" s="1306" t="s">
        <v>73</v>
      </c>
      <c r="B100" s="1307">
        <v>1808</v>
      </c>
      <c r="C100" s="332"/>
      <c r="D100" s="332"/>
      <c r="E100" s="332"/>
      <c r="F100" s="332"/>
    </row>
    <row r="101" spans="1:6">
      <c r="A101" s="1306" t="s">
        <v>74</v>
      </c>
      <c r="B101" s="1307">
        <v>132</v>
      </c>
      <c r="C101" s="332"/>
      <c r="D101" s="332"/>
      <c r="E101" s="332"/>
      <c r="F101" s="332"/>
    </row>
    <row r="102" spans="1:6">
      <c r="A102" s="1306" t="s">
        <v>75</v>
      </c>
      <c r="B102" s="1307">
        <v>416</v>
      </c>
      <c r="C102" s="332"/>
      <c r="D102" s="332"/>
      <c r="E102" s="332"/>
      <c r="F102" s="332"/>
    </row>
    <row r="103" spans="1:6">
      <c r="A103" s="1306" t="s">
        <v>76</v>
      </c>
      <c r="B103" s="1307">
        <v>298</v>
      </c>
      <c r="C103" s="332"/>
      <c r="D103" s="332"/>
      <c r="E103" s="332"/>
      <c r="F103" s="332"/>
    </row>
    <row r="104" spans="1:6">
      <c r="A104" s="1306" t="s">
        <v>77</v>
      </c>
      <c r="B104" s="1307">
        <v>12509</v>
      </c>
      <c r="C104" s="332"/>
      <c r="D104" s="332"/>
      <c r="E104" s="332"/>
      <c r="F104" s="332"/>
    </row>
    <row r="105" spans="1:6">
      <c r="A105" s="1301" t="s">
        <v>78</v>
      </c>
      <c r="B105" s="1310">
        <v>11</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669</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670</v>
      </c>
      <c r="B110" s="1307">
        <v>0</v>
      </c>
      <c r="C110" s="332"/>
      <c r="D110" s="332"/>
      <c r="E110" s="332"/>
      <c r="F110" s="332"/>
    </row>
    <row r="111" spans="1:6">
      <c r="A111" s="1327" t="s">
        <v>671</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1</v>
      </c>
      <c r="C121" s="1307">
        <v>0</v>
      </c>
      <c r="D121" s="332"/>
      <c r="E121" s="332"/>
      <c r="F121" s="332"/>
    </row>
    <row r="122" spans="1:6">
      <c r="A122" s="1306" t="s">
        <v>86</v>
      </c>
      <c r="B122" s="1307">
        <v>0</v>
      </c>
      <c r="C122" s="1307">
        <v>0</v>
      </c>
      <c r="D122" s="332"/>
      <c r="E122" s="332"/>
      <c r="F122" s="332"/>
    </row>
    <row r="123" spans="1:6">
      <c r="A123" s="1306" t="s">
        <v>87</v>
      </c>
      <c r="B123" s="1307">
        <v>52</v>
      </c>
      <c r="C123" s="1307">
        <v>49</v>
      </c>
      <c r="D123" s="332"/>
      <c r="E123" s="332"/>
      <c r="F123" s="332"/>
    </row>
    <row r="124" spans="1:6" s="43" customFormat="1">
      <c r="A124" s="1308" t="s">
        <v>88</v>
      </c>
      <c r="B124" s="1329">
        <v>3</v>
      </c>
      <c r="C124" s="1329">
        <v>0</v>
      </c>
      <c r="D124" s="338"/>
      <c r="E124" s="338"/>
      <c r="F124" s="338"/>
    </row>
    <row r="125" spans="1:6">
      <c r="A125" s="1301" t="s">
        <v>914</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376</v>
      </c>
      <c r="C129" s="332"/>
      <c r="D129" s="332"/>
      <c r="E129" s="332"/>
      <c r="F129" s="332"/>
    </row>
    <row r="130" spans="1:6">
      <c r="A130" s="1306" t="s">
        <v>294</v>
      </c>
      <c r="B130" s="1307">
        <v>6</v>
      </c>
      <c r="C130" s="332"/>
      <c r="D130" s="332"/>
      <c r="E130" s="332"/>
      <c r="F130" s="332"/>
    </row>
    <row r="131" spans="1:6">
      <c r="A131" s="1306" t="s">
        <v>295</v>
      </c>
      <c r="B131" s="1307">
        <v>8</v>
      </c>
      <c r="C131" s="332"/>
      <c r="D131" s="332"/>
      <c r="E131" s="332"/>
      <c r="F131" s="332"/>
    </row>
    <row r="132" spans="1:6">
      <c r="A132" s="1301" t="s">
        <v>296</v>
      </c>
      <c r="B132" s="1302">
        <v>42</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698</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698</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699</v>
      </c>
      <c r="B44" s="516"/>
      <c r="E44" s="648"/>
      <c r="F44" s="648"/>
    </row>
    <row r="45" spans="1:14">
      <c r="A45" s="44"/>
      <c r="B45" s="516"/>
      <c r="E45" s="648"/>
      <c r="F45" s="648"/>
    </row>
    <row r="46" spans="1:14" ht="18">
      <c r="A46" s="137" t="s">
        <v>189</v>
      </c>
      <c r="B46" s="517" t="s">
        <v>589</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640</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707</v>
      </c>
    </row>
    <row r="5" spans="1:3" ht="15.75" thickBot="1">
      <c r="A5" s="115" t="s">
        <v>639</v>
      </c>
      <c r="B5" s="536">
        <v>672355</v>
      </c>
      <c r="C5" s="140" t="s">
        <v>683</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677</v>
      </c>
      <c r="C6" s="421" t="s">
        <v>357</v>
      </c>
    </row>
    <row r="7" spans="1:3" s="332" customFormat="1">
      <c r="A7" s="422" t="s">
        <v>656</v>
      </c>
      <c r="B7" s="423" t="s">
        <v>616</v>
      </c>
      <c r="C7" s="424" t="s">
        <v>615</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416655.24150503491</v>
      </c>
      <c r="C3" s="43" t="s">
        <v>169</v>
      </c>
      <c r="D3" s="43"/>
      <c r="E3" s="156"/>
      <c r="F3" s="43"/>
      <c r="G3" s="43"/>
      <c r="H3" s="43"/>
      <c r="I3" s="43"/>
      <c r="J3" s="43"/>
      <c r="K3" s="96"/>
    </row>
    <row r="4" spans="1:11">
      <c r="A4" s="363" t="s">
        <v>170</v>
      </c>
      <c r="B4" s="49">
        <f>IF(ISERROR('SEAP template'!B78+'SEAP template'!C78),0,'SEAP template'!B78+'SEAP template'!C78)</f>
        <v>41682.074717563795</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788</v>
      </c>
      <c r="G6" s="43" t="s">
        <v>791</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529.03800000000012</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0.20016094735489684</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755.76857142857159</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3180.2142857142858</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0.23764705882352946</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723</v>
      </c>
      <c r="B1" s="881" t="s">
        <v>307</v>
      </c>
      <c r="C1" s="881" t="s">
        <v>311</v>
      </c>
      <c r="D1" s="881" t="s">
        <v>312</v>
      </c>
      <c r="E1" s="881" t="s">
        <v>313</v>
      </c>
      <c r="F1" s="881" t="s">
        <v>314</v>
      </c>
      <c r="G1" s="316"/>
      <c r="H1" s="1074" t="s">
        <v>908</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732</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732</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732</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732</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724</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724</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724</v>
      </c>
      <c r="C9" s="916" t="s">
        <v>63</v>
      </c>
      <c r="D9" s="916" t="s">
        <v>672</v>
      </c>
      <c r="E9" s="916" t="s">
        <v>672</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724</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724</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724</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724</v>
      </c>
      <c r="C13" s="916" t="s">
        <v>63</v>
      </c>
      <c r="D13" s="916" t="s">
        <v>734</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724</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724</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724</v>
      </c>
      <c r="C16" s="916" t="s">
        <v>64</v>
      </c>
      <c r="D16" s="916" t="s">
        <v>672</v>
      </c>
      <c r="E16" s="916" t="s">
        <v>672</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724</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724</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724</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724</v>
      </c>
      <c r="C20" s="916" t="s">
        <v>64</v>
      </c>
      <c r="D20" s="916" t="s">
        <v>734</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724</v>
      </c>
      <c r="C21" s="916" t="s">
        <v>733</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724</v>
      </c>
      <c r="C22" s="916" t="s">
        <v>733</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724</v>
      </c>
      <c r="C23" s="916" t="s">
        <v>733</v>
      </c>
      <c r="D23" s="916" t="s">
        <v>672</v>
      </c>
      <c r="E23" s="916" t="s">
        <v>672</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724</v>
      </c>
      <c r="C24" s="916" t="s">
        <v>733</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724</v>
      </c>
      <c r="C25" s="916" t="s">
        <v>733</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724</v>
      </c>
      <c r="C26" s="916" t="s">
        <v>733</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724</v>
      </c>
      <c r="C27" s="916" t="s">
        <v>733</v>
      </c>
      <c r="D27" s="916" t="s">
        <v>734</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726</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726</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726</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726</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726</v>
      </c>
      <c r="C32" s="916" t="s">
        <v>733</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726</v>
      </c>
      <c r="C33" s="916" t="s">
        <v>733</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748</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690</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5052.1210000000001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5052.1210000000001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0.20016094735489684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1011.2373255115688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123420.81200000001</v>
      </c>
      <c r="C5" s="17">
        <f>IF(ISERROR('Eigen informatie GS &amp; warmtenet'!B57),0,'Eigen informatie GS &amp; warmtenet'!B57)</f>
        <v>0</v>
      </c>
      <c r="D5" s="30">
        <f>(SUM(HH_hh_gas_kWh,HH_rest_gas_kWh)/1000)*0.902</f>
        <v>321471.82042800001</v>
      </c>
      <c r="E5" s="17">
        <f>B46*B57</f>
        <v>12312.240244018123</v>
      </c>
      <c r="F5" s="17">
        <f>B51*B62</f>
        <v>89360.594534610631</v>
      </c>
      <c r="G5" s="18"/>
      <c r="H5" s="17"/>
      <c r="I5" s="17"/>
      <c r="J5" s="17">
        <f>B50*B61+C50*C61</f>
        <v>0</v>
      </c>
      <c r="K5" s="17"/>
      <c r="L5" s="17"/>
      <c r="M5" s="17"/>
      <c r="N5" s="17">
        <f>B48*B59+C48*C59</f>
        <v>40606.376946132768</v>
      </c>
      <c r="O5" s="17">
        <f>B69*B70*B71</f>
        <v>664.41666666666663</v>
      </c>
      <c r="P5" s="17">
        <f>B77*B78*B79/1000-B77*B78*B79/1000/B80</f>
        <v>1849.4666666666667</v>
      </c>
    </row>
    <row r="6" spans="1:16">
      <c r="A6" s="16" t="s">
        <v>635</v>
      </c>
      <c r="B6" s="779">
        <f>kWh_PV_kleiner_dan_10kW</f>
        <v>12617.189287280826</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136038.00128728084</v>
      </c>
      <c r="C8" s="21">
        <f>C5</f>
        <v>0</v>
      </c>
      <c r="D8" s="21">
        <f>D5</f>
        <v>321471.82042800001</v>
      </c>
      <c r="E8" s="21">
        <f>E5</f>
        <v>12312.240244018123</v>
      </c>
      <c r="F8" s="21">
        <f>F5</f>
        <v>89360.594534610631</v>
      </c>
      <c r="G8" s="21"/>
      <c r="H8" s="21"/>
      <c r="I8" s="21"/>
      <c r="J8" s="21">
        <f>J5</f>
        <v>0</v>
      </c>
      <c r="K8" s="21"/>
      <c r="L8" s="21">
        <f>L5</f>
        <v>0</v>
      </c>
      <c r="M8" s="21">
        <f>M5</f>
        <v>0</v>
      </c>
      <c r="N8" s="21">
        <f>N5</f>
        <v>40606.376946132768</v>
      </c>
      <c r="O8" s="21">
        <f>O5</f>
        <v>664.41666666666663</v>
      </c>
      <c r="P8" s="21">
        <f>P5</f>
        <v>1849.4666666666667</v>
      </c>
    </row>
    <row r="9" spans="1:16">
      <c r="B9" s="19"/>
      <c r="C9" s="19"/>
      <c r="D9" s="261"/>
      <c r="E9" s="19"/>
      <c r="F9" s="19"/>
      <c r="G9" s="19"/>
      <c r="H9" s="19"/>
      <c r="I9" s="19"/>
      <c r="J9" s="19"/>
      <c r="K9" s="19"/>
      <c r="L9" s="19"/>
      <c r="M9" s="19"/>
      <c r="N9" s="19"/>
      <c r="O9" s="19"/>
      <c r="P9" s="19"/>
    </row>
    <row r="10" spans="1:16">
      <c r="A10" s="24" t="s">
        <v>213</v>
      </c>
      <c r="B10" s="25">
        <f ca="1">'EF ele_warmte'!B12</f>
        <v>0.20016094735489684</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27229.495213928811</v>
      </c>
      <c r="C12" s="23">
        <f ca="1">C10*C8</f>
        <v>0</v>
      </c>
      <c r="D12" s="23">
        <f>D8*D10</f>
        <v>64937.307726456005</v>
      </c>
      <c r="E12" s="23">
        <f>E10*E8</f>
        <v>2794.8785353921139</v>
      </c>
      <c r="F12" s="23">
        <f>F10*F8</f>
        <v>23859.27874074104</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12607</v>
      </c>
      <c r="C18" s="168" t="s">
        <v>110</v>
      </c>
      <c r="D18" s="230"/>
      <c r="E18" s="15"/>
    </row>
    <row r="19" spans="1:7">
      <c r="A19" s="173" t="s">
        <v>71</v>
      </c>
      <c r="B19" s="37">
        <f>aantalw2001_ander</f>
        <v>2</v>
      </c>
      <c r="C19" s="168" t="s">
        <v>110</v>
      </c>
      <c r="D19" s="231"/>
      <c r="E19" s="15"/>
    </row>
    <row r="20" spans="1:7">
      <c r="A20" s="173" t="s">
        <v>72</v>
      </c>
      <c r="B20" s="37">
        <f>aantalw2001_propaan</f>
        <v>137</v>
      </c>
      <c r="C20" s="169">
        <f>IF(ISERROR(B20/SUM($B$20,$B$21,$B$22)*100),0,B20/SUM($B$20,$B$21,$B$22)*100)</f>
        <v>6.5960519980741452</v>
      </c>
      <c r="D20" s="231"/>
      <c r="E20" s="15"/>
    </row>
    <row r="21" spans="1:7">
      <c r="A21" s="173" t="s">
        <v>73</v>
      </c>
      <c r="B21" s="37">
        <f>aantalw2001_elektriciteit</f>
        <v>1808</v>
      </c>
      <c r="C21" s="169">
        <f>IF(ISERROR(B21/SUM($B$20,$B$21,$B$22)*100),0,B21/SUM($B$20,$B$21,$B$22)*100)</f>
        <v>87.048627828598939</v>
      </c>
      <c r="D21" s="231"/>
      <c r="E21" s="15"/>
    </row>
    <row r="22" spans="1:7">
      <c r="A22" s="173" t="s">
        <v>74</v>
      </c>
      <c r="B22" s="37">
        <f>aantalw2001_hout</f>
        <v>132</v>
      </c>
      <c r="C22" s="169">
        <f>IF(ISERROR(B22/SUM($B$20,$B$21,$B$22)*100),0,B22/SUM($B$20,$B$21,$B$22)*100)</f>
        <v>6.3553201733269145</v>
      </c>
      <c r="D22" s="231"/>
      <c r="E22" s="15"/>
    </row>
    <row r="23" spans="1:7">
      <c r="A23" s="173" t="s">
        <v>75</v>
      </c>
      <c r="B23" s="37">
        <f>aantalw2001_niet_gespec</f>
        <v>416</v>
      </c>
      <c r="C23" s="168" t="s">
        <v>110</v>
      </c>
      <c r="D23" s="230"/>
      <c r="E23" s="15"/>
    </row>
    <row r="24" spans="1:7">
      <c r="A24" s="173" t="s">
        <v>76</v>
      </c>
      <c r="B24" s="37">
        <f>aantalw2001_steenkool</f>
        <v>298</v>
      </c>
      <c r="C24" s="168" t="s">
        <v>110</v>
      </c>
      <c r="D24" s="231"/>
      <c r="E24" s="15"/>
    </row>
    <row r="25" spans="1:7">
      <c r="A25" s="173" t="s">
        <v>77</v>
      </c>
      <c r="B25" s="37">
        <f>aantalw2001_stookolie</f>
        <v>12509</v>
      </c>
      <c r="C25" s="168" t="s">
        <v>110</v>
      </c>
      <c r="D25" s="230"/>
      <c r="E25" s="52"/>
    </row>
    <row r="26" spans="1:7">
      <c r="A26" s="173" t="s">
        <v>78</v>
      </c>
      <c r="B26" s="37">
        <f>aantalw2001_WP</f>
        <v>11</v>
      </c>
      <c r="C26" s="168" t="s">
        <v>110</v>
      </c>
      <c r="D26" s="230"/>
      <c r="E26" s="15"/>
    </row>
    <row r="27" spans="1:7" s="15" customFormat="1">
      <c r="A27" s="173"/>
      <c r="B27" s="29"/>
      <c r="C27" s="36"/>
      <c r="D27" s="230"/>
    </row>
    <row r="28" spans="1:7" s="15" customFormat="1">
      <c r="A28" s="232" t="s">
        <v>744</v>
      </c>
      <c r="B28" s="37">
        <f>aantalHuishoudens</f>
        <v>34321</v>
      </c>
      <c r="C28" s="36"/>
      <c r="D28" s="230"/>
    </row>
    <row r="29" spans="1:7" s="15" customFormat="1">
      <c r="A29" s="232" t="s">
        <v>745</v>
      </c>
      <c r="B29" s="37">
        <f>SUM(HH_hh_gas_aantal,HH_rest_gas_aantal)</f>
        <v>22287</v>
      </c>
      <c r="C29" s="36"/>
      <c r="D29" s="230"/>
    </row>
    <row r="30" spans="1:7" s="15" customFormat="1">
      <c r="A30" s="233"/>
      <c r="B30" s="29"/>
      <c r="C30" s="36"/>
      <c r="D30" s="234"/>
    </row>
    <row r="31" spans="1:7">
      <c r="A31" s="174" t="s">
        <v>743</v>
      </c>
      <c r="B31" s="170" t="s">
        <v>215</v>
      </c>
      <c r="C31" s="167" t="s">
        <v>216</v>
      </c>
      <c r="D31" s="176"/>
      <c r="G31" s="15"/>
    </row>
    <row r="32" spans="1:7">
      <c r="A32" s="173" t="s">
        <v>70</v>
      </c>
      <c r="B32" s="37">
        <f>B29</f>
        <v>22287</v>
      </c>
      <c r="C32" s="169">
        <f>IF(ISERROR(B32/SUM($B$32,$B$34,$B$35,$B$36,$B$38,$B$39)*100),0,B32/SUM($B$32,$B$34,$B$35,$B$36,$B$38,$B$39)*100)</f>
        <v>65.120967741935488</v>
      </c>
      <c r="D32" s="235"/>
      <c r="G32" s="15"/>
    </row>
    <row r="33" spans="1:7">
      <c r="A33" s="173" t="s">
        <v>71</v>
      </c>
      <c r="B33" s="34" t="s">
        <v>110</v>
      </c>
      <c r="C33" s="169"/>
      <c r="D33" s="235"/>
      <c r="G33" s="15"/>
    </row>
    <row r="34" spans="1:7">
      <c r="A34" s="173" t="s">
        <v>72</v>
      </c>
      <c r="B34" s="33">
        <f>IF((($B$28-$B$32-$B$39-$B$77-$B$38)*C20/100)&lt;0,0,($B$28-$B$32-$B$39-$B$77-$B$38)*C20/100)</f>
        <v>536.91863264323536</v>
      </c>
      <c r="C34" s="169">
        <f>IF(ISERROR(B34/SUM($B$32,$B$34,$B$35,$B$36,$B$38,$B$39)*100),0,B34/SUM($B$32,$B$34,$B$35,$B$36,$B$38,$B$39)*100)</f>
        <v>1.5688365843946801</v>
      </c>
      <c r="D34" s="235"/>
      <c r="G34" s="15"/>
    </row>
    <row r="35" spans="1:7">
      <c r="A35" s="173" t="s">
        <v>73</v>
      </c>
      <c r="B35" s="33">
        <f>IF((($B$28-$B$32-$B$39-$B$77-$B$38)*C21/100)&lt;0,0,($B$28-$B$32-$B$39-$B$77-$B$38)*C21/100)</f>
        <v>7085.7583052479531</v>
      </c>
      <c r="C35" s="169">
        <f>IF(ISERROR(B35/SUM($B$32,$B$34,$B$35,$B$36,$B$38,$B$39)*100),0,B35/SUM($B$32,$B$34,$B$35,$B$36,$B$38,$B$39)*100)</f>
        <v>20.704062369237825</v>
      </c>
      <c r="D35" s="235"/>
      <c r="G35" s="15"/>
    </row>
    <row r="36" spans="1:7">
      <c r="A36" s="173" t="s">
        <v>74</v>
      </c>
      <c r="B36" s="33">
        <f>IF((($B$28-$B$32-$B$39-$B$77-$B$38)*C22/100)&lt;0,0,($B$28-$B$32-$B$39-$B$77-$B$38)*C22/100)</f>
        <v>517.32306210881086</v>
      </c>
      <c r="C36" s="169">
        <f>IF(ISERROR(B36/SUM($B$32,$B$34,$B$35,$B$36,$B$38,$B$39)*100),0,B36/SUM($B$32,$B$34,$B$35,$B$36,$B$38,$B$39)*100)</f>
        <v>1.5115797747452397</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3797</v>
      </c>
      <c r="C39" s="169">
        <f>IF(ISERROR(B39/SUM($B$32,$B$34,$B$35,$B$36,$B$38,$B$39)*100),0,B39/SUM($B$32,$B$34,$B$35,$B$36,$B$38,$B$39)*100)</f>
        <v>11.09455352968677</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694</v>
      </c>
      <c r="C43" s="171" t="s">
        <v>695</v>
      </c>
      <c r="D43" s="176"/>
    </row>
    <row r="44" spans="1:7">
      <c r="A44" s="173" t="s">
        <v>70</v>
      </c>
      <c r="B44" s="33">
        <f t="shared" ref="B44:B52" si="0">B32</f>
        <v>22287</v>
      </c>
      <c r="C44" s="34" t="s">
        <v>110</v>
      </c>
      <c r="D44" s="176"/>
    </row>
    <row r="45" spans="1:7">
      <c r="A45" s="173" t="s">
        <v>71</v>
      </c>
      <c r="B45" s="33" t="str">
        <f t="shared" si="0"/>
        <v>-</v>
      </c>
      <c r="C45" s="34" t="s">
        <v>110</v>
      </c>
      <c r="D45" s="176"/>
    </row>
    <row r="46" spans="1:7">
      <c r="A46" s="173" t="s">
        <v>72</v>
      </c>
      <c r="B46" s="33">
        <f t="shared" si="0"/>
        <v>536.91863264323536</v>
      </c>
      <c r="C46" s="34" t="s">
        <v>110</v>
      </c>
      <c r="D46" s="176"/>
    </row>
    <row r="47" spans="1:7">
      <c r="A47" s="173" t="s">
        <v>73</v>
      </c>
      <c r="B47" s="33">
        <f t="shared" si="0"/>
        <v>7085.7583052479531</v>
      </c>
      <c r="C47" s="34" t="s">
        <v>110</v>
      </c>
      <c r="D47" s="176"/>
    </row>
    <row r="48" spans="1:7">
      <c r="A48" s="173" t="s">
        <v>74</v>
      </c>
      <c r="B48" s="33">
        <f t="shared" si="0"/>
        <v>517.32306210881086</v>
      </c>
      <c r="C48" s="33">
        <f>B48*10</f>
        <v>5173.2306210881088</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3797</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692</v>
      </c>
      <c r="C54" s="167" t="s">
        <v>693</v>
      </c>
      <c r="D54" s="301" t="s">
        <v>909</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425</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97</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196809.889</v>
      </c>
      <c r="C5" s="17">
        <f>IF(ISERROR('Eigen informatie GS &amp; warmtenet'!B58),0,'Eigen informatie GS &amp; warmtenet'!B58)</f>
        <v>0</v>
      </c>
      <c r="D5" s="30">
        <f>SUM(D6:D12)</f>
        <v>154618.437072</v>
      </c>
      <c r="E5" s="17">
        <f>SUM(E6:E12)</f>
        <v>2354.0366524784927</v>
      </c>
      <c r="F5" s="17">
        <f>SUM(F6:F12)</f>
        <v>38059.873551637618</v>
      </c>
      <c r="G5" s="18"/>
      <c r="H5" s="17"/>
      <c r="I5" s="17"/>
      <c r="J5" s="17">
        <f>SUM(J6:J12)</f>
        <v>0</v>
      </c>
      <c r="K5" s="17"/>
      <c r="L5" s="17"/>
      <c r="M5" s="17"/>
      <c r="N5" s="17">
        <f>SUM(N6:N12)</f>
        <v>11204.969652095009</v>
      </c>
      <c r="O5" s="17">
        <f>B38*B39*B40</f>
        <v>9.3800000000000008</v>
      </c>
      <c r="P5" s="17">
        <f>B46*B47*B48/1000-B46*B47*B48/1000/B49</f>
        <v>171.6</v>
      </c>
      <c r="R5" s="32"/>
    </row>
    <row r="6" spans="1:18">
      <c r="A6" s="32" t="s">
        <v>53</v>
      </c>
      <c r="B6" s="37">
        <f>B26</f>
        <v>71826.490999999995</v>
      </c>
      <c r="C6" s="33"/>
      <c r="D6" s="37">
        <f>IF(ISERROR(TER_kantoor_gas_kWh/1000),0,TER_kantoor_gas_kWh/1000)*0.902</f>
        <v>64162.542377999998</v>
      </c>
      <c r="E6" s="33">
        <f>$C$26*'E Balans VL '!I12/100/3.6*1000000</f>
        <v>279.06112408915214</v>
      </c>
      <c r="F6" s="33">
        <f>$C$26*('E Balans VL '!L12+'E Balans VL '!N12)/100/3.6*1000000</f>
        <v>10924.155712138938</v>
      </c>
      <c r="G6" s="34"/>
      <c r="H6" s="33"/>
      <c r="I6" s="33"/>
      <c r="J6" s="33">
        <f>$C$26*('E Balans VL '!D12+'E Balans VL '!E12)/100/3.6*1000000</f>
        <v>0</v>
      </c>
      <c r="K6" s="33"/>
      <c r="L6" s="33"/>
      <c r="M6" s="33"/>
      <c r="N6" s="33">
        <f>$C$26*'E Balans VL '!Y12/100/3.6*1000000</f>
        <v>39.585001142716763</v>
      </c>
      <c r="O6" s="33"/>
      <c r="P6" s="33"/>
      <c r="R6" s="32"/>
    </row>
    <row r="7" spans="1:18">
      <c r="A7" s="32" t="s">
        <v>52</v>
      </c>
      <c r="B7" s="37">
        <f t="shared" ref="B7:B12" si="0">B27</f>
        <v>18896.924999999999</v>
      </c>
      <c r="C7" s="33"/>
      <c r="D7" s="37">
        <f>IF(ISERROR(TER_horeca_gas_kWh/1000),0,TER_horeca_gas_kWh/1000)*0.902</f>
        <v>16026.07754</v>
      </c>
      <c r="E7" s="33">
        <f>$C$27*'E Balans VL '!I9/100/3.6*1000000</f>
        <v>1064.4688374506836</v>
      </c>
      <c r="F7" s="33">
        <f>$C$27*('E Balans VL '!L9+'E Balans VL '!N9)/100/3.6*1000000</f>
        <v>5448.7418341953353</v>
      </c>
      <c r="G7" s="34"/>
      <c r="H7" s="33"/>
      <c r="I7" s="33"/>
      <c r="J7" s="33">
        <f>$C$27*('E Balans VL '!D9+'E Balans VL '!E9)/100/3.6*1000000</f>
        <v>0</v>
      </c>
      <c r="K7" s="33"/>
      <c r="L7" s="33"/>
      <c r="M7" s="33"/>
      <c r="N7" s="33">
        <f>$C$27*'E Balans VL '!Y9/100/3.6*1000000</f>
        <v>5.2173427948385829</v>
      </c>
      <c r="O7" s="33"/>
      <c r="P7" s="33"/>
      <c r="R7" s="32"/>
    </row>
    <row r="8" spans="1:18">
      <c r="A8" s="6" t="s">
        <v>51</v>
      </c>
      <c r="B8" s="37">
        <f t="shared" si="0"/>
        <v>63222.521999999997</v>
      </c>
      <c r="C8" s="33"/>
      <c r="D8" s="37">
        <f>IF(ISERROR(TER_handel_gas_kWh/1000),0,TER_handel_gas_kWh/1000)*0.902</f>
        <v>33176.544984</v>
      </c>
      <c r="E8" s="33">
        <f>$C$28*'E Balans VL '!I13/100/3.6*1000000</f>
        <v>911.25103470034162</v>
      </c>
      <c r="F8" s="33">
        <f>$C$28*('E Balans VL '!L13+'E Balans VL '!N13)/100/3.6*1000000</f>
        <v>10983.224424584678</v>
      </c>
      <c r="G8" s="34"/>
      <c r="H8" s="33"/>
      <c r="I8" s="33"/>
      <c r="J8" s="33">
        <f>$C$28*('E Balans VL '!D13+'E Balans VL '!E13)/100/3.6*1000000</f>
        <v>0</v>
      </c>
      <c r="K8" s="33"/>
      <c r="L8" s="33"/>
      <c r="M8" s="33"/>
      <c r="N8" s="33">
        <f>$C$28*'E Balans VL '!Y13/100/3.6*1000000</f>
        <v>189.42171398813451</v>
      </c>
      <c r="O8" s="33"/>
      <c r="P8" s="33"/>
      <c r="R8" s="32"/>
    </row>
    <row r="9" spans="1:18">
      <c r="A9" s="32" t="s">
        <v>50</v>
      </c>
      <c r="B9" s="37">
        <f t="shared" si="0"/>
        <v>18896.767</v>
      </c>
      <c r="C9" s="33"/>
      <c r="D9" s="37">
        <f>IF(ISERROR(TER_gezond_gas_kWh/1000),0,TER_gezond_gas_kWh/1000)*0.902</f>
        <v>14404.405113999999</v>
      </c>
      <c r="E9" s="33">
        <f>$C$29*'E Balans VL '!I10/100/3.6*1000000</f>
        <v>20.186645018138112</v>
      </c>
      <c r="F9" s="33">
        <f>$C$29*('E Balans VL '!L10+'E Balans VL '!N10)/100/3.6*1000000</f>
        <v>3082.6369919996619</v>
      </c>
      <c r="G9" s="34"/>
      <c r="H9" s="33"/>
      <c r="I9" s="33"/>
      <c r="J9" s="33">
        <f>$C$29*('E Balans VL '!D10+'E Balans VL '!E10)/100/3.6*1000000</f>
        <v>0</v>
      </c>
      <c r="K9" s="33"/>
      <c r="L9" s="33"/>
      <c r="M9" s="33"/>
      <c r="N9" s="33">
        <f>$C$29*'E Balans VL '!Y10/100/3.6*1000000</f>
        <v>194.53143398485963</v>
      </c>
      <c r="O9" s="33"/>
      <c r="P9" s="33"/>
      <c r="R9" s="32"/>
    </row>
    <row r="10" spans="1:18">
      <c r="A10" s="32" t="s">
        <v>49</v>
      </c>
      <c r="B10" s="37">
        <f t="shared" si="0"/>
        <v>15481.598</v>
      </c>
      <c r="C10" s="33"/>
      <c r="D10" s="37">
        <f>IF(ISERROR(TER_ander_gas_kWh/1000),0,TER_ander_gas_kWh/1000)*0.902</f>
        <v>15976.608252</v>
      </c>
      <c r="E10" s="33">
        <f>$C$30*'E Balans VL '!I14/100/3.6*1000000</f>
        <v>71.197514276129496</v>
      </c>
      <c r="F10" s="33">
        <f>$C$30*('E Balans VL '!L14+'E Balans VL '!N14)/100/3.6*1000000</f>
        <v>4640.3232540915023</v>
      </c>
      <c r="G10" s="34"/>
      <c r="H10" s="33"/>
      <c r="I10" s="33"/>
      <c r="J10" s="33">
        <f>$C$30*('E Balans VL '!D14+'E Balans VL '!E14)/100/3.6*1000000</f>
        <v>0</v>
      </c>
      <c r="K10" s="33"/>
      <c r="L10" s="33"/>
      <c r="M10" s="33"/>
      <c r="N10" s="33">
        <f>$C$30*'E Balans VL '!Y14/100/3.6*1000000</f>
        <v>10776.21416018446</v>
      </c>
      <c r="O10" s="33"/>
      <c r="P10" s="33"/>
      <c r="R10" s="32"/>
    </row>
    <row r="11" spans="1:18">
      <c r="A11" s="32" t="s">
        <v>54</v>
      </c>
      <c r="B11" s="37">
        <f t="shared" si="0"/>
        <v>8485.5859999999993</v>
      </c>
      <c r="C11" s="33"/>
      <c r="D11" s="37">
        <f>IF(ISERROR(TER_onderwijs_gas_kWh/1000),0,TER_onderwijs_gas_kWh/1000)*0.902</f>
        <v>10872.258804000001</v>
      </c>
      <c r="E11" s="33">
        <f>$C$31*'E Balans VL '!I11/100/3.6*1000000</f>
        <v>7.8714969440473714</v>
      </c>
      <c r="F11" s="33">
        <f>$C$31*('E Balans VL '!L11+'E Balans VL '!N11)/100/3.6*1000000</f>
        <v>2980.7913346275045</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9">
        <f ca="1">'lokale energieproductie'!N41+'lokale energieproductie'!N34</f>
        <v>3238.65</v>
      </c>
      <c r="C13" s="249">
        <f ca="1">'lokale energieproductie'!O41+'lokale energieproductie'!O34</f>
        <v>2858.7857142857142</v>
      </c>
      <c r="D13" s="310">
        <f ca="1">('lokale energieproductie'!P34+'lokale energieproductie'!P41)*(-1)</f>
        <v>-5717.5714285714294</v>
      </c>
      <c r="E13" s="250"/>
      <c r="F13" s="310">
        <f ca="1">('lokale energieproductie'!S34+'lokale energieproductie'!S41)*(-1)</f>
        <v>0</v>
      </c>
      <c r="G13" s="251"/>
      <c r="H13" s="250"/>
      <c r="I13" s="250"/>
      <c r="J13" s="250"/>
      <c r="K13" s="250"/>
      <c r="L13" s="310">
        <f ca="1">('lokale energieproductie'!U34+'lokale energieproductie'!T34+'lokale energieproductie'!U41+'lokale energieproductie'!T41)*(-1)</f>
        <v>0</v>
      </c>
      <c r="M13" s="250"/>
      <c r="N13" s="310">
        <f ca="1">('lokale energieproductie'!Q34+'lokale energieproductie'!R34+'lokale energieproductie'!V34+'lokale energieproductie'!Q41+'lokale energieproductie'!R41+'lokale energieproductie'!V41)*(-1)</f>
        <v>-3535.7142857142858</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200048.53899999999</v>
      </c>
      <c r="C16" s="21">
        <f t="shared" ca="1" si="1"/>
        <v>2858.7857142857142</v>
      </c>
      <c r="D16" s="21">
        <f t="shared" ca="1" si="1"/>
        <v>148900.86564342858</v>
      </c>
      <c r="E16" s="21">
        <f t="shared" si="1"/>
        <v>2354.0366524784927</v>
      </c>
      <c r="F16" s="21">
        <f t="shared" ca="1" si="1"/>
        <v>38059.873551637618</v>
      </c>
      <c r="G16" s="21">
        <f t="shared" si="1"/>
        <v>0</v>
      </c>
      <c r="H16" s="21">
        <f t="shared" si="1"/>
        <v>0</v>
      </c>
      <c r="I16" s="21">
        <f t="shared" si="1"/>
        <v>0</v>
      </c>
      <c r="J16" s="21">
        <f t="shared" si="1"/>
        <v>0</v>
      </c>
      <c r="K16" s="21">
        <f t="shared" si="1"/>
        <v>0</v>
      </c>
      <c r="L16" s="21">
        <f t="shared" ca="1" si="1"/>
        <v>0</v>
      </c>
      <c r="M16" s="21">
        <f t="shared" si="1"/>
        <v>0</v>
      </c>
      <c r="N16" s="21">
        <f t="shared" ca="1" si="1"/>
        <v>7669.255366380723</v>
      </c>
      <c r="O16" s="21">
        <f>O5</f>
        <v>9.3800000000000008</v>
      </c>
      <c r="P16" s="21">
        <f>P5</f>
        <v>171.6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0.20016094735489684</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40041.905083203026</v>
      </c>
      <c r="C20" s="23">
        <f t="shared" ref="C20:P20" ca="1" si="2">C16*C18</f>
        <v>679.38201680672285</v>
      </c>
      <c r="D20" s="23">
        <f t="shared" ca="1" si="2"/>
        <v>30077.974859972575</v>
      </c>
      <c r="E20" s="23">
        <f t="shared" si="2"/>
        <v>534.36632011261781</v>
      </c>
      <c r="F20" s="23">
        <f t="shared" ca="1" si="2"/>
        <v>10161.986238287245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71826.490999999995</v>
      </c>
      <c r="C26" s="39">
        <f>IF(ISERROR(B26*3.6/1000000/'E Balans VL '!Z12*100),0,B26*3.6/1000000/'E Balans VL '!Z12*100)</f>
        <v>1.5256302470585361</v>
      </c>
      <c r="D26" s="239" t="s">
        <v>691</v>
      </c>
      <c r="F26" s="6"/>
    </row>
    <row r="27" spans="1:18">
      <c r="A27" s="233" t="s">
        <v>52</v>
      </c>
      <c r="B27" s="33">
        <f>IF(ISERROR(TER_horeca_ele_kWh/1000),0,TER_horeca_ele_kWh/1000)</f>
        <v>18896.924999999999</v>
      </c>
      <c r="C27" s="39">
        <f>IF(ISERROR(B27*3.6/1000000/'E Balans VL '!Z9*100),0,B27*3.6/1000000/'E Balans VL '!Z9*100)</f>
        <v>1.4693510025027994</v>
      </c>
      <c r="D27" s="239" t="s">
        <v>691</v>
      </c>
      <c r="F27" s="6"/>
    </row>
    <row r="28" spans="1:18">
      <c r="A28" s="173" t="s">
        <v>51</v>
      </c>
      <c r="B28" s="33">
        <f>IF(ISERROR(TER_handel_ele_kWh/1000),0,TER_handel_ele_kWh/1000)</f>
        <v>63222.521999999997</v>
      </c>
      <c r="C28" s="39">
        <f>IF(ISERROR(B28*3.6/1000000/'E Balans VL '!Z13*100),0,B28*3.6/1000000/'E Balans VL '!Z13*100)</f>
        <v>1.8088707598852374</v>
      </c>
      <c r="D28" s="239" t="s">
        <v>691</v>
      </c>
      <c r="F28" s="6"/>
    </row>
    <row r="29" spans="1:18">
      <c r="A29" s="233" t="s">
        <v>50</v>
      </c>
      <c r="B29" s="33">
        <f>IF(ISERROR(TER_gezond_ele_kWh/1000),0,TER_gezond_ele_kWh/1000)</f>
        <v>18896.767</v>
      </c>
      <c r="C29" s="39">
        <f>IF(ISERROR(B29*3.6/1000000/'E Balans VL '!Z10*100),0,B29*3.6/1000000/'E Balans VL '!Z10*100)</f>
        <v>2.0601867112020318</v>
      </c>
      <c r="D29" s="239" t="s">
        <v>691</v>
      </c>
      <c r="F29" s="6"/>
    </row>
    <row r="30" spans="1:18">
      <c r="A30" s="233" t="s">
        <v>49</v>
      </c>
      <c r="B30" s="33">
        <f>IF(ISERROR(TER_ander_ele_kWh/1000),0,TER_ander_ele_kWh/1000)</f>
        <v>15481.598</v>
      </c>
      <c r="C30" s="39">
        <f>IF(ISERROR(B30*3.6/1000000/'E Balans VL '!Z14*100),0,B30*3.6/1000000/'E Balans VL '!Z14*100)</f>
        <v>1.1329082224674527</v>
      </c>
      <c r="D30" s="239" t="s">
        <v>691</v>
      </c>
      <c r="F30" s="6"/>
    </row>
    <row r="31" spans="1:18">
      <c r="A31" s="233" t="s">
        <v>54</v>
      </c>
      <c r="B31" s="33">
        <f>IF(ISERROR(TER_onderwijs_ele_kWh/1000),0,TER_onderwijs_ele_kWh/1000)</f>
        <v>8485.5859999999993</v>
      </c>
      <c r="C31" s="39">
        <f>IF(ISERROR(B31*3.6/1000000/'E Balans VL '!Z11*100),0,B31*3.6/1000000/'E Balans VL '!Z11*100)</f>
        <v>1.7043362493224079</v>
      </c>
      <c r="D31" s="239" t="s">
        <v>691</v>
      </c>
    </row>
    <row r="32" spans="1:18">
      <c r="A32" s="233" t="s">
        <v>259</v>
      </c>
      <c r="B32" s="33">
        <f>IF(ISERROR(TER_rest_ele_kWh/1000),0,TER_rest_ele_kWh/1000)</f>
        <v>0</v>
      </c>
      <c r="C32" s="39">
        <f>IF(ISERROR(B32*3.6/1000000/'E Balans VL '!Z8*100),0,B32*3.6/1000000/'E Balans VL '!Z8*100)</f>
        <v>0</v>
      </c>
      <c r="D32" s="239" t="s">
        <v>691</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6</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9</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65726.264999999985</v>
      </c>
      <c r="C5" s="17">
        <f>IF(ISERROR('Eigen informatie GS &amp; warmtenet'!B59),0,'Eigen informatie GS &amp; warmtenet'!B59)</f>
        <v>0</v>
      </c>
      <c r="D5" s="30">
        <f>SUM(D6:D15)</f>
        <v>78171.281584000011</v>
      </c>
      <c r="E5" s="17">
        <f>SUM(E6:E15)</f>
        <v>9944.54747071764</v>
      </c>
      <c r="F5" s="17">
        <f>SUM(F6:F15)</f>
        <v>44628.165539653077</v>
      </c>
      <c r="G5" s="18"/>
      <c r="H5" s="17"/>
      <c r="I5" s="17"/>
      <c r="J5" s="17">
        <f>SUM(J6:J15)</f>
        <v>65.828958894371155</v>
      </c>
      <c r="K5" s="17"/>
      <c r="L5" s="17"/>
      <c r="M5" s="17"/>
      <c r="N5" s="17">
        <f>SUM(N6:N15)</f>
        <v>7024.0634177527108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3957.9520000000002</v>
      </c>
      <c r="C8" s="33"/>
      <c r="D8" s="37">
        <f>IF( ISERROR(IND_metaal_Gas_kWH/1000),0,IND_metaal_Gas_kWH/1000)*0.902</f>
        <v>3944.8564099999999</v>
      </c>
      <c r="E8" s="33">
        <f>C30*'E Balans VL '!I18/100/3.6*1000000</f>
        <v>113.68723776925496</v>
      </c>
      <c r="F8" s="33">
        <f>C30*'E Balans VL '!L18/100/3.6*1000000+C30*'E Balans VL '!N18/100/3.6*1000000</f>
        <v>1015.1385656433985</v>
      </c>
      <c r="G8" s="34"/>
      <c r="H8" s="33"/>
      <c r="I8" s="33"/>
      <c r="J8" s="40">
        <f>C30*'E Balans VL '!D18/100/3.6*1000000+C30*'E Balans VL '!E18/100/3.6*1000000</f>
        <v>0</v>
      </c>
      <c r="K8" s="33"/>
      <c r="L8" s="33"/>
      <c r="M8" s="33"/>
      <c r="N8" s="33">
        <f>C30*'E Balans VL '!Y18/100/3.6*1000000</f>
        <v>107.46647612469232</v>
      </c>
      <c r="O8" s="33"/>
      <c r="P8" s="33"/>
      <c r="R8" s="32"/>
    </row>
    <row r="9" spans="1:18">
      <c r="A9" s="6" t="s">
        <v>32</v>
      </c>
      <c r="B9" s="37">
        <f t="shared" si="0"/>
        <v>32295.413</v>
      </c>
      <c r="C9" s="33"/>
      <c r="D9" s="37">
        <f>IF( ISERROR(IND_andere_gas_kWh/1000),0,IND_andere_gas_kWh/1000)*0.902</f>
        <v>15706.479998000001</v>
      </c>
      <c r="E9" s="33">
        <f>C31*'E Balans VL '!I19/100/3.6*1000000</f>
        <v>8741.5742504743557</v>
      </c>
      <c r="F9" s="33">
        <f>C31*'E Balans VL '!L19/100/3.6*1000000+C31*'E Balans VL '!N19/100/3.6*1000000</f>
        <v>21512.162626592162</v>
      </c>
      <c r="G9" s="34"/>
      <c r="H9" s="33"/>
      <c r="I9" s="33"/>
      <c r="J9" s="40">
        <f>C31*'E Balans VL '!D19/100/3.6*1000000+C31*'E Balans VL '!E19/100/3.6*1000000</f>
        <v>0</v>
      </c>
      <c r="K9" s="33"/>
      <c r="L9" s="33"/>
      <c r="M9" s="33"/>
      <c r="N9" s="33">
        <f>C31*'E Balans VL '!Y19/100/3.6*1000000</f>
        <v>2730.3632364686555</v>
      </c>
      <c r="O9" s="33"/>
      <c r="P9" s="33"/>
      <c r="R9" s="32"/>
    </row>
    <row r="10" spans="1:18">
      <c r="A10" s="6" t="s">
        <v>40</v>
      </c>
      <c r="B10" s="37">
        <f t="shared" si="0"/>
        <v>11567.434999999999</v>
      </c>
      <c r="C10" s="33"/>
      <c r="D10" s="37">
        <f>IF( ISERROR(IND_voed_gas_kWh/1000),0,IND_voed_gas_kWh/1000)*0.902</f>
        <v>9530.1071580000007</v>
      </c>
      <c r="E10" s="33">
        <f>C32*'E Balans VL '!I20/100/3.6*1000000</f>
        <v>943.4665740903821</v>
      </c>
      <c r="F10" s="33">
        <f>C32*'E Balans VL '!L20/100/3.6*1000000+C32*'E Balans VL '!N20/100/3.6*1000000</f>
        <v>17248.09507466084</v>
      </c>
      <c r="G10" s="34"/>
      <c r="H10" s="33"/>
      <c r="I10" s="33"/>
      <c r="J10" s="40">
        <f>C32*'E Balans VL '!D20/100/3.6*1000000+C32*'E Balans VL '!E20/100/3.6*1000000</f>
        <v>0.15302312406751636</v>
      </c>
      <c r="K10" s="33"/>
      <c r="L10" s="33"/>
      <c r="M10" s="33"/>
      <c r="N10" s="33">
        <f>C32*'E Balans VL '!Y20/100/3.6*1000000</f>
        <v>3398.1042322310309</v>
      </c>
      <c r="O10" s="33"/>
      <c r="P10" s="33"/>
      <c r="R10" s="32"/>
    </row>
    <row r="11" spans="1:18">
      <c r="A11" s="6" t="s">
        <v>39</v>
      </c>
      <c r="B11" s="37">
        <f t="shared" si="0"/>
        <v>418.20400000000001</v>
      </c>
      <c r="C11" s="33"/>
      <c r="D11" s="37">
        <f>IF( ISERROR(IND_textiel_gas_kWh/1000),0,IND_textiel_gas_kWh/1000)*0.902</f>
        <v>260.32622000000003</v>
      </c>
      <c r="E11" s="33">
        <f>C33*'E Balans VL '!I21/100/3.6*1000000</f>
        <v>8.2896589132454943E-2</v>
      </c>
      <c r="F11" s="33">
        <f>C33*'E Balans VL '!L21/100/3.6*1000000+C33*'E Balans VL '!N21/100/3.6*1000000</f>
        <v>15.402957884736729</v>
      </c>
      <c r="G11" s="34"/>
      <c r="H11" s="33"/>
      <c r="I11" s="33"/>
      <c r="J11" s="40">
        <f>C33*'E Balans VL '!D21/100/3.6*1000000+C33*'E Balans VL '!E21/100/3.6*1000000</f>
        <v>0</v>
      </c>
      <c r="K11" s="33"/>
      <c r="L11" s="33"/>
      <c r="M11" s="33"/>
      <c r="N11" s="33">
        <f>C33*'E Balans VL '!Y21/100/3.6*1000000</f>
        <v>1.9445430278099585</v>
      </c>
      <c r="O11" s="33"/>
      <c r="P11" s="33"/>
      <c r="R11" s="32"/>
    </row>
    <row r="12" spans="1:18">
      <c r="A12" s="6" t="s">
        <v>36</v>
      </c>
      <c r="B12" s="37">
        <f t="shared" si="0"/>
        <v>11911.290999999999</v>
      </c>
      <c r="C12" s="33"/>
      <c r="D12" s="37">
        <f>IF( ISERROR(IND_min_gas_kWh/1000),0,IND_min_gas_kWh/1000)*0.902</f>
        <v>44894.854531999998</v>
      </c>
      <c r="E12" s="33">
        <f>C34*'E Balans VL '!I22/100/3.6*1000000</f>
        <v>92.786361530163987</v>
      </c>
      <c r="F12" s="33">
        <f>C34*'E Balans VL '!L22/100/3.6*1000000+C34*'E Balans VL '!N22/100/3.6*1000000</f>
        <v>4492.2069940120073</v>
      </c>
      <c r="G12" s="34"/>
      <c r="H12" s="33"/>
      <c r="I12" s="33"/>
      <c r="J12" s="40">
        <f>C34*'E Balans VL '!D22/100/3.6*1000000+C34*'E Balans VL '!E22/100/3.6*1000000</f>
        <v>65.511059060958331</v>
      </c>
      <c r="K12" s="33"/>
      <c r="L12" s="33"/>
      <c r="M12" s="33"/>
      <c r="N12" s="33">
        <f>C34*'E Balans VL '!Y22/100/3.6*1000000</f>
        <v>0</v>
      </c>
      <c r="O12" s="33"/>
      <c r="P12" s="33"/>
      <c r="R12" s="32"/>
    </row>
    <row r="13" spans="1:18">
      <c r="A13" s="6" t="s">
        <v>38</v>
      </c>
      <c r="B13" s="37">
        <f t="shared" si="0"/>
        <v>4053.61</v>
      </c>
      <c r="C13" s="33"/>
      <c r="D13" s="37">
        <f>IF( ISERROR(IND_papier_gas_kWh/1000),0,IND_papier_gas_kWh/1000)*0.902</f>
        <v>3187.3757519999999</v>
      </c>
      <c r="E13" s="33">
        <f>C35*'E Balans VL '!I23/100/3.6*1000000</f>
        <v>42.468949526180033</v>
      </c>
      <c r="F13" s="33">
        <f>C35*'E Balans VL '!L23/100/3.6*1000000+C35*'E Balans VL '!N23/100/3.6*1000000</f>
        <v>302.48109668629183</v>
      </c>
      <c r="G13" s="34"/>
      <c r="H13" s="33"/>
      <c r="I13" s="33"/>
      <c r="J13" s="40">
        <f>C35*'E Balans VL '!D23/100/3.6*1000000+C35*'E Balans VL '!E23/100/3.6*1000000</f>
        <v>0</v>
      </c>
      <c r="K13" s="33"/>
      <c r="L13" s="33"/>
      <c r="M13" s="33"/>
      <c r="N13" s="33">
        <f>C35*'E Balans VL '!Y23/100/3.6*1000000</f>
        <v>747.80339589293988</v>
      </c>
      <c r="O13" s="33"/>
      <c r="P13" s="33"/>
      <c r="R13" s="32"/>
    </row>
    <row r="14" spans="1:18">
      <c r="A14" s="6" t="s">
        <v>33</v>
      </c>
      <c r="B14" s="37">
        <f t="shared" si="0"/>
        <v>1458.0319999999999</v>
      </c>
      <c r="C14" s="33"/>
      <c r="D14" s="37">
        <f>IF( ISERROR(IND_chemie_gas_kWh/1000),0,IND_chemie_gas_kWh/1000)*0.902</f>
        <v>616.83540599999992</v>
      </c>
      <c r="E14" s="33">
        <f>C36*'E Balans VL '!I24/100/3.6*1000000</f>
        <v>6.8924596539876539</v>
      </c>
      <c r="F14" s="33">
        <f>C36*'E Balans VL '!L24/100/3.6*1000000+C36*'E Balans VL '!N24/100/3.6*1000000</f>
        <v>27.556022185206412</v>
      </c>
      <c r="G14" s="34"/>
      <c r="H14" s="33"/>
      <c r="I14" s="33"/>
      <c r="J14" s="40">
        <f>C36*'E Balans VL '!D24/100/3.6*1000000+C36*'E Balans VL '!E24/100/3.6*1000000</f>
        <v>0</v>
      </c>
      <c r="K14" s="33"/>
      <c r="L14" s="33"/>
      <c r="M14" s="33"/>
      <c r="N14" s="33">
        <f>C36*'E Balans VL '!Y24/100/3.6*1000000</f>
        <v>35.396084392317725</v>
      </c>
      <c r="O14" s="33"/>
      <c r="P14" s="33"/>
      <c r="R14" s="32"/>
    </row>
    <row r="15" spans="1:18">
      <c r="A15" s="6" t="s">
        <v>269</v>
      </c>
      <c r="B15" s="37">
        <f t="shared" si="0"/>
        <v>64.328000000000003</v>
      </c>
      <c r="C15" s="33"/>
      <c r="D15" s="37">
        <f>IF( ISERROR(IND_rest_gas_kWh/1000),0,IND_rest_gas_kWh/1000)*0.902</f>
        <v>30.446107999999999</v>
      </c>
      <c r="E15" s="33">
        <f>C37*'E Balans VL '!I15/100/3.6*1000000</f>
        <v>3.5887410841849854</v>
      </c>
      <c r="F15" s="33">
        <f>C37*'E Balans VL '!L15/100/3.6*1000000+C37*'E Balans VL '!N15/100/3.6*1000000</f>
        <v>15.122201988429779</v>
      </c>
      <c r="G15" s="34"/>
      <c r="H15" s="33"/>
      <c r="I15" s="33"/>
      <c r="J15" s="40">
        <f>C37*'E Balans VL '!D15/100/3.6*1000000+C37*'E Balans VL '!E15/100/3.6*1000000</f>
        <v>0.16487670934530294</v>
      </c>
      <c r="K15" s="33"/>
      <c r="L15" s="33"/>
      <c r="M15" s="33"/>
      <c r="N15" s="33">
        <f>C37*'E Balans VL '!Y15/100/3.6*1000000</f>
        <v>2.9854496152641681</v>
      </c>
      <c r="O15" s="33"/>
      <c r="P15" s="33"/>
      <c r="R15" s="32"/>
    </row>
    <row r="16" spans="1:18">
      <c r="A16" s="16" t="s">
        <v>496</v>
      </c>
      <c r="B16" s="249">
        <f>'lokale energieproductie'!N40+'lokale energieproductie'!N33</f>
        <v>225</v>
      </c>
      <c r="C16" s="249">
        <f>'lokale energieproductie'!O40+'lokale energieproductie'!O33</f>
        <v>321.42857142857144</v>
      </c>
      <c r="D16" s="310">
        <f>('lokale energieproductie'!P33+'lokale energieproductie'!P40)*(-1)</f>
        <v>-642.85714285714289</v>
      </c>
      <c r="E16" s="250"/>
      <c r="F16" s="310">
        <f>('lokale energieproductie'!S33+'lokale energieproductie'!S40)*(-1)</f>
        <v>0</v>
      </c>
      <c r="G16" s="251"/>
      <c r="H16" s="250"/>
      <c r="I16" s="250"/>
      <c r="J16" s="250"/>
      <c r="K16" s="250"/>
      <c r="L16" s="310">
        <f>('lokale energieproductie'!T33+'lokale energieproductie'!U33+'lokale energieproductie'!T40+'lokale energieproductie'!U40)*(-1)</f>
        <v>0</v>
      </c>
      <c r="M16" s="250"/>
      <c r="N16" s="310">
        <f>('lokale energieproductie'!Q33+'lokale energieproductie'!R33+'lokale energieproductie'!V33+'lokale energieproductie'!Q40+'lokale energieproductie'!R40+'lokale energieproductie'!V40)*(-1)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65951.264999999985</v>
      </c>
      <c r="C18" s="21">
        <f>C5+C16</f>
        <v>321.42857142857144</v>
      </c>
      <c r="D18" s="21">
        <f>MAX((D5+D16),0)</f>
        <v>77528.424441142866</v>
      </c>
      <c r="E18" s="21">
        <f>MAX((E5+E16),0)</f>
        <v>9944.54747071764</v>
      </c>
      <c r="F18" s="21">
        <f>MAX((F5+F16),0)</f>
        <v>44628.165539653077</v>
      </c>
      <c r="G18" s="21"/>
      <c r="H18" s="21"/>
      <c r="I18" s="21"/>
      <c r="J18" s="21">
        <f>MAX((J5+J16),0)</f>
        <v>65.828958894371155</v>
      </c>
      <c r="K18" s="21"/>
      <c r="L18" s="21">
        <f>MAX((L5+L16),0)</f>
        <v>0</v>
      </c>
      <c r="M18" s="21"/>
      <c r="N18" s="21">
        <f>MAX((N5+N16),0)</f>
        <v>7024.0634177527108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0.20016094735489684</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13200.867681653848</v>
      </c>
      <c r="C22" s="23">
        <f ca="1">C18*C20</f>
        <v>76.386554621848759</v>
      </c>
      <c r="D22" s="23">
        <f>D18*D20</f>
        <v>15660.74173711086</v>
      </c>
      <c r="E22" s="23">
        <f>E18*E20</f>
        <v>2257.4122758529043</v>
      </c>
      <c r="F22" s="23">
        <f>F18*F20</f>
        <v>11915.720199087373</v>
      </c>
      <c r="G22" s="23"/>
      <c r="H22" s="23"/>
      <c r="I22" s="23"/>
      <c r="J22" s="23">
        <f>J18*J20</f>
        <v>23.303451448607387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691</v>
      </c>
    </row>
    <row r="29" spans="1:18">
      <c r="A29" s="173" t="s">
        <v>37</v>
      </c>
      <c r="B29" s="37">
        <f>IF( ISERROR(IND_nonf_ele_kWh/1000),0,IND_nonf_ele_kWh/1000)</f>
        <v>0</v>
      </c>
      <c r="C29" s="39">
        <f>IF(ISERROR(B29*3.6/1000000/'E Balans VL '!Z17*100),0,B29*3.6/1000000/'E Balans VL '!Z17*100)</f>
        <v>0</v>
      </c>
      <c r="D29" s="239" t="s">
        <v>691</v>
      </c>
    </row>
    <row r="30" spans="1:18">
      <c r="A30" s="173" t="s">
        <v>35</v>
      </c>
      <c r="B30" s="37">
        <f>IF( ISERROR(IND_metaal_ele_kWh/1000),0,IND_metaal_ele_kWh/1000)</f>
        <v>3957.9520000000002</v>
      </c>
      <c r="C30" s="39">
        <f>IF(ISERROR(B30*3.6/1000000/'E Balans VL '!Z18*100),0,B30*3.6/1000000/'E Balans VL '!Z18*100)</f>
        <v>0.38945237322482795</v>
      </c>
      <c r="D30" s="239" t="s">
        <v>691</v>
      </c>
    </row>
    <row r="31" spans="1:18">
      <c r="A31" s="6" t="s">
        <v>32</v>
      </c>
      <c r="B31" s="37">
        <f>IF( ISERROR(IND_ander_ele_kWh/1000),0,IND_ander_ele_kWh/1000)</f>
        <v>32295.413</v>
      </c>
      <c r="C31" s="39">
        <f>IF(ISERROR(B31*3.6/1000000/'E Balans VL '!Z19*100),0,B31*3.6/1000000/'E Balans VL '!Z19*100)</f>
        <v>1.4064394743528204</v>
      </c>
      <c r="D31" s="239" t="s">
        <v>691</v>
      </c>
    </row>
    <row r="32" spans="1:18">
      <c r="A32" s="173" t="s">
        <v>40</v>
      </c>
      <c r="B32" s="37">
        <f>IF( ISERROR(IND_voed_ele_kWh/1000),0,IND_voed_ele_kWh/1000)</f>
        <v>11567.434999999999</v>
      </c>
      <c r="C32" s="39">
        <f>IF(ISERROR(B32*3.6/1000000/'E Balans VL '!Z20*100),0,B32*3.6/1000000/'E Balans VL '!Z20*100)</f>
        <v>2.1947539706893915</v>
      </c>
      <c r="D32" s="239" t="s">
        <v>691</v>
      </c>
    </row>
    <row r="33" spans="1:5">
      <c r="A33" s="173" t="s">
        <v>39</v>
      </c>
      <c r="B33" s="37">
        <f>IF( ISERROR(IND_textiel_ele_kWh/1000),0,IND_textiel_ele_kWh/1000)</f>
        <v>418.20400000000001</v>
      </c>
      <c r="C33" s="39">
        <f>IF(ISERROR(B33*3.6/1000000/'E Balans VL '!Z21*100),0,B33*3.6/1000000/'E Balans VL '!Z21*100)</f>
        <v>2.3877327580721228E-2</v>
      </c>
      <c r="D33" s="239" t="s">
        <v>691</v>
      </c>
    </row>
    <row r="34" spans="1:5">
      <c r="A34" s="173" t="s">
        <v>36</v>
      </c>
      <c r="B34" s="37">
        <f>IF( ISERROR(IND_min_ele_kWh/1000),0,IND_min_ele_kWh/1000)</f>
        <v>11911.290999999999</v>
      </c>
      <c r="C34" s="39">
        <f>IF(ISERROR(B34*3.6/1000000/'E Balans VL '!Z22*100),0,B34*3.6/1000000/'E Balans VL '!Z22*100)</f>
        <v>1.6748471240560392</v>
      </c>
      <c r="D34" s="239" t="s">
        <v>691</v>
      </c>
    </row>
    <row r="35" spans="1:5">
      <c r="A35" s="173" t="s">
        <v>38</v>
      </c>
      <c r="B35" s="37">
        <f>IF( ISERROR(IND_papier_ele_kWh/1000),0,IND_papier_ele_kWh/1000)</f>
        <v>4053.61</v>
      </c>
      <c r="C35" s="39">
        <f>IF(ISERROR(B35*3.6/1000000/'E Balans VL '!Z22*100),0,B35*3.6/1000000/'E Balans VL '!Z22*100)</f>
        <v>0.56997827108285759</v>
      </c>
      <c r="D35" s="239" t="s">
        <v>691</v>
      </c>
    </row>
    <row r="36" spans="1:5">
      <c r="A36" s="173" t="s">
        <v>33</v>
      </c>
      <c r="B36" s="37">
        <f>IF( ISERROR(IND_chemie_ele_kWh/1000),0,IND_chemie_ele_kWh/1000)</f>
        <v>1458.0319999999999</v>
      </c>
      <c r="C36" s="39">
        <f>IF(ISERROR(B36*3.6/1000000/'E Balans VL '!Z24*100),0,B36*3.6/1000000/'E Balans VL '!Z24*100)</f>
        <v>4.2491360880626106E-2</v>
      </c>
      <c r="D36" s="239" t="s">
        <v>691</v>
      </c>
    </row>
    <row r="37" spans="1:5">
      <c r="A37" s="173" t="s">
        <v>269</v>
      </c>
      <c r="B37" s="37">
        <f>IF( ISERROR(IND_rest_ele_kWh/1000),0,IND_rest_ele_kWh/1000)</f>
        <v>64.328000000000003</v>
      </c>
      <c r="C37" s="39">
        <f>IF(ISERROR(B37*3.6/1000000/'E Balans VL '!Z15*100),0,B37*3.6/1000000/'E Balans VL '!Z15*100)</f>
        <v>4.9572625107043716E-4</v>
      </c>
      <c r="D37" s="239" t="s">
        <v>691</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1854.6130000000001</v>
      </c>
      <c r="C5" s="17">
        <f>'Eigen informatie GS &amp; warmtenet'!B60</f>
        <v>0</v>
      </c>
      <c r="D5" s="30">
        <f>IF(ISERROR(SUM(LB_lb_gas_kWh,LB_rest_gas_kWh)/1000),0,SUM(LB_lb_gas_kWh,LB_rest_gas_kWh)/1000)*0.902</f>
        <v>2503.2376160000003</v>
      </c>
      <c r="E5" s="17">
        <f>B17*'E Balans VL '!I25/3.6*1000000/100</f>
        <v>23.370513027323071</v>
      </c>
      <c r="F5" s="17">
        <f>B17*('E Balans VL '!L25/3.6*1000000+'E Balans VL '!N25/3.6*1000000)/100</f>
        <v>6398.8794583179852</v>
      </c>
      <c r="G5" s="18"/>
      <c r="H5" s="17"/>
      <c r="I5" s="17"/>
      <c r="J5" s="17">
        <f>('E Balans VL '!D25+'E Balans VL '!E25)/3.6*1000000*landbouw!B17/100</f>
        <v>278.91271270348653</v>
      </c>
      <c r="K5" s="17"/>
      <c r="L5" s="17">
        <f>L6*(-1)</f>
        <v>0</v>
      </c>
      <c r="M5" s="17"/>
      <c r="N5" s="17">
        <f>N6*(-1)</f>
        <v>0</v>
      </c>
      <c r="O5" s="17"/>
      <c r="P5" s="17"/>
      <c r="R5" s="32"/>
    </row>
    <row r="6" spans="1:18">
      <c r="A6" s="16" t="s">
        <v>496</v>
      </c>
      <c r="B6" s="17" t="s">
        <v>210</v>
      </c>
      <c r="C6" s="17">
        <f>'lokale energieproductie'!O42+'lokale energieproductie'!O35</f>
        <v>0</v>
      </c>
      <c r="D6" s="310">
        <f>('lokale energieproductie'!P35+'lokale energieproductie'!P42)*(-1)</f>
        <v>0</v>
      </c>
      <c r="E6" s="250"/>
      <c r="F6" s="310">
        <f>('lokale energieproductie'!S35+'lokale energieproductie'!S42)*(-1)</f>
        <v>0</v>
      </c>
      <c r="G6" s="251"/>
      <c r="H6" s="250"/>
      <c r="I6" s="250"/>
      <c r="J6" s="250"/>
      <c r="K6" s="250"/>
      <c r="L6" s="310">
        <f>('lokale energieproductie'!T35+'lokale energieproductie'!U35+'lokale energieproductie'!T42+'lokale energieproductie'!U42)*(-1)</f>
        <v>0</v>
      </c>
      <c r="M6" s="250"/>
      <c r="N6" s="1030">
        <f>('lokale energieproductie'!V35+'lokale energieproductie'!R35+'lokale energieproductie'!Q35+'lokale energieproductie'!Q42+'lokale energieproductie'!R42+'lokale energieproductie'!V42)*(-1)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1854.6130000000001</v>
      </c>
      <c r="C8" s="21">
        <f>C5+C6</f>
        <v>0</v>
      </c>
      <c r="D8" s="21">
        <f>MAX((D5+D6),0)</f>
        <v>2503.2376160000003</v>
      </c>
      <c r="E8" s="21">
        <f>MAX((E5+E6),0)</f>
        <v>23.370513027323071</v>
      </c>
      <c r="F8" s="21">
        <f>MAX((F5+F6),0)</f>
        <v>6398.8794583179852</v>
      </c>
      <c r="G8" s="21"/>
      <c r="H8" s="21"/>
      <c r="I8" s="21"/>
      <c r="J8" s="21">
        <f>MAX((J5+J6),0)</f>
        <v>278.91271270348653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0.20016094735489684</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371.22109505670733</v>
      </c>
      <c r="C12" s="23">
        <f ca="1">C8*C10</f>
        <v>0</v>
      </c>
      <c r="D12" s="23">
        <f>D8*D10</f>
        <v>505.65399843200009</v>
      </c>
      <c r="E12" s="23">
        <f>E8*E10</f>
        <v>5.3051064572023376</v>
      </c>
      <c r="F12" s="23">
        <f>F8*F10</f>
        <v>1708.500815370902</v>
      </c>
      <c r="G12" s="23"/>
      <c r="H12" s="23"/>
      <c r="I12" s="23"/>
      <c r="J12" s="23">
        <f>J8*J10</f>
        <v>98.735100297034222</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0.2586600594912789</v>
      </c>
      <c r="C17" s="239" t="s">
        <v>691</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219.99457621365696</v>
      </c>
      <c r="C26" s="249">
        <f>B26*'GWP N2O_CH4'!B5</f>
        <v>4619.8861004867958</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71.671103077734671</v>
      </c>
      <c r="C27" s="249">
        <f>B27*'GWP N2O_CH4'!B5</f>
        <v>1505.0931646324282</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6.1427403666216902</v>
      </c>
      <c r="C28" s="249">
        <f>B28*'GWP N2O_CH4'!B4</f>
        <v>1904.2495136527239</v>
      </c>
      <c r="D28" s="50"/>
    </row>
    <row r="29" spans="1:4">
      <c r="A29" s="41" t="s">
        <v>276</v>
      </c>
      <c r="B29" s="249">
        <f>B34*'ha_N2O bodem landbouw'!B4</f>
        <v>18.328532527022709</v>
      </c>
      <c r="C29" s="249">
        <f>B29*'GWP N2O_CH4'!B4</f>
        <v>5681.8450833770394</v>
      </c>
      <c r="D29" s="50"/>
    </row>
    <row r="31" spans="1:4">
      <c r="A31" s="195" t="s">
        <v>503</v>
      </c>
      <c r="B31" s="205"/>
      <c r="C31" s="227"/>
    </row>
    <row r="32" spans="1:4">
      <c r="A32" s="238"/>
      <c r="B32" s="32"/>
      <c r="C32" s="239"/>
    </row>
    <row r="33" spans="1:5">
      <c r="A33" s="240"/>
      <c r="B33" s="226" t="s">
        <v>638</v>
      </c>
      <c r="C33" s="241" t="s">
        <v>181</v>
      </c>
    </row>
    <row r="34" spans="1:5">
      <c r="A34" s="259" t="s">
        <v>111</v>
      </c>
      <c r="B34" s="35">
        <f>IF(ISERROR(aantalCultuurgronden/'ha_N2O bodem landbouw'!B5),0,aantalCultuurgronden/'ha_N2O bodem landbouw'!B5)</f>
        <v>4.5764514281889778E-3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1.022875839145707E-4</v>
      </c>
      <c r="C5" s="444" t="s">
        <v>210</v>
      </c>
      <c r="D5" s="429">
        <f>SUM(D6:D11)</f>
        <v>1.6687537071122184E-4</v>
      </c>
      <c r="E5" s="429">
        <f>SUM(E6:E11)</f>
        <v>6.3339600071776313E-3</v>
      </c>
      <c r="F5" s="442" t="s">
        <v>210</v>
      </c>
      <c r="G5" s="429">
        <f>SUM(G6:G11)</f>
        <v>1.655160900806621</v>
      </c>
      <c r="H5" s="429">
        <f>SUM(H6:H11)</f>
        <v>0.30884627873666365</v>
      </c>
      <c r="I5" s="444" t="s">
        <v>210</v>
      </c>
      <c r="J5" s="444" t="s">
        <v>210</v>
      </c>
      <c r="K5" s="444" t="s">
        <v>210</v>
      </c>
      <c r="L5" s="444" t="s">
        <v>210</v>
      </c>
      <c r="M5" s="429">
        <f>SUM(M6:M11)</f>
        <v>8.8810911888076841E-2</v>
      </c>
      <c r="N5" s="444" t="s">
        <v>210</v>
      </c>
      <c r="O5" s="444" t="s">
        <v>210</v>
      </c>
      <c r="P5" s="445" t="s">
        <v>210</v>
      </c>
    </row>
    <row r="6" spans="1:18">
      <c r="A6" s="264" t="s">
        <v>725</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5.4720422209132698E-5</v>
      </c>
      <c r="C6" s="883"/>
      <c r="D6" s="883">
        <f>vkm_GW_PW*SUMIFS(TableVerdeelsleutelVkm[CNG],TableVerdeelsleutelVkm[Voertuigtype],"Lichte voertuigen")*SUMIFS(TableECFTransport[EnergieConsumptieFactor (PJ per km)],TableECFTransport[Index],CONCATENATE($A6,"_CNG_CNG"))</f>
        <v>8.1094035832018891E-5</v>
      </c>
      <c r="E6" s="883">
        <f>vkm_GW_PW*SUMIFS(TableVerdeelsleutelVkm[LPG],TableVerdeelsleutelVkm[Voertuigtype],"Lichte voertuigen")*SUMIFS(TableECFTransport[EnergieConsumptieFactor (PJ per km)],TableECFTransport[Index],CONCATENATE($A6,"_LPG_LPG"))</f>
        <v>2.9044920428187133E-3</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0.5845377611366811</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0.14932852614683281</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3.3199705303055063E-2</v>
      </c>
      <c r="N6" s="430"/>
      <c r="O6" s="430"/>
      <c r="P6" s="431"/>
    </row>
    <row r="7" spans="1:18">
      <c r="A7" s="264" t="s">
        <v>727</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0.22857054475435334</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5.3106869506129166E-6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1.0320316864736353E-2</v>
      </c>
      <c r="N7" s="430"/>
      <c r="O7" s="430"/>
      <c r="P7" s="431"/>
    </row>
    <row r="8" spans="1:18">
      <c r="A8" s="264" t="s">
        <v>728</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1.4885659289231199E-5</v>
      </c>
      <c r="C8" s="883"/>
      <c r="D8" s="432">
        <f>vkm_NGW_PW*SUMIFS(TableVerdeelsleutelVkm[CNG],TableVerdeelsleutelVkm[Voertuigtype],"Lichte voertuigen")*SUMIFS(TableECFTransport[EnergieConsumptieFactor (PJ per km)],TableECFTransport[Index],CONCATENATE($A8,"_CNG_CNG"))</f>
        <v>3.7436550492432724E-5</v>
      </c>
      <c r="E8" s="432">
        <f>vkm_NGW_PW*SUMIFS(TableVerdeelsleutelVkm[LPG],TableVerdeelsleutelVkm[Voertuigtype],"Lichte voertuigen")*SUMIFS(TableECFTransport[EnergieConsumptieFactor (PJ per km)],TableECFTransport[Index],CONCATENATE($A8,"_LPG_LPG"))</f>
        <v>1.2678495430699524E-3</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0.24237995095118131</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6.6241936975518417E-2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1.3963388647711565E-2</v>
      </c>
      <c r="N8" s="430"/>
      <c r="O8" s="430"/>
      <c r="P8" s="431"/>
    </row>
    <row r="9" spans="1:18">
      <c r="A9" s="264" t="s">
        <v>729</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2.9402335843621637E-3</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7.9182603363938496E-8</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1.3275663111397444E-4</v>
      </c>
      <c r="N9" s="430"/>
      <c r="O9" s="430"/>
      <c r="P9" s="431"/>
    </row>
    <row r="10" spans="1:18">
      <c r="A10" s="264" t="s">
        <v>730</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3.2681502416206797E-5</v>
      </c>
      <c r="C10" s="883"/>
      <c r="D10" s="432">
        <f>vkm_SW_PW*SUMIFS(TableVerdeelsleutelVkm[CNG],TableVerdeelsleutelVkm[Voertuigtype],"Lichte voertuigen")*SUMIFS(TableECFTransport[EnergieConsumptieFactor (PJ per km)],TableECFTransport[Index],CONCATENATE($A10,"_CNG_CNG"))</f>
        <v>4.8344784386770214E-5</v>
      </c>
      <c r="E10" s="432">
        <f>vkm_SW_PW*SUMIFS(TableVerdeelsleutelVkm[LPG],TableVerdeelsleutelVkm[Voertuigtype],"Lichte voertuigen")*SUMIFS(TableECFTransport[EnergieConsumptieFactor (PJ per km)],TableECFTransport[Index],CONCATENATE($A10,"_LPG_LPG"))</f>
        <v>2.1616184212889657E-3</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0.3943705482220628</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9.3265410506302118E-2</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2.2057776212912061E-2</v>
      </c>
      <c r="N10" s="430"/>
      <c r="O10" s="430"/>
      <c r="P10" s="431"/>
    </row>
    <row r="11" spans="1:18">
      <c r="A11" s="4" t="s">
        <v>731</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0.20236186215798038</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5.0152384562955616E-6</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9.1369682285478288E-3</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28.413217754047416</v>
      </c>
      <c r="C14" s="21"/>
      <c r="D14" s="21">
        <f t="shared" ref="D14:M14" si="0">((D5)*10^9/3600)+D12</f>
        <v>46.354269642006074</v>
      </c>
      <c r="E14" s="21">
        <f t="shared" si="0"/>
        <v>1759.4333353271197</v>
      </c>
      <c r="F14" s="21"/>
      <c r="G14" s="21">
        <f t="shared" si="0"/>
        <v>459766.91689072805</v>
      </c>
      <c r="H14" s="21">
        <f t="shared" si="0"/>
        <v>85790.632982406561</v>
      </c>
      <c r="I14" s="21"/>
      <c r="J14" s="21"/>
      <c r="K14" s="21"/>
      <c r="L14" s="21"/>
      <c r="M14" s="21">
        <f t="shared" si="0"/>
        <v>24669.697746688013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0.20016094735489684</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5.6872165830511054</v>
      </c>
      <c r="C18" s="23"/>
      <c r="D18" s="23">
        <f t="shared" ref="D18:M18" si="1">D14*D16</f>
        <v>9.3635624676852274</v>
      </c>
      <c r="E18" s="23">
        <f t="shared" si="1"/>
        <v>399.39136711925619</v>
      </c>
      <c r="F18" s="23"/>
      <c r="G18" s="23">
        <f t="shared" si="1"/>
        <v>122757.7668098244</v>
      </c>
      <c r="H18" s="23">
        <f t="shared" si="1"/>
        <v>21361.867612619233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735</v>
      </c>
      <c r="D23" s="912" t="s">
        <v>736</v>
      </c>
      <c r="E23" s="912" t="s">
        <v>737</v>
      </c>
      <c r="F23" s="912" t="s">
        <v>672</v>
      </c>
      <c r="G23" s="912" t="s">
        <v>738</v>
      </c>
      <c r="H23" s="912" t="s">
        <v>739</v>
      </c>
      <c r="I23" s="912" t="s">
        <v>118</v>
      </c>
      <c r="J23" s="912" t="s">
        <v>740</v>
      </c>
      <c r="K23" s="912" t="s">
        <v>741</v>
      </c>
      <c r="L23" s="913" t="s">
        <v>742</v>
      </c>
      <c r="M23" s="129" t="s">
        <v>181</v>
      </c>
      <c r="N23" s="271" t="s">
        <v>315</v>
      </c>
    </row>
    <row r="24" spans="1:18">
      <c r="A24" s="32" t="s">
        <v>724</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900</v>
      </c>
      <c r="N24" s="882">
        <f>SUM(B24:K24)</f>
        <v>1.0001828361</v>
      </c>
    </row>
    <row r="25" spans="1:18">
      <c r="A25" s="32" t="s">
        <v>726</v>
      </c>
      <c r="B25" s="1056"/>
      <c r="C25" s="1055">
        <v>0.99996447099999997</v>
      </c>
      <c r="D25" s="1056"/>
      <c r="E25" s="1056"/>
      <c r="F25" s="1055"/>
      <c r="G25" s="1056"/>
      <c r="H25" s="1056"/>
      <c r="I25" s="1056"/>
      <c r="J25" s="1056">
        <v>3.5528699999999997E-5</v>
      </c>
      <c r="K25" s="1056"/>
      <c r="L25" s="914"/>
      <c r="M25" s="1062" t="s">
        <v>900</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902</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6.4580777650572643E-2</v>
      </c>
      <c r="H50" s="321">
        <f t="shared" si="2"/>
        <v>0</v>
      </c>
      <c r="I50" s="321">
        <f t="shared" si="2"/>
        <v>0</v>
      </c>
      <c r="J50" s="321">
        <f t="shared" si="2"/>
        <v>0</v>
      </c>
      <c r="K50" s="321">
        <f t="shared" si="2"/>
        <v>0</v>
      </c>
      <c r="L50" s="321">
        <f t="shared" si="2"/>
        <v>0</v>
      </c>
      <c r="M50" s="321">
        <f t="shared" si="2"/>
        <v>2.874543840399577E-3</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6.4580777650572643E-2</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2.874543840399577E-3</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17939.104902936844</v>
      </c>
      <c r="H54" s="21">
        <f t="shared" si="3"/>
        <v>0</v>
      </c>
      <c r="I54" s="21">
        <f t="shared" si="3"/>
        <v>0</v>
      </c>
      <c r="J54" s="21">
        <f t="shared" si="3"/>
        <v>0</v>
      </c>
      <c r="K54" s="21">
        <f t="shared" si="3"/>
        <v>0</v>
      </c>
      <c r="L54" s="21">
        <f t="shared" si="3"/>
        <v>0</v>
      </c>
      <c r="M54" s="21">
        <f t="shared" si="3"/>
        <v>798.48440011099353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0.20016094735489684</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4789.7410090841377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573</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758</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574</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205100.66</v>
      </c>
      <c r="D10" s="686">
        <f ca="1">tertiair!C16</f>
        <v>2858.7857142857142</v>
      </c>
      <c r="E10" s="686">
        <f ca="1">tertiair!D16</f>
        <v>148900.86564342858</v>
      </c>
      <c r="F10" s="686">
        <f>tertiair!E16</f>
        <v>2354.0366524784927</v>
      </c>
      <c r="G10" s="686">
        <f ca="1">tertiair!F16</f>
        <v>38059.873551637618</v>
      </c>
      <c r="H10" s="686">
        <f>tertiair!G16</f>
        <v>0</v>
      </c>
      <c r="I10" s="686">
        <f>tertiair!H16</f>
        <v>0</v>
      </c>
      <c r="J10" s="686">
        <f>tertiair!I16</f>
        <v>0</v>
      </c>
      <c r="K10" s="686">
        <f>tertiair!J16</f>
        <v>0</v>
      </c>
      <c r="L10" s="686">
        <f>tertiair!K16</f>
        <v>0</v>
      </c>
      <c r="M10" s="686">
        <f ca="1">tertiair!L16</f>
        <v>0</v>
      </c>
      <c r="N10" s="686">
        <f>tertiair!M16</f>
        <v>0</v>
      </c>
      <c r="O10" s="686">
        <f ca="1">tertiair!N16</f>
        <v>7669.255366380723</v>
      </c>
      <c r="P10" s="686">
        <f>tertiair!O16</f>
        <v>9.3800000000000008</v>
      </c>
      <c r="Q10" s="687">
        <f>tertiair!P16</f>
        <v>171.6</v>
      </c>
      <c r="R10" s="689">
        <f ca="1">SUM(C10:Q10)</f>
        <v>405124.45692821115</v>
      </c>
      <c r="S10" s="67"/>
    </row>
    <row r="11" spans="1:19" s="454" customFormat="1">
      <c r="A11" s="801" t="s">
        <v>224</v>
      </c>
      <c r="B11" s="806"/>
      <c r="C11" s="686">
        <f>huishoudens!B8</f>
        <v>136038.00128728084</v>
      </c>
      <c r="D11" s="686">
        <f>huishoudens!C8</f>
        <v>0</v>
      </c>
      <c r="E11" s="686">
        <f>huishoudens!D8</f>
        <v>321471.82042800001</v>
      </c>
      <c r="F11" s="686">
        <f>huishoudens!E8</f>
        <v>12312.240244018123</v>
      </c>
      <c r="G11" s="686">
        <f>huishoudens!F8</f>
        <v>89360.594534610631</v>
      </c>
      <c r="H11" s="686">
        <f>huishoudens!G8</f>
        <v>0</v>
      </c>
      <c r="I11" s="686">
        <f>huishoudens!H8</f>
        <v>0</v>
      </c>
      <c r="J11" s="686">
        <f>huishoudens!I8</f>
        <v>0</v>
      </c>
      <c r="K11" s="686">
        <f>huishoudens!J8</f>
        <v>0</v>
      </c>
      <c r="L11" s="686">
        <f>huishoudens!K8</f>
        <v>0</v>
      </c>
      <c r="M11" s="686">
        <f>huishoudens!L8</f>
        <v>0</v>
      </c>
      <c r="N11" s="686">
        <f>huishoudens!M8</f>
        <v>0</v>
      </c>
      <c r="O11" s="686">
        <f>huishoudens!N8</f>
        <v>40606.376946132768</v>
      </c>
      <c r="P11" s="686">
        <f>huishoudens!O8</f>
        <v>664.41666666666663</v>
      </c>
      <c r="Q11" s="687">
        <f>huishoudens!P8</f>
        <v>1849.4666666666667</v>
      </c>
      <c r="R11" s="689">
        <f>SUM(C11:Q11)</f>
        <v>602302.91677337571</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660</v>
      </c>
      <c r="B13" s="810" t="s">
        <v>658</v>
      </c>
      <c r="C13" s="686">
        <f>industrie!B18</f>
        <v>65951.264999999985</v>
      </c>
      <c r="D13" s="686">
        <f>industrie!C18</f>
        <v>321.42857142857144</v>
      </c>
      <c r="E13" s="686">
        <f>industrie!D18</f>
        <v>77528.424441142866</v>
      </c>
      <c r="F13" s="686">
        <f>industrie!E18</f>
        <v>9944.54747071764</v>
      </c>
      <c r="G13" s="686">
        <f>industrie!F18</f>
        <v>44628.165539653077</v>
      </c>
      <c r="H13" s="686">
        <f>industrie!G18</f>
        <v>0</v>
      </c>
      <c r="I13" s="686">
        <f>industrie!H18</f>
        <v>0</v>
      </c>
      <c r="J13" s="686">
        <f>industrie!I18</f>
        <v>0</v>
      </c>
      <c r="K13" s="686">
        <f>industrie!J18</f>
        <v>65.828958894371155</v>
      </c>
      <c r="L13" s="686">
        <f>industrie!K18</f>
        <v>0</v>
      </c>
      <c r="M13" s="686">
        <f>industrie!L18</f>
        <v>0</v>
      </c>
      <c r="N13" s="686">
        <f>industrie!M18</f>
        <v>0</v>
      </c>
      <c r="O13" s="686">
        <f>industrie!N18</f>
        <v>7024.0634177527108</v>
      </c>
      <c r="P13" s="686">
        <f>industrie!O18</f>
        <v>0</v>
      </c>
      <c r="Q13" s="687">
        <f>industrie!P18</f>
        <v>0</v>
      </c>
      <c r="R13" s="689">
        <f>SUM(C13:Q13)</f>
        <v>205463.72339958919</v>
      </c>
      <c r="S13" s="67"/>
    </row>
    <row r="14" spans="1:19" s="454" customFormat="1">
      <c r="A14" s="801"/>
      <c r="B14" s="810" t="s">
        <v>659</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856</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407089.92628728086</v>
      </c>
      <c r="D16" s="721">
        <f t="shared" ref="D16:R16" ca="1" si="0">SUM(D9:D15)</f>
        <v>3180.2142857142858</v>
      </c>
      <c r="E16" s="721">
        <f t="shared" ca="1" si="0"/>
        <v>547901.11051257141</v>
      </c>
      <c r="F16" s="721">
        <f t="shared" si="0"/>
        <v>24610.824367214256</v>
      </c>
      <c r="G16" s="721">
        <f t="shared" ca="1" si="0"/>
        <v>172048.63362590133</v>
      </c>
      <c r="H16" s="721">
        <f t="shared" si="0"/>
        <v>0</v>
      </c>
      <c r="I16" s="721">
        <f t="shared" si="0"/>
        <v>0</v>
      </c>
      <c r="J16" s="721">
        <f t="shared" si="0"/>
        <v>0</v>
      </c>
      <c r="K16" s="721">
        <f t="shared" si="0"/>
        <v>65.828958894371155</v>
      </c>
      <c r="L16" s="721">
        <f t="shared" si="0"/>
        <v>0</v>
      </c>
      <c r="M16" s="721">
        <f t="shared" ca="1" si="0"/>
        <v>0</v>
      </c>
      <c r="N16" s="721">
        <f t="shared" si="0"/>
        <v>0</v>
      </c>
      <c r="O16" s="721">
        <f t="shared" ca="1" si="0"/>
        <v>55299.695730266205</v>
      </c>
      <c r="P16" s="721">
        <f t="shared" si="0"/>
        <v>673.79666666666662</v>
      </c>
      <c r="Q16" s="721">
        <f t="shared" si="0"/>
        <v>2021.0666666666666</v>
      </c>
      <c r="R16" s="721">
        <f t="shared" ca="1" si="0"/>
        <v>1212891.0971011762</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17939.104902936844</v>
      </c>
      <c r="I19" s="686">
        <f>transport!H54</f>
        <v>0</v>
      </c>
      <c r="J19" s="686">
        <f>transport!I54</f>
        <v>0</v>
      </c>
      <c r="K19" s="686">
        <f>transport!J54</f>
        <v>0</v>
      </c>
      <c r="L19" s="686">
        <f>transport!K54</f>
        <v>0</v>
      </c>
      <c r="M19" s="686">
        <f>transport!L54</f>
        <v>0</v>
      </c>
      <c r="N19" s="686">
        <f>transport!M54</f>
        <v>798.48440011099353</v>
      </c>
      <c r="O19" s="686">
        <f>transport!N54</f>
        <v>0</v>
      </c>
      <c r="P19" s="686">
        <f>transport!O54</f>
        <v>0</v>
      </c>
      <c r="Q19" s="687">
        <f>transport!P54</f>
        <v>0</v>
      </c>
      <c r="R19" s="689">
        <f>SUM(C19:Q19)</f>
        <v>18737.589303047836</v>
      </c>
      <c r="S19" s="67"/>
    </row>
    <row r="20" spans="1:19" s="454" customFormat="1">
      <c r="A20" s="801" t="s">
        <v>306</v>
      </c>
      <c r="B20" s="806"/>
      <c r="C20" s="686">
        <f>transport!B14</f>
        <v>28.413217754047416</v>
      </c>
      <c r="D20" s="686">
        <f>transport!C14</f>
        <v>0</v>
      </c>
      <c r="E20" s="686">
        <f>transport!D14</f>
        <v>46.354269642006074</v>
      </c>
      <c r="F20" s="686">
        <f>transport!E14</f>
        <v>1759.4333353271197</v>
      </c>
      <c r="G20" s="686">
        <f>transport!F14</f>
        <v>0</v>
      </c>
      <c r="H20" s="686">
        <f>transport!G14</f>
        <v>459766.91689072805</v>
      </c>
      <c r="I20" s="686">
        <f>transport!H14</f>
        <v>85790.632982406561</v>
      </c>
      <c r="J20" s="686">
        <f>transport!I14</f>
        <v>0</v>
      </c>
      <c r="K20" s="686">
        <f>transport!J14</f>
        <v>0</v>
      </c>
      <c r="L20" s="686">
        <f>transport!K14</f>
        <v>0</v>
      </c>
      <c r="M20" s="686">
        <f>transport!L14</f>
        <v>0</v>
      </c>
      <c r="N20" s="686">
        <f>transport!M14</f>
        <v>24669.697746688013</v>
      </c>
      <c r="O20" s="686">
        <f>transport!N14</f>
        <v>0</v>
      </c>
      <c r="P20" s="686">
        <f>transport!O14</f>
        <v>0</v>
      </c>
      <c r="Q20" s="687">
        <f>transport!P14</f>
        <v>0</v>
      </c>
      <c r="R20" s="689">
        <f>SUM(C20:Q20)</f>
        <v>572061.44844254584</v>
      </c>
      <c r="S20" s="67"/>
    </row>
    <row r="21" spans="1:19" s="454" customFormat="1" ht="15" thickBot="1">
      <c r="A21" s="823" t="s">
        <v>857</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28.413217754047416</v>
      </c>
      <c r="D22" s="804">
        <f t="shared" ref="D22:R22" si="1">SUM(D18:D21)</f>
        <v>0</v>
      </c>
      <c r="E22" s="804">
        <f t="shared" si="1"/>
        <v>46.354269642006074</v>
      </c>
      <c r="F22" s="804">
        <f t="shared" si="1"/>
        <v>1759.4333353271197</v>
      </c>
      <c r="G22" s="804">
        <f t="shared" si="1"/>
        <v>0</v>
      </c>
      <c r="H22" s="804">
        <f t="shared" si="1"/>
        <v>477706.0217936649</v>
      </c>
      <c r="I22" s="804">
        <f t="shared" si="1"/>
        <v>85790.632982406561</v>
      </c>
      <c r="J22" s="804">
        <f t="shared" si="1"/>
        <v>0</v>
      </c>
      <c r="K22" s="804">
        <f t="shared" si="1"/>
        <v>0</v>
      </c>
      <c r="L22" s="804">
        <f t="shared" si="1"/>
        <v>0</v>
      </c>
      <c r="M22" s="804">
        <f t="shared" si="1"/>
        <v>0</v>
      </c>
      <c r="N22" s="804">
        <f t="shared" si="1"/>
        <v>25468.182146799005</v>
      </c>
      <c r="O22" s="804">
        <f t="shared" si="1"/>
        <v>0</v>
      </c>
      <c r="P22" s="804">
        <f t="shared" si="1"/>
        <v>0</v>
      </c>
      <c r="Q22" s="804">
        <f t="shared" si="1"/>
        <v>0</v>
      </c>
      <c r="R22" s="804">
        <f t="shared" si="1"/>
        <v>590799.0377455937</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654</v>
      </c>
      <c r="B24" s="806"/>
      <c r="C24" s="686">
        <f>+landbouw!B8</f>
        <v>1854.6130000000001</v>
      </c>
      <c r="D24" s="686">
        <f>+landbouw!C8</f>
        <v>0</v>
      </c>
      <c r="E24" s="686">
        <f>+landbouw!D8</f>
        <v>2503.2376160000003</v>
      </c>
      <c r="F24" s="686">
        <f>+landbouw!E8</f>
        <v>23.370513027323071</v>
      </c>
      <c r="G24" s="686">
        <f>+landbouw!F8</f>
        <v>6398.8794583179852</v>
      </c>
      <c r="H24" s="686">
        <f>+landbouw!G8</f>
        <v>0</v>
      </c>
      <c r="I24" s="686">
        <f>+landbouw!H8</f>
        <v>0</v>
      </c>
      <c r="J24" s="686">
        <f>+landbouw!I8</f>
        <v>0</v>
      </c>
      <c r="K24" s="686">
        <f>+landbouw!J8</f>
        <v>278.91271270348653</v>
      </c>
      <c r="L24" s="686">
        <f>+landbouw!K8</f>
        <v>0</v>
      </c>
      <c r="M24" s="686">
        <f>+landbouw!L8</f>
        <v>0</v>
      </c>
      <c r="N24" s="686">
        <f>+landbouw!M8</f>
        <v>0</v>
      </c>
      <c r="O24" s="686">
        <f>+landbouw!N8</f>
        <v>0</v>
      </c>
      <c r="P24" s="686">
        <f>+landbouw!O8</f>
        <v>0</v>
      </c>
      <c r="Q24" s="687">
        <f>+landbouw!P8</f>
        <v>0</v>
      </c>
      <c r="R24" s="689">
        <f>SUM(C24:Q24)</f>
        <v>11059.013300048795</v>
      </c>
      <c r="S24" s="67"/>
    </row>
    <row r="25" spans="1:19" s="454" customFormat="1" ht="15" thickBot="1">
      <c r="A25" s="823" t="s">
        <v>858</v>
      </c>
      <c r="B25" s="991"/>
      <c r="C25" s="992">
        <f>IF(Onbekend_ele_kWh="---",0,Onbekend_ele_kWh)/1000+IF(REST_rest_ele_kWh="---",0,REST_rest_ele_kWh)/1000</f>
        <v>7682.2889999999998</v>
      </c>
      <c r="D25" s="992"/>
      <c r="E25" s="992">
        <f>IF(onbekend_gas_kWh="---",0,onbekend_gas_kWh)/1000+IF(REST_rest_gas_kWh="---",0,REST_rest_gas_kWh)/1000</f>
        <v>104429.768</v>
      </c>
      <c r="F25" s="992"/>
      <c r="G25" s="992"/>
      <c r="H25" s="992"/>
      <c r="I25" s="992"/>
      <c r="J25" s="992"/>
      <c r="K25" s="992"/>
      <c r="L25" s="992"/>
      <c r="M25" s="992"/>
      <c r="N25" s="992"/>
      <c r="O25" s="992"/>
      <c r="P25" s="992"/>
      <c r="Q25" s="993"/>
      <c r="R25" s="689">
        <f>SUM(C25:Q25)</f>
        <v>112112.057</v>
      </c>
      <c r="S25" s="67"/>
    </row>
    <row r="26" spans="1:19" s="454" customFormat="1" ht="15.75" thickBot="1">
      <c r="A26" s="694" t="s">
        <v>859</v>
      </c>
      <c r="B26" s="809"/>
      <c r="C26" s="804">
        <f>SUM(C24:C25)</f>
        <v>9536.902</v>
      </c>
      <c r="D26" s="804">
        <f t="shared" ref="D26:R26" si="2">SUM(D24:D25)</f>
        <v>0</v>
      </c>
      <c r="E26" s="804">
        <f t="shared" si="2"/>
        <v>106933.00561599999</v>
      </c>
      <c r="F26" s="804">
        <f t="shared" si="2"/>
        <v>23.370513027323071</v>
      </c>
      <c r="G26" s="804">
        <f t="shared" si="2"/>
        <v>6398.8794583179852</v>
      </c>
      <c r="H26" s="804">
        <f t="shared" si="2"/>
        <v>0</v>
      </c>
      <c r="I26" s="804">
        <f t="shared" si="2"/>
        <v>0</v>
      </c>
      <c r="J26" s="804">
        <f t="shared" si="2"/>
        <v>0</v>
      </c>
      <c r="K26" s="804">
        <f t="shared" si="2"/>
        <v>278.91271270348653</v>
      </c>
      <c r="L26" s="804">
        <f t="shared" si="2"/>
        <v>0</v>
      </c>
      <c r="M26" s="804">
        <f t="shared" si="2"/>
        <v>0</v>
      </c>
      <c r="N26" s="804">
        <f t="shared" si="2"/>
        <v>0</v>
      </c>
      <c r="O26" s="804">
        <f t="shared" si="2"/>
        <v>0</v>
      </c>
      <c r="P26" s="804">
        <f t="shared" si="2"/>
        <v>0</v>
      </c>
      <c r="Q26" s="804">
        <f t="shared" si="2"/>
        <v>0</v>
      </c>
      <c r="R26" s="804">
        <f t="shared" si="2"/>
        <v>123171.0703000488</v>
      </c>
      <c r="S26" s="67"/>
    </row>
    <row r="27" spans="1:19" s="454" customFormat="1" ht="17.25" thickTop="1" thickBot="1">
      <c r="A27" s="695" t="s">
        <v>115</v>
      </c>
      <c r="B27" s="796"/>
      <c r="C27" s="696">
        <f ca="1">C22+C16+C26</f>
        <v>416655.24150503491</v>
      </c>
      <c r="D27" s="696">
        <f t="shared" ref="D27:R27" ca="1" si="3">D22+D16+D26</f>
        <v>3180.2142857142858</v>
      </c>
      <c r="E27" s="696">
        <f t="shared" ca="1" si="3"/>
        <v>654880.47039821348</v>
      </c>
      <c r="F27" s="696">
        <f t="shared" si="3"/>
        <v>26393.6282155687</v>
      </c>
      <c r="G27" s="696">
        <f t="shared" ca="1" si="3"/>
        <v>178447.51308421933</v>
      </c>
      <c r="H27" s="696">
        <f t="shared" si="3"/>
        <v>477706.0217936649</v>
      </c>
      <c r="I27" s="696">
        <f t="shared" si="3"/>
        <v>85790.632982406561</v>
      </c>
      <c r="J27" s="696">
        <f t="shared" si="3"/>
        <v>0</v>
      </c>
      <c r="K27" s="696">
        <f t="shared" si="3"/>
        <v>344.7416715978577</v>
      </c>
      <c r="L27" s="696">
        <f t="shared" si="3"/>
        <v>0</v>
      </c>
      <c r="M27" s="696">
        <f t="shared" ca="1" si="3"/>
        <v>0</v>
      </c>
      <c r="N27" s="696">
        <f t="shared" si="3"/>
        <v>25468.182146799005</v>
      </c>
      <c r="O27" s="696">
        <f t="shared" ca="1" si="3"/>
        <v>55299.695730266205</v>
      </c>
      <c r="P27" s="696">
        <f t="shared" si="3"/>
        <v>673.79666666666662</v>
      </c>
      <c r="Q27" s="696">
        <f t="shared" si="3"/>
        <v>2021.0666666666666</v>
      </c>
      <c r="R27" s="696">
        <f t="shared" ca="1" si="3"/>
        <v>1926861.2051468184</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41053.142408714593</v>
      </c>
      <c r="D40" s="686">
        <f ca="1">tertiair!C20</f>
        <v>679.38201680672285</v>
      </c>
      <c r="E40" s="686">
        <f ca="1">tertiair!D20</f>
        <v>30077.974859972575</v>
      </c>
      <c r="F40" s="686">
        <f>tertiair!E20</f>
        <v>534.36632011261781</v>
      </c>
      <c r="G40" s="686">
        <f ca="1">tertiair!F20</f>
        <v>10161.986238287245</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82506.851843893761</v>
      </c>
    </row>
    <row r="41" spans="1:18">
      <c r="A41" s="814" t="s">
        <v>224</v>
      </c>
      <c r="B41" s="821"/>
      <c r="C41" s="686">
        <f ca="1">huishoudens!B12</f>
        <v>27229.495213928811</v>
      </c>
      <c r="D41" s="686">
        <f ca="1">huishoudens!C12</f>
        <v>0</v>
      </c>
      <c r="E41" s="686">
        <f>huishoudens!D12</f>
        <v>64937.307726456005</v>
      </c>
      <c r="F41" s="686">
        <f>huishoudens!E12</f>
        <v>2794.8785353921139</v>
      </c>
      <c r="G41" s="686">
        <f>huishoudens!F12</f>
        <v>23859.27874074104</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118820.96021651797</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661</v>
      </c>
      <c r="B43" s="829" t="s">
        <v>658</v>
      </c>
      <c r="C43" s="686">
        <f ca="1">industrie!B22</f>
        <v>13200.867681653848</v>
      </c>
      <c r="D43" s="686">
        <f ca="1">industrie!C22</f>
        <v>76.386554621848759</v>
      </c>
      <c r="E43" s="686">
        <f>industrie!D22</f>
        <v>15660.74173711086</v>
      </c>
      <c r="F43" s="686">
        <f>industrie!E22</f>
        <v>2257.4122758529043</v>
      </c>
      <c r="G43" s="686">
        <f>industrie!F22</f>
        <v>11915.720199087373</v>
      </c>
      <c r="H43" s="686">
        <f>industrie!G22</f>
        <v>0</v>
      </c>
      <c r="I43" s="686">
        <f>industrie!H22</f>
        <v>0</v>
      </c>
      <c r="J43" s="686">
        <f>industrie!I22</f>
        <v>0</v>
      </c>
      <c r="K43" s="686">
        <f>industrie!J22</f>
        <v>23.303451448607387</v>
      </c>
      <c r="L43" s="686">
        <f>industrie!K22</f>
        <v>0</v>
      </c>
      <c r="M43" s="686">
        <f>industrie!L22</f>
        <v>0</v>
      </c>
      <c r="N43" s="686">
        <f>industrie!M22</f>
        <v>0</v>
      </c>
      <c r="O43" s="686">
        <f>industrie!N22</f>
        <v>0</v>
      </c>
      <c r="P43" s="686">
        <f>industrie!O22</f>
        <v>0</v>
      </c>
      <c r="Q43" s="763">
        <f>industrie!P22</f>
        <v>0</v>
      </c>
      <c r="R43" s="841">
        <f t="shared" ca="1" si="4"/>
        <v>43134.431899775445</v>
      </c>
    </row>
    <row r="44" spans="1:18">
      <c r="A44" s="814"/>
      <c r="B44" s="821" t="s">
        <v>659</v>
      </c>
      <c r="C44" s="686"/>
      <c r="D44" s="686"/>
      <c r="E44" s="686"/>
      <c r="F44" s="686"/>
      <c r="G44" s="686"/>
      <c r="H44" s="686"/>
      <c r="I44" s="686"/>
      <c r="J44" s="686"/>
      <c r="K44" s="686"/>
      <c r="L44" s="686"/>
      <c r="M44" s="686"/>
      <c r="N44" s="686"/>
      <c r="O44" s="686"/>
      <c r="P44" s="686"/>
      <c r="Q44" s="763"/>
      <c r="R44" s="842">
        <f t="shared" si="4"/>
        <v>0</v>
      </c>
    </row>
    <row r="45" spans="1:18" ht="15" thickBot="1">
      <c r="A45" s="990" t="s">
        <v>856</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81483.505304297258</v>
      </c>
      <c r="D46" s="721">
        <f t="shared" ref="D46:Q46" ca="1" si="5">SUM(D39:D45)</f>
        <v>755.76857142857159</v>
      </c>
      <c r="E46" s="721">
        <f t="shared" ca="1" si="5"/>
        <v>110676.02432353944</v>
      </c>
      <c r="F46" s="721">
        <f t="shared" si="5"/>
        <v>5586.657131357636</v>
      </c>
      <c r="G46" s="721">
        <f t="shared" ca="1" si="5"/>
        <v>45936.985178115661</v>
      </c>
      <c r="H46" s="721">
        <f t="shared" si="5"/>
        <v>0</v>
      </c>
      <c r="I46" s="721">
        <f t="shared" si="5"/>
        <v>0</v>
      </c>
      <c r="J46" s="721">
        <f t="shared" si="5"/>
        <v>0</v>
      </c>
      <c r="K46" s="721">
        <f t="shared" si="5"/>
        <v>23.303451448607387</v>
      </c>
      <c r="L46" s="721">
        <f t="shared" si="5"/>
        <v>0</v>
      </c>
      <c r="M46" s="721">
        <f t="shared" ca="1" si="5"/>
        <v>0</v>
      </c>
      <c r="N46" s="721">
        <f t="shared" si="5"/>
        <v>0</v>
      </c>
      <c r="O46" s="721">
        <f t="shared" ca="1" si="5"/>
        <v>0</v>
      </c>
      <c r="P46" s="721">
        <f t="shared" si="5"/>
        <v>0</v>
      </c>
      <c r="Q46" s="721">
        <f t="shared" si="5"/>
        <v>0</v>
      </c>
      <c r="R46" s="721">
        <f ca="1">SUM(R39:R45)</f>
        <v>244462.24396018719</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4789.7410090841377</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4789.7410090841377</v>
      </c>
    </row>
    <row r="50" spans="1:18">
      <c r="A50" s="817" t="s">
        <v>306</v>
      </c>
      <c r="B50" s="827"/>
      <c r="C50" s="692">
        <f ca="1">transport!B18</f>
        <v>5.6872165830511054</v>
      </c>
      <c r="D50" s="692">
        <f>transport!C18</f>
        <v>0</v>
      </c>
      <c r="E50" s="692">
        <f>transport!D18</f>
        <v>9.3635624676852274</v>
      </c>
      <c r="F50" s="692">
        <f>transport!E18</f>
        <v>399.39136711925619</v>
      </c>
      <c r="G50" s="692">
        <f>transport!F18</f>
        <v>0</v>
      </c>
      <c r="H50" s="692">
        <f>transport!G18</f>
        <v>122757.7668098244</v>
      </c>
      <c r="I50" s="692">
        <f>transport!H18</f>
        <v>21361.867612619233</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144534.07656861364</v>
      </c>
    </row>
    <row r="51" spans="1:18" ht="15" thickBot="1">
      <c r="A51" s="814" t="s">
        <v>857</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5.6872165830511054</v>
      </c>
      <c r="D52" s="721">
        <f t="shared" ref="D52:Q52" ca="1" si="6">SUM(D48:D51)</f>
        <v>0</v>
      </c>
      <c r="E52" s="721">
        <f t="shared" si="6"/>
        <v>9.3635624676852274</v>
      </c>
      <c r="F52" s="721">
        <f t="shared" si="6"/>
        <v>399.39136711925619</v>
      </c>
      <c r="G52" s="721">
        <f t="shared" si="6"/>
        <v>0</v>
      </c>
      <c r="H52" s="721">
        <f t="shared" si="6"/>
        <v>127547.50781890855</v>
      </c>
      <c r="I52" s="721">
        <f t="shared" si="6"/>
        <v>21361.867612619233</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149323.81757769777</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654</v>
      </c>
      <c r="B54" s="827"/>
      <c r="C54" s="692">
        <f ca="1">+landbouw!B12</f>
        <v>371.22109505670733</v>
      </c>
      <c r="D54" s="692">
        <f ca="1">+landbouw!C12</f>
        <v>0</v>
      </c>
      <c r="E54" s="692">
        <f>+landbouw!D12</f>
        <v>505.65399843200009</v>
      </c>
      <c r="F54" s="692">
        <f>+landbouw!E12</f>
        <v>5.3051064572023376</v>
      </c>
      <c r="G54" s="692">
        <f>+landbouw!F12</f>
        <v>1708.500815370902</v>
      </c>
      <c r="H54" s="692">
        <f>+landbouw!G12</f>
        <v>0</v>
      </c>
      <c r="I54" s="692">
        <f>+landbouw!H12</f>
        <v>0</v>
      </c>
      <c r="J54" s="692">
        <f>+landbouw!I12</f>
        <v>0</v>
      </c>
      <c r="K54" s="692">
        <f>+landbouw!J12</f>
        <v>98.735100297034222</v>
      </c>
      <c r="L54" s="692">
        <f>+landbouw!K12</f>
        <v>0</v>
      </c>
      <c r="M54" s="692">
        <f>+landbouw!L12</f>
        <v>0</v>
      </c>
      <c r="N54" s="692">
        <f>+landbouw!M12</f>
        <v>0</v>
      </c>
      <c r="O54" s="692">
        <f>+landbouw!N12</f>
        <v>0</v>
      </c>
      <c r="P54" s="692">
        <f>+landbouw!O12</f>
        <v>0</v>
      </c>
      <c r="Q54" s="693">
        <f>+landbouw!P12</f>
        <v>0</v>
      </c>
      <c r="R54" s="720">
        <f ca="1">SUM(C54:Q54)</f>
        <v>2689.4161156138457</v>
      </c>
    </row>
    <row r="55" spans="1:18" ht="15" thickBot="1">
      <c r="A55" s="817" t="s">
        <v>858</v>
      </c>
      <c r="B55" s="827"/>
      <c r="C55" s="692">
        <f ca="1">C25*'EF ele_warmte'!B12</f>
        <v>1537.6942440941029</v>
      </c>
      <c r="D55" s="692"/>
      <c r="E55" s="692">
        <f>E25*EF_CO2_aardgas</f>
        <v>21094.813136000001</v>
      </c>
      <c r="F55" s="692"/>
      <c r="G55" s="692"/>
      <c r="H55" s="692"/>
      <c r="I55" s="692"/>
      <c r="J55" s="692"/>
      <c r="K55" s="692"/>
      <c r="L55" s="692"/>
      <c r="M55" s="692"/>
      <c r="N55" s="692"/>
      <c r="O55" s="692"/>
      <c r="P55" s="692"/>
      <c r="Q55" s="693"/>
      <c r="R55" s="720">
        <f ca="1">SUM(C55:Q55)</f>
        <v>22632.507380094103</v>
      </c>
    </row>
    <row r="56" spans="1:18" ht="15.75" thickBot="1">
      <c r="A56" s="815" t="s">
        <v>859</v>
      </c>
      <c r="B56" s="828"/>
      <c r="C56" s="721">
        <f ca="1">SUM(C54:C55)</f>
        <v>1908.9153391508103</v>
      </c>
      <c r="D56" s="721">
        <f t="shared" ref="D56:Q56" ca="1" si="7">SUM(D54:D55)</f>
        <v>0</v>
      </c>
      <c r="E56" s="721">
        <f t="shared" si="7"/>
        <v>21600.467134432001</v>
      </c>
      <c r="F56" s="721">
        <f t="shared" si="7"/>
        <v>5.3051064572023376</v>
      </c>
      <c r="G56" s="721">
        <f t="shared" si="7"/>
        <v>1708.500815370902</v>
      </c>
      <c r="H56" s="721">
        <f t="shared" si="7"/>
        <v>0</v>
      </c>
      <c r="I56" s="721">
        <f t="shared" si="7"/>
        <v>0</v>
      </c>
      <c r="J56" s="721">
        <f t="shared" si="7"/>
        <v>0</v>
      </c>
      <c r="K56" s="721">
        <f t="shared" si="7"/>
        <v>98.735100297034222</v>
      </c>
      <c r="L56" s="721">
        <f t="shared" si="7"/>
        <v>0</v>
      </c>
      <c r="M56" s="721">
        <f t="shared" si="7"/>
        <v>0</v>
      </c>
      <c r="N56" s="721">
        <f t="shared" si="7"/>
        <v>0</v>
      </c>
      <c r="O56" s="721">
        <f t="shared" si="7"/>
        <v>0</v>
      </c>
      <c r="P56" s="721">
        <f t="shared" si="7"/>
        <v>0</v>
      </c>
      <c r="Q56" s="722">
        <f t="shared" si="7"/>
        <v>0</v>
      </c>
      <c r="R56" s="723">
        <f ca="1">SUM(R54:R55)</f>
        <v>25321.92349570795</v>
      </c>
    </row>
    <row r="57" spans="1:18" ht="15.75">
      <c r="A57" s="795" t="s">
        <v>655</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83398.10786003113</v>
      </c>
      <c r="D61" s="729">
        <f t="shared" ref="D61:Q61" ca="1" si="8">D46+D52+D56</f>
        <v>755.76857142857159</v>
      </c>
      <c r="E61" s="729">
        <f t="shared" ca="1" si="8"/>
        <v>132285.85502043914</v>
      </c>
      <c r="F61" s="729">
        <f t="shared" si="8"/>
        <v>5991.3536049340946</v>
      </c>
      <c r="G61" s="729">
        <f t="shared" ca="1" si="8"/>
        <v>47645.48599348656</v>
      </c>
      <c r="H61" s="729">
        <f t="shared" si="8"/>
        <v>127547.50781890855</v>
      </c>
      <c r="I61" s="729">
        <f t="shared" si="8"/>
        <v>21361.867612619233</v>
      </c>
      <c r="J61" s="729">
        <f t="shared" si="8"/>
        <v>0</v>
      </c>
      <c r="K61" s="729">
        <f t="shared" si="8"/>
        <v>122.03855174564161</v>
      </c>
      <c r="L61" s="729">
        <f t="shared" si="8"/>
        <v>0</v>
      </c>
      <c r="M61" s="729">
        <f t="shared" ca="1" si="8"/>
        <v>0</v>
      </c>
      <c r="N61" s="729">
        <f t="shared" si="8"/>
        <v>0</v>
      </c>
      <c r="O61" s="729">
        <f t="shared" ca="1" si="8"/>
        <v>0</v>
      </c>
      <c r="P61" s="729">
        <f t="shared" si="8"/>
        <v>0</v>
      </c>
      <c r="Q61" s="729">
        <f t="shared" si="8"/>
        <v>0</v>
      </c>
      <c r="R61" s="729">
        <f ca="1">R46+R52+R56</f>
        <v>419107.98503359297</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0.20016094735489687</v>
      </c>
      <c r="D63" s="772">
        <f t="shared" ca="1" si="9"/>
        <v>0.23764705882352946</v>
      </c>
      <c r="E63" s="998">
        <f t="shared" ca="1" si="9"/>
        <v>0.20200000000000001</v>
      </c>
      <c r="F63" s="772">
        <f t="shared" si="9"/>
        <v>0.22699999999999998</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664</v>
      </c>
      <c r="Q69" s="1127" t="s">
        <v>663</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662</v>
      </c>
      <c r="C71" s="984" t="s">
        <v>860</v>
      </c>
      <c r="D71" s="1001" t="s">
        <v>198</v>
      </c>
      <c r="E71" s="1002" t="s">
        <v>199</v>
      </c>
      <c r="F71" s="979" t="s">
        <v>200</v>
      </c>
      <c r="G71" s="976" t="s">
        <v>202</v>
      </c>
      <c r="H71" s="1003" t="s">
        <v>203</v>
      </c>
      <c r="I71" s="980"/>
      <c r="J71" s="980"/>
      <c r="K71" s="980"/>
      <c r="L71" s="980"/>
      <c r="M71" s="977"/>
      <c r="N71" s="980"/>
      <c r="O71" s="985"/>
      <c r="P71" s="1004"/>
      <c r="Q71" s="987" t="s">
        <v>665</v>
      </c>
      <c r="R71" s="985" t="s">
        <v>666</v>
      </c>
    </row>
    <row r="72" spans="1:18" ht="15.75" thickTop="1">
      <c r="A72" s="739" t="s">
        <v>248</v>
      </c>
      <c r="B72" s="835">
        <f>'lokale energieproductie'!B4</f>
        <v>15825.32915</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22393.095567563796</v>
      </c>
      <c r="C74" s="1151"/>
      <c r="D74" s="1151"/>
      <c r="E74" s="1133"/>
      <c r="F74" s="1133"/>
      <c r="G74" s="1145"/>
      <c r="H74" s="1148"/>
      <c r="I74" s="1151"/>
      <c r="J74" s="983"/>
      <c r="K74" s="1133"/>
      <c r="L74" s="1133"/>
      <c r="M74" s="1133"/>
      <c r="N74" s="1133"/>
      <c r="O74" s="1136"/>
      <c r="P74" s="844">
        <v>0</v>
      </c>
      <c r="Q74" s="850"/>
      <c r="R74" s="844">
        <v>0</v>
      </c>
    </row>
    <row r="75" spans="1:18" ht="15.75" thickBot="1">
      <c r="A75" s="740" t="s">
        <v>861</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2226.15</v>
      </c>
      <c r="D76" s="1008">
        <f>'lokale energieproductie'!C8</f>
        <v>2619.0000000000005</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529.03800000000012</v>
      </c>
      <c r="R76" s="844">
        <v>0</v>
      </c>
    </row>
    <row r="77" spans="1:18" ht="30.75" thickBot="1">
      <c r="A77" s="742" t="s">
        <v>352</v>
      </c>
      <c r="B77" s="739">
        <f>'lokale energieproductie'!B9*IFERROR(SUM(I77:O77)/SUM(D77:O77),0)</f>
        <v>1237.5</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3535.7142857142858</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39455.924717563794</v>
      </c>
      <c r="C78" s="744">
        <f>SUM(C72:C77)</f>
        <v>2226.15</v>
      </c>
      <c r="D78" s="745">
        <f t="shared" ref="D78:H78" si="10">SUM(D76:D77)</f>
        <v>2619.0000000000005</v>
      </c>
      <c r="E78" s="745">
        <f t="shared" si="10"/>
        <v>0</v>
      </c>
      <c r="F78" s="745">
        <f t="shared" si="10"/>
        <v>0</v>
      </c>
      <c r="G78" s="745">
        <f t="shared" si="10"/>
        <v>0</v>
      </c>
      <c r="H78" s="745">
        <f t="shared" si="10"/>
        <v>0</v>
      </c>
      <c r="I78" s="745">
        <f>SUM(I76:I77)</f>
        <v>0</v>
      </c>
      <c r="J78" s="745">
        <f>SUM(J76:J77)</f>
        <v>3535.7142857142858</v>
      </c>
      <c r="K78" s="745">
        <f t="shared" ref="K78:L78" si="11">SUM(K76:K77)</f>
        <v>0</v>
      </c>
      <c r="L78" s="745">
        <f t="shared" si="11"/>
        <v>0</v>
      </c>
      <c r="M78" s="745">
        <f>SUM(M76:M77)</f>
        <v>0</v>
      </c>
      <c r="N78" s="745">
        <f>SUM(N76:N77)</f>
        <v>0</v>
      </c>
      <c r="O78" s="852">
        <f>SUM(O76:O77)</f>
        <v>0</v>
      </c>
      <c r="P78" s="746">
        <v>0</v>
      </c>
      <c r="Q78" s="746">
        <f>SUM(Q76:Q77)</f>
        <v>529.03800000000012</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664</v>
      </c>
      <c r="Q84" s="1120" t="s">
        <v>663</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662</v>
      </c>
      <c r="C86" s="836" t="s">
        <v>860</v>
      </c>
      <c r="D86" s="987" t="s">
        <v>198</v>
      </c>
      <c r="E86" s="980" t="s">
        <v>199</v>
      </c>
      <c r="F86" s="978" t="s">
        <v>200</v>
      </c>
      <c r="G86" s="980" t="s">
        <v>202</v>
      </c>
      <c r="H86" s="753" t="s">
        <v>203</v>
      </c>
      <c r="I86" s="1162"/>
      <c r="J86" s="1163"/>
      <c r="K86" s="1113"/>
      <c r="L86" s="1113"/>
      <c r="M86" s="1166"/>
      <c r="N86" s="1113"/>
      <c r="O86" s="1168"/>
      <c r="P86" s="1004"/>
      <c r="Q86" s="987" t="s">
        <v>665</v>
      </c>
      <c r="R86" s="985" t="s">
        <v>666</v>
      </c>
    </row>
    <row r="87" spans="1:19" ht="15.75" thickTop="1">
      <c r="A87" s="754" t="s">
        <v>251</v>
      </c>
      <c r="B87" s="755">
        <f>'lokale energieproductie'!B17*IFERROR(SUM(I87:O87)/SUM(D87:O87),0)</f>
        <v>0</v>
      </c>
      <c r="C87" s="755">
        <f>'lokale energieproductie'!B17*IFERROR(SUM(D87:H87)/SUM(D87:O87),0)</f>
        <v>3180.2142857142858</v>
      </c>
      <c r="D87" s="766">
        <f>'lokale energieproductie'!C17</f>
        <v>3741.428571428572</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755.76857142857159</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3180.2142857142858</v>
      </c>
      <c r="D90" s="744">
        <f t="shared" ref="D90:H90" si="12">SUM(D87:D89)</f>
        <v>3741.428571428572</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755.76857142857159</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4"/>
  <sheetViews>
    <sheetView showGridLines="0" topLeftCell="A267" zoomScale="65" zoomScaleNormal="65" workbookViewId="0">
      <selection activeCell="M31" sqref="M31"/>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862</v>
      </c>
      <c r="N2" s="1256" t="s">
        <v>863</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15825.32915</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22393.095567563796</v>
      </c>
      <c r="C6" s="1259"/>
      <c r="D6" s="1262"/>
      <c r="E6" s="1262"/>
      <c r="F6" s="1265"/>
      <c r="G6" s="1268"/>
      <c r="H6" s="1271"/>
      <c r="I6" s="1262"/>
      <c r="J6" s="1262"/>
      <c r="K6" s="1262"/>
      <c r="L6" s="1262"/>
      <c r="M6" s="1262"/>
      <c r="N6" s="1013"/>
      <c r="O6" s="553"/>
      <c r="P6" s="1254"/>
      <c r="Q6" s="1255"/>
      <c r="S6" s="1027"/>
      <c r="T6" s="1275"/>
      <c r="U6" s="1275"/>
    </row>
    <row r="7" spans="1:21" s="544" customFormat="1">
      <c r="A7" s="552" t="s">
        <v>861</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N32</f>
        <v>2226.15</v>
      </c>
      <c r="C8" s="556">
        <f>B51</f>
        <v>2619.0000000000005</v>
      </c>
      <c r="D8" s="1015"/>
      <c r="E8" s="1015">
        <f>E51</f>
        <v>0</v>
      </c>
      <c r="F8" s="1016"/>
      <c r="G8" s="557"/>
      <c r="H8" s="1015">
        <f>I51</f>
        <v>0</v>
      </c>
      <c r="I8" s="1015">
        <f>G51+F51</f>
        <v>0</v>
      </c>
      <c r="J8" s="1015">
        <f>H51+D51+C51</f>
        <v>0</v>
      </c>
      <c r="K8" s="1015"/>
      <c r="L8" s="1015"/>
      <c r="M8" s="1015"/>
      <c r="N8" s="558"/>
      <c r="O8" s="559">
        <f>C8*$C$12+D8*$D$12+E8*$E$12+F8*$F$12+G8*$G$12+H8*$H$12+I8*$I$12+J8*$J$12</f>
        <v>529.03800000000012</v>
      </c>
      <c r="P8" s="1254"/>
      <c r="Q8" s="1255"/>
      <c r="S8" s="1027"/>
      <c r="T8" s="1275"/>
      <c r="U8" s="1275"/>
    </row>
    <row r="9" spans="1:21" s="544" customFormat="1" ht="17.45" customHeight="1" thickBot="1">
      <c r="A9" s="560" t="s">
        <v>247</v>
      </c>
      <c r="B9" s="561">
        <f>N39+'Eigen informatie GS &amp; warmtenet'!B12</f>
        <v>1237.5</v>
      </c>
      <c r="C9" s="562">
        <f>P39+IF(ISERROR(('Eigen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(T39+U39)+IF(ISERROR('Eigen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V39+Q39+R39+IF(ISERROR('Eigen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3535.7142857142858</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41682.074717563795</v>
      </c>
      <c r="C10" s="569">
        <f t="shared" ref="C10:L10" si="0">SUM(C8:C9)</f>
        <v>2619.0000000000005</v>
      </c>
      <c r="D10" s="569">
        <f t="shared" si="0"/>
        <v>0</v>
      </c>
      <c r="E10" s="569">
        <f t="shared" si="0"/>
        <v>0</v>
      </c>
      <c r="F10" s="569">
        <f t="shared" si="0"/>
        <v>0</v>
      </c>
      <c r="G10" s="569">
        <f t="shared" si="0"/>
        <v>0</v>
      </c>
      <c r="H10" s="569">
        <f t="shared" si="0"/>
        <v>0</v>
      </c>
      <c r="I10" s="569">
        <f t="shared" si="0"/>
        <v>0</v>
      </c>
      <c r="J10" s="569">
        <f t="shared" si="0"/>
        <v>3535.7142857142858</v>
      </c>
      <c r="K10" s="569">
        <f t="shared" si="0"/>
        <v>0</v>
      </c>
      <c r="L10" s="569">
        <f t="shared" si="0"/>
        <v>0</v>
      </c>
      <c r="M10" s="1018"/>
      <c r="N10" s="1018"/>
      <c r="O10" s="570">
        <f>SUM(O4:O9)</f>
        <v>529.03800000000012</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862</v>
      </c>
      <c r="N15" s="1256" t="s">
        <v>863</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O32</f>
        <v>3180.2142857142858</v>
      </c>
      <c r="C17" s="581">
        <f>B52</f>
        <v>3741.428571428572</v>
      </c>
      <c r="D17" s="582"/>
      <c r="E17" s="582">
        <f>E52</f>
        <v>0</v>
      </c>
      <c r="F17" s="1021"/>
      <c r="G17" s="583"/>
      <c r="H17" s="581">
        <f>I52</f>
        <v>0</v>
      </c>
      <c r="I17" s="582">
        <f>G52+F52</f>
        <v>0</v>
      </c>
      <c r="J17" s="582">
        <f>H52+D52+C52</f>
        <v>0</v>
      </c>
      <c r="K17" s="582"/>
      <c r="L17" s="582"/>
      <c r="M17" s="582"/>
      <c r="N17" s="1022"/>
      <c r="O17" s="584">
        <f>C17*$C$22+E17*$E$22+H17*$H$22+I17*$I$22+J17*$J$22+D17*$D$22+F17*$F$22+G17*$G$22+K17*$K$22+L17*$L$22</f>
        <v>755.76857142857159</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3180.2142857142858</v>
      </c>
      <c r="C20" s="568">
        <f>SUM(C17:C19)</f>
        <v>3741.428571428572</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755.76857142857159</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63.75">
      <c r="A28" s="592"/>
      <c r="B28" s="787">
        <v>71022</v>
      </c>
      <c r="C28" s="787">
        <v>3500</v>
      </c>
      <c r="D28" s="640" t="s">
        <v>920</v>
      </c>
      <c r="E28" s="639" t="s">
        <v>921</v>
      </c>
      <c r="F28" s="639" t="s">
        <v>922</v>
      </c>
      <c r="G28" s="639" t="s">
        <v>923</v>
      </c>
      <c r="H28" s="639" t="s">
        <v>924</v>
      </c>
      <c r="I28" s="639" t="s">
        <v>921</v>
      </c>
      <c r="J28" s="786">
        <v>39310</v>
      </c>
      <c r="K28" s="786">
        <v>39508</v>
      </c>
      <c r="L28" s="639" t="s">
        <v>925</v>
      </c>
      <c r="M28" s="639">
        <v>4.7</v>
      </c>
      <c r="N28" s="639">
        <v>21.150000000000002</v>
      </c>
      <c r="O28" s="639">
        <v>30.214285714285719</v>
      </c>
      <c r="P28" s="639">
        <v>60.428571428571438</v>
      </c>
      <c r="Q28" s="639">
        <v>0</v>
      </c>
      <c r="R28" s="639">
        <v>0</v>
      </c>
      <c r="S28" s="639">
        <v>0</v>
      </c>
      <c r="T28" s="639">
        <v>0</v>
      </c>
      <c r="U28" s="639">
        <v>0</v>
      </c>
      <c r="V28" s="639">
        <v>0</v>
      </c>
      <c r="W28" s="639">
        <v>0</v>
      </c>
      <c r="X28" s="639">
        <v>1600</v>
      </c>
      <c r="Y28" s="639" t="s">
        <v>49</v>
      </c>
      <c r="Z28" s="641" t="s">
        <v>155</v>
      </c>
    </row>
    <row r="29" spans="1:26" s="593" customFormat="1" ht="51">
      <c r="A29" s="592"/>
      <c r="B29" s="787">
        <v>71022</v>
      </c>
      <c r="C29" s="787">
        <v>3500</v>
      </c>
      <c r="D29" s="640" t="s">
        <v>926</v>
      </c>
      <c r="E29" s="639" t="s">
        <v>927</v>
      </c>
      <c r="F29" s="639" t="s">
        <v>928</v>
      </c>
      <c r="G29" s="639" t="s">
        <v>923</v>
      </c>
      <c r="H29" s="639" t="s">
        <v>924</v>
      </c>
      <c r="I29" s="639" t="s">
        <v>927</v>
      </c>
      <c r="J29" s="786">
        <v>39365</v>
      </c>
      <c r="K29" s="786">
        <v>39471</v>
      </c>
      <c r="L29" s="639" t="s">
        <v>925</v>
      </c>
      <c r="M29" s="639">
        <v>220</v>
      </c>
      <c r="N29" s="639">
        <v>990</v>
      </c>
      <c r="O29" s="639">
        <v>1414.2857142857142</v>
      </c>
      <c r="P29" s="639">
        <v>2828.5714285714289</v>
      </c>
      <c r="Q29" s="639">
        <v>0</v>
      </c>
      <c r="R29" s="639">
        <v>0</v>
      </c>
      <c r="S29" s="639">
        <v>0</v>
      </c>
      <c r="T29" s="639">
        <v>0</v>
      </c>
      <c r="U29" s="639">
        <v>0</v>
      </c>
      <c r="V29" s="639">
        <v>0</v>
      </c>
      <c r="W29" s="639">
        <v>0</v>
      </c>
      <c r="X29" s="639">
        <v>1500</v>
      </c>
      <c r="Y29" s="639" t="s">
        <v>50</v>
      </c>
      <c r="Z29" s="641" t="s">
        <v>155</v>
      </c>
    </row>
    <row r="30" spans="1:26" s="593" customFormat="1" ht="38.25">
      <c r="A30" s="592"/>
      <c r="B30" s="787">
        <v>71022</v>
      </c>
      <c r="C30" s="787">
        <v>3511</v>
      </c>
      <c r="D30" s="640" t="s">
        <v>929</v>
      </c>
      <c r="E30" s="639" t="s">
        <v>930</v>
      </c>
      <c r="F30" s="639" t="s">
        <v>931</v>
      </c>
      <c r="G30" s="639" t="s">
        <v>923</v>
      </c>
      <c r="H30" s="639" t="s">
        <v>924</v>
      </c>
      <c r="I30" s="639" t="s">
        <v>930</v>
      </c>
      <c r="J30" s="786">
        <v>40424</v>
      </c>
      <c r="K30" s="786">
        <v>40725</v>
      </c>
      <c r="L30" s="639" t="s">
        <v>925</v>
      </c>
      <c r="M30" s="639">
        <v>50</v>
      </c>
      <c r="N30" s="639">
        <v>225</v>
      </c>
      <c r="O30" s="639">
        <v>321.42857142857144</v>
      </c>
      <c r="P30" s="639">
        <v>642.85714285714289</v>
      </c>
      <c r="Q30" s="639">
        <v>0</v>
      </c>
      <c r="R30" s="639">
        <v>0</v>
      </c>
      <c r="S30" s="639">
        <v>0</v>
      </c>
      <c r="T30" s="639">
        <v>0</v>
      </c>
      <c r="U30" s="639">
        <v>0</v>
      </c>
      <c r="V30" s="639">
        <v>0</v>
      </c>
      <c r="W30" s="639">
        <v>0</v>
      </c>
      <c r="X30" s="639">
        <v>800</v>
      </c>
      <c r="Y30" s="639" t="s">
        <v>35</v>
      </c>
      <c r="Z30" s="641" t="s">
        <v>389</v>
      </c>
    </row>
    <row r="31" spans="1:26" s="593" customFormat="1" ht="51">
      <c r="A31" s="592"/>
      <c r="B31" s="787">
        <v>71022</v>
      </c>
      <c r="C31" s="787">
        <v>3500</v>
      </c>
      <c r="D31" s="640" t="s">
        <v>932</v>
      </c>
      <c r="E31" s="639" t="s">
        <v>933</v>
      </c>
      <c r="F31" s="639" t="s">
        <v>934</v>
      </c>
      <c r="G31" s="639" t="s">
        <v>923</v>
      </c>
      <c r="H31" s="639" t="s">
        <v>924</v>
      </c>
      <c r="I31" s="639" t="s">
        <v>933</v>
      </c>
      <c r="J31" s="786">
        <v>40904</v>
      </c>
      <c r="K31" s="786">
        <v>40904</v>
      </c>
      <c r="L31" s="639" t="s">
        <v>925</v>
      </c>
      <c r="M31" s="639">
        <v>220</v>
      </c>
      <c r="N31" s="639">
        <v>990</v>
      </c>
      <c r="O31" s="639">
        <v>1414.2857142857142</v>
      </c>
      <c r="P31" s="639">
        <v>2828.5714285714289</v>
      </c>
      <c r="Q31" s="639">
        <v>0</v>
      </c>
      <c r="R31" s="639">
        <v>0</v>
      </c>
      <c r="S31" s="639">
        <v>0</v>
      </c>
      <c r="T31" s="639">
        <v>0</v>
      </c>
      <c r="U31" s="639">
        <v>0</v>
      </c>
      <c r="V31" s="639">
        <v>0</v>
      </c>
      <c r="W31" s="639">
        <v>0</v>
      </c>
      <c r="X31" s="639">
        <v>1500</v>
      </c>
      <c r="Y31" s="639" t="s">
        <v>50</v>
      </c>
      <c r="Z31" s="641" t="s">
        <v>155</v>
      </c>
    </row>
    <row r="32" spans="1:26" s="576" customFormat="1">
      <c r="A32" s="595" t="s">
        <v>279</v>
      </c>
      <c r="B32" s="596"/>
      <c r="C32" s="596"/>
      <c r="D32" s="596"/>
      <c r="E32" s="596"/>
      <c r="F32" s="596"/>
      <c r="G32" s="596"/>
      <c r="H32" s="596"/>
      <c r="I32" s="596"/>
      <c r="J32" s="596"/>
      <c r="K32" s="596"/>
      <c r="L32" s="597"/>
      <c r="M32" s="597">
        <f>SUM(M28:M31)</f>
        <v>494.7</v>
      </c>
      <c r="N32" s="597">
        <f>SUM(N28:N31)</f>
        <v>2226.15</v>
      </c>
      <c r="O32" s="597">
        <f>SUM(O28:O31)</f>
        <v>3180.2142857142858</v>
      </c>
      <c r="P32" s="597">
        <f>SUM(P28:P31)</f>
        <v>6360.4285714285725</v>
      </c>
      <c r="Q32" s="597">
        <f>SUM(Q28:Q31)</f>
        <v>0</v>
      </c>
      <c r="R32" s="597">
        <f>SUM(R28:R31)</f>
        <v>0</v>
      </c>
      <c r="S32" s="597">
        <f>SUM(S28:S31)</f>
        <v>0</v>
      </c>
      <c r="T32" s="597">
        <f>SUM(T28:T31)</f>
        <v>0</v>
      </c>
      <c r="U32" s="597">
        <f>SUM(U28:U31)</f>
        <v>0</v>
      </c>
      <c r="V32" s="597">
        <f>SUM(V28:V31)</f>
        <v>0</v>
      </c>
      <c r="W32" s="597">
        <f>SUM(W28:W31)</f>
        <v>0</v>
      </c>
      <c r="X32" s="598"/>
      <c r="Y32" s="598"/>
      <c r="Z32" s="599"/>
    </row>
    <row r="33" spans="1:27" s="576" customFormat="1">
      <c r="A33" s="595" t="s">
        <v>286</v>
      </c>
      <c r="B33" s="596"/>
      <c r="C33" s="596"/>
      <c r="D33" s="596"/>
      <c r="E33" s="596"/>
      <c r="F33" s="596"/>
      <c r="G33" s="596"/>
      <c r="H33" s="596"/>
      <c r="I33" s="596"/>
      <c r="J33" s="596"/>
      <c r="K33" s="596"/>
      <c r="L33" s="597"/>
      <c r="M33" s="597">
        <f>SUMIF($Z$28:$Z$31,"industrie",M28:M31)</f>
        <v>50</v>
      </c>
      <c r="N33" s="597">
        <f>SUMIF($Z$28:$Z$31,"industrie",N28:N31)</f>
        <v>225</v>
      </c>
      <c r="O33" s="597">
        <f>SUMIF($Z$28:$Z$31,"industrie",O28:O31)</f>
        <v>321.42857142857144</v>
      </c>
      <c r="P33" s="597">
        <f>SUMIF($Z$28:$Z$31,"industrie",P28:P31)</f>
        <v>642.85714285714289</v>
      </c>
      <c r="Q33" s="597">
        <f>SUMIF($Z$28:$Z$31,"industrie",Q28:Q31)</f>
        <v>0</v>
      </c>
      <c r="R33" s="597">
        <f>SUMIF($Z$28:$Z$31,"industrie",R28:R31)</f>
        <v>0</v>
      </c>
      <c r="S33" s="597">
        <f>SUMIF($Z$28:$Z$31,"industrie",S28:S31)</f>
        <v>0</v>
      </c>
      <c r="T33" s="597">
        <f>SUMIF($Z$28:$Z$31,"industrie",T28:T31)</f>
        <v>0</v>
      </c>
      <c r="U33" s="597">
        <f>SUMIF($Z$28:$Z$31,"industrie",U28:U31)</f>
        <v>0</v>
      </c>
      <c r="V33" s="597">
        <f>SUMIF($Z$28:$Z$31,"industrie",V28:V31)</f>
        <v>0</v>
      </c>
      <c r="W33" s="597">
        <f>SUMIF($Z$28:$Z$31,"industrie",W28:W31)</f>
        <v>0</v>
      </c>
      <c r="X33" s="598"/>
      <c r="Y33" s="598"/>
      <c r="Z33" s="599"/>
    </row>
    <row r="34" spans="1:27" s="576" customFormat="1">
      <c r="A34" s="595" t="s">
        <v>287</v>
      </c>
      <c r="B34" s="596"/>
      <c r="C34" s="596"/>
      <c r="D34" s="596"/>
      <c r="E34" s="596"/>
      <c r="F34" s="596"/>
      <c r="G34" s="596"/>
      <c r="H34" s="596"/>
      <c r="I34" s="596"/>
      <c r="J34" s="596"/>
      <c r="K34" s="596"/>
      <c r="L34" s="597"/>
      <c r="M34" s="597">
        <f ca="1">SUMIF($Z$28:AC31,"tertiair",M28:M31)</f>
        <v>444.7</v>
      </c>
      <c r="N34" s="597">
        <f ca="1">SUMIF($Z$28:AD31,"tertiair",N28:N31)</f>
        <v>2001.15</v>
      </c>
      <c r="O34" s="597">
        <f ca="1">SUMIF($Z$28:AE31,"tertiair",O28:O31)</f>
        <v>2858.7857142857142</v>
      </c>
      <c r="P34" s="597">
        <f ca="1">SUMIF($Z$28:AF31,"tertiair",P28:P31)</f>
        <v>5717.5714285714294</v>
      </c>
      <c r="Q34" s="597">
        <f ca="1">SUMIF($Z$28:AG31,"tertiair",Q28:Q31)</f>
        <v>0</v>
      </c>
      <c r="R34" s="597">
        <f ca="1">SUMIF($Z$28:AH31,"tertiair",R28:R31)</f>
        <v>0</v>
      </c>
      <c r="S34" s="597">
        <f ca="1">SUMIF($Z$28:AI31,"tertiair",S28:S31)</f>
        <v>0</v>
      </c>
      <c r="T34" s="597">
        <f ca="1">SUMIF($Z$28:AJ31,"tertiair",T28:T31)</f>
        <v>0</v>
      </c>
      <c r="U34" s="597">
        <f ca="1">SUMIF($Z$28:AK31,"tertiair",U28:U31)</f>
        <v>0</v>
      </c>
      <c r="V34" s="597">
        <f ca="1">SUMIF($Z$28:AL31,"tertiair",V28:V31)</f>
        <v>0</v>
      </c>
      <c r="W34" s="597">
        <f ca="1">SUMIF($Z$28:AM31,"tertiair",W28:W31)</f>
        <v>0</v>
      </c>
      <c r="X34" s="598"/>
      <c r="Y34" s="598"/>
      <c r="Z34" s="599"/>
    </row>
    <row r="35" spans="1:27" s="576" customFormat="1" ht="15.75" thickBot="1">
      <c r="A35" s="600" t="s">
        <v>288</v>
      </c>
      <c r="B35" s="601"/>
      <c r="C35" s="601"/>
      <c r="D35" s="601"/>
      <c r="E35" s="601"/>
      <c r="F35" s="601"/>
      <c r="G35" s="601"/>
      <c r="H35" s="601"/>
      <c r="I35" s="601"/>
      <c r="J35" s="601"/>
      <c r="K35" s="601"/>
      <c r="L35" s="602"/>
      <c r="M35" s="602">
        <f>SUMIF($Z$28:$Z$31,"landbouw",M28:M31)</f>
        <v>0</v>
      </c>
      <c r="N35" s="602">
        <f>SUMIF($Z$28:$Z$31,"landbouw",N28:N31)</f>
        <v>0</v>
      </c>
      <c r="O35" s="602">
        <f>SUMIF($Z$28:$Z$31,"landbouw",O28:O31)</f>
        <v>0</v>
      </c>
      <c r="P35" s="602">
        <f>SUMIF($Z$28:$Z$31,"landbouw",P28:P31)</f>
        <v>0</v>
      </c>
      <c r="Q35" s="602">
        <f>SUMIF($Z$28:$Z$31,"landbouw",Q28:Q31)</f>
        <v>0</v>
      </c>
      <c r="R35" s="602">
        <f>SUMIF($Z$28:$Z$31,"landbouw",R28:R31)</f>
        <v>0</v>
      </c>
      <c r="S35" s="602">
        <f>SUMIF($Z$28:$Z$31,"landbouw",S28:S31)</f>
        <v>0</v>
      </c>
      <c r="T35" s="602">
        <f>SUMIF($Z$28:$Z$31,"landbouw",T28:T31)</f>
        <v>0</v>
      </c>
      <c r="U35" s="602">
        <f>SUMIF($Z$28:$Z$31,"landbouw",U28:U31)</f>
        <v>0</v>
      </c>
      <c r="V35" s="602">
        <f>SUMIF($Z$28:$Z$31,"landbouw",V28:V31)</f>
        <v>0</v>
      </c>
      <c r="W35" s="602">
        <f>SUMIF($Z$28:$Z$31,"landbouw",W28:W31)</f>
        <v>0</v>
      </c>
      <c r="X35" s="603"/>
      <c r="Y35" s="603"/>
      <c r="Z35" s="604"/>
    </row>
    <row r="36" spans="1:27" s="544" customFormat="1" ht="15.75" thickBot="1">
      <c r="A36" s="605"/>
      <c r="B36" s="606"/>
      <c r="C36" s="606"/>
      <c r="D36" s="606"/>
      <c r="E36" s="606"/>
      <c r="F36" s="606"/>
      <c r="G36" s="606"/>
      <c r="H36" s="606"/>
      <c r="I36" s="606"/>
      <c r="J36" s="606"/>
      <c r="K36" s="606"/>
      <c r="L36" s="589"/>
      <c r="M36" s="589"/>
      <c r="N36" s="589"/>
      <c r="O36" s="590"/>
      <c r="P36" s="590"/>
    </row>
    <row r="37" spans="1:27" s="544" customFormat="1" ht="45">
      <c r="A37" s="607" t="s">
        <v>280</v>
      </c>
      <c r="B37" s="636" t="s">
        <v>89</v>
      </c>
      <c r="C37" s="636" t="s">
        <v>90</v>
      </c>
      <c r="D37" s="636" t="s">
        <v>91</v>
      </c>
      <c r="E37" s="636" t="s">
        <v>92</v>
      </c>
      <c r="F37" s="636" t="s">
        <v>93</v>
      </c>
      <c r="G37" s="636" t="s">
        <v>94</v>
      </c>
      <c r="H37" s="636" t="s">
        <v>95</v>
      </c>
      <c r="I37" s="636" t="s">
        <v>96</v>
      </c>
      <c r="J37" s="636" t="s">
        <v>97</v>
      </c>
      <c r="K37" s="636" t="s">
        <v>98</v>
      </c>
      <c r="L37" s="636" t="s">
        <v>99</v>
      </c>
      <c r="M37" s="637" t="s">
        <v>297</v>
      </c>
      <c r="N37" s="637" t="s">
        <v>100</v>
      </c>
      <c r="O37" s="637" t="s">
        <v>101</v>
      </c>
      <c r="P37" s="637" t="s">
        <v>546</v>
      </c>
      <c r="Q37" s="637" t="s">
        <v>102</v>
      </c>
      <c r="R37" s="637" t="s">
        <v>103</v>
      </c>
      <c r="S37" s="637" t="s">
        <v>104</v>
      </c>
      <c r="T37" s="637" t="s">
        <v>105</v>
      </c>
      <c r="U37" s="637" t="s">
        <v>106</v>
      </c>
      <c r="V37" s="637" t="s">
        <v>107</v>
      </c>
      <c r="W37" s="636" t="s">
        <v>108</v>
      </c>
      <c r="X37" s="636" t="s">
        <v>298</v>
      </c>
      <c r="Y37" s="636" t="s">
        <v>109</v>
      </c>
      <c r="Z37" s="638" t="s">
        <v>299</v>
      </c>
    </row>
    <row r="38" spans="1:27" s="608" customFormat="1" ht="63.75">
      <c r="A38" s="594"/>
      <c r="B38" s="787">
        <v>71022</v>
      </c>
      <c r="C38" s="787">
        <v>3511</v>
      </c>
      <c r="D38" s="642" t="s">
        <v>935</v>
      </c>
      <c r="E38" s="642" t="s">
        <v>936</v>
      </c>
      <c r="F38" s="642" t="s">
        <v>937</v>
      </c>
      <c r="G38" s="642" t="s">
        <v>938</v>
      </c>
      <c r="H38" s="642" t="s">
        <v>939</v>
      </c>
      <c r="I38" s="642" t="s">
        <v>940</v>
      </c>
      <c r="J38" s="786">
        <v>32143</v>
      </c>
      <c r="K38" s="786">
        <v>37316</v>
      </c>
      <c r="L38" s="642" t="s">
        <v>925</v>
      </c>
      <c r="M38" s="642">
        <v>275</v>
      </c>
      <c r="N38" s="642">
        <v>1237.5</v>
      </c>
      <c r="O38" s="642">
        <v>0</v>
      </c>
      <c r="P38" s="642">
        <v>0</v>
      </c>
      <c r="Q38" s="642">
        <v>3535.7142857142858</v>
      </c>
      <c r="R38" s="642">
        <v>0</v>
      </c>
      <c r="S38" s="642">
        <v>0</v>
      </c>
      <c r="T38" s="642">
        <v>0</v>
      </c>
      <c r="U38" s="642">
        <v>0</v>
      </c>
      <c r="V38" s="642">
        <v>0</v>
      </c>
      <c r="W38" s="642">
        <v>0</v>
      </c>
      <c r="X38" s="642">
        <v>1600</v>
      </c>
      <c r="Y38" s="642" t="s">
        <v>49</v>
      </c>
      <c r="Z38" s="643" t="s">
        <v>155</v>
      </c>
    </row>
    <row r="39" spans="1:27" s="576" customFormat="1">
      <c r="A39" s="595" t="s">
        <v>279</v>
      </c>
      <c r="B39" s="596"/>
      <c r="C39" s="596"/>
      <c r="D39" s="596"/>
      <c r="E39" s="596"/>
      <c r="F39" s="596"/>
      <c r="G39" s="596"/>
      <c r="H39" s="596"/>
      <c r="I39" s="596"/>
      <c r="J39" s="596"/>
      <c r="K39" s="596"/>
      <c r="L39" s="597"/>
      <c r="M39" s="597">
        <f>SUM(M38:M38)</f>
        <v>275</v>
      </c>
      <c r="N39" s="597">
        <f>SUM(N38:N38)</f>
        <v>1237.5</v>
      </c>
      <c r="O39" s="597">
        <f>SUM(O38:O38)</f>
        <v>0</v>
      </c>
      <c r="P39" s="597">
        <f>SUM(P38:P38)</f>
        <v>0</v>
      </c>
      <c r="Q39" s="597">
        <f>SUM(Q38:Q38)</f>
        <v>3535.7142857142858</v>
      </c>
      <c r="R39" s="597">
        <f>SUM(R38:R38)</f>
        <v>0</v>
      </c>
      <c r="S39" s="597">
        <f>SUM(S38:S38)</f>
        <v>0</v>
      </c>
      <c r="T39" s="597">
        <f>SUM(T38:T38)</f>
        <v>0</v>
      </c>
      <c r="U39" s="597">
        <f>SUM(U38:U38)</f>
        <v>0</v>
      </c>
      <c r="V39" s="597">
        <f>SUM(V38:V38)</f>
        <v>0</v>
      </c>
      <c r="W39" s="597">
        <f>SUM(W38:W38)</f>
        <v>0</v>
      </c>
      <c r="X39" s="598"/>
      <c r="Y39" s="598"/>
      <c r="Z39" s="599"/>
    </row>
    <row r="40" spans="1:27" s="576" customFormat="1">
      <c r="A40" s="595" t="s">
        <v>286</v>
      </c>
      <c r="B40" s="596"/>
      <c r="C40" s="596"/>
      <c r="D40" s="596"/>
      <c r="E40" s="596"/>
      <c r="F40" s="596"/>
      <c r="G40" s="596"/>
      <c r="H40" s="596"/>
      <c r="I40" s="596"/>
      <c r="J40" s="596"/>
      <c r="K40" s="596"/>
      <c r="L40" s="597"/>
      <c r="M40" s="597">
        <f>SUMIF($Z$38:$Z$38,"industrie",M38:M38)</f>
        <v>0</v>
      </c>
      <c r="N40" s="597">
        <f>SUMIF($Z$38:$Z$38,"industrie",N38:N38)</f>
        <v>0</v>
      </c>
      <c r="O40" s="597">
        <f>SUMIF($Z$38:$Z$38,"industrie",O38:O38)</f>
        <v>0</v>
      </c>
      <c r="P40" s="597">
        <f>SUMIF($Z$38:$Z$38,"industrie",P38:P38)</f>
        <v>0</v>
      </c>
      <c r="Q40" s="597">
        <f>SUMIF($Z$38:$Z$38,"industrie",Q38:Q38)</f>
        <v>0</v>
      </c>
      <c r="R40" s="597">
        <f>SUMIF($Z$38:$Z$38,"industrie",R38:R38)</f>
        <v>0</v>
      </c>
      <c r="S40" s="597">
        <f>SUMIF($Z$38:$Z$38,"industrie",S38:S38)</f>
        <v>0</v>
      </c>
      <c r="T40" s="597">
        <f>SUMIF($Z$38:$Z$38,"industrie",T38:T38)</f>
        <v>0</v>
      </c>
      <c r="U40" s="597">
        <f>SUMIF($Z$38:$Z$38,"industrie",U38:U38)</f>
        <v>0</v>
      </c>
      <c r="V40" s="597">
        <f>SUMIF($Z$38:$Z$38,"industrie",V38:V38)</f>
        <v>0</v>
      </c>
      <c r="W40" s="597">
        <f>SUMIF($Z$38:$Z$38,"industrie",W38:W38)</f>
        <v>0</v>
      </c>
      <c r="X40" s="598"/>
      <c r="Y40" s="598"/>
      <c r="Z40" s="599"/>
    </row>
    <row r="41" spans="1:27" s="576" customFormat="1">
      <c r="A41" s="595" t="s">
        <v>287</v>
      </c>
      <c r="B41" s="596"/>
      <c r="C41" s="596"/>
      <c r="D41" s="596"/>
      <c r="E41" s="596"/>
      <c r="F41" s="596"/>
      <c r="G41" s="596"/>
      <c r="H41" s="596"/>
      <c r="I41" s="596"/>
      <c r="J41" s="596"/>
      <c r="K41" s="596"/>
      <c r="L41" s="597"/>
      <c r="M41" s="597">
        <f>SUMIF($Z$38:$Z$39,"tertiair",M38:M39)</f>
        <v>275</v>
      </c>
      <c r="N41" s="597">
        <f>SUMIF($Z$38:$Z$39,"tertiair",N38:N39)</f>
        <v>1237.5</v>
      </c>
      <c r="O41" s="597">
        <f>SUMIF($Z$38:$Z$39,"tertiair",O38:O39)</f>
        <v>0</v>
      </c>
      <c r="P41" s="597">
        <f>SUMIF($Z$38:$Z$39,"tertiair",P38:P39)</f>
        <v>0</v>
      </c>
      <c r="Q41" s="597">
        <f>SUMIF($Z$38:$Z$39,"tertiair",Q38:Q39)</f>
        <v>3535.7142857142858</v>
      </c>
      <c r="R41" s="597">
        <f>SUMIF($Z$38:$Z$39,"tertiair",R38:R39)</f>
        <v>0</v>
      </c>
      <c r="S41" s="597">
        <f>SUMIF($Z$38:$Z$39,"tertiair",S38:S39)</f>
        <v>0</v>
      </c>
      <c r="T41" s="597">
        <f>SUMIF($Z$38:$Z$39,"tertiair",T38:T39)</f>
        <v>0</v>
      </c>
      <c r="U41" s="597">
        <f>SUMIF($Z$38:$Z$39,"tertiair",U38:U39)</f>
        <v>0</v>
      </c>
      <c r="V41" s="597">
        <f>SUMIF($Z$38:$Z$39,"tertiair",V38:V39)</f>
        <v>0</v>
      </c>
      <c r="W41" s="597">
        <f>SUMIF($Z$38:$Z$39,"tertiair",W38:W39)</f>
        <v>0</v>
      </c>
      <c r="X41" s="598"/>
      <c r="Y41" s="598"/>
      <c r="Z41" s="599"/>
    </row>
    <row r="42" spans="1:27" s="576" customFormat="1" ht="15.75" thickBot="1">
      <c r="A42" s="600" t="s">
        <v>288</v>
      </c>
      <c r="B42" s="601"/>
      <c r="C42" s="601"/>
      <c r="D42" s="601"/>
      <c r="E42" s="601"/>
      <c r="F42" s="601"/>
      <c r="G42" s="601"/>
      <c r="H42" s="601"/>
      <c r="I42" s="601"/>
      <c r="J42" s="601"/>
      <c r="K42" s="601"/>
      <c r="L42" s="602"/>
      <c r="M42" s="602">
        <f>SUMIF($Z$38:$Z$40,"landbouw",M38:M40)</f>
        <v>0</v>
      </c>
      <c r="N42" s="602">
        <f>SUMIF($Z$38:$Z$40,"landbouw",N38:N40)</f>
        <v>0</v>
      </c>
      <c r="O42" s="602">
        <f>SUMIF($Z$38:$Z$40,"landbouw",O38:O40)</f>
        <v>0</v>
      </c>
      <c r="P42" s="602">
        <f>SUMIF($Z$38:$Z$40,"landbouw",P38:P40)</f>
        <v>0</v>
      </c>
      <c r="Q42" s="602">
        <f>SUMIF($Z$38:$Z$40,"landbouw",Q38:Q40)</f>
        <v>0</v>
      </c>
      <c r="R42" s="602">
        <f>SUMIF($Z$38:$Z$40,"landbouw",R38:R40)</f>
        <v>0</v>
      </c>
      <c r="S42" s="602">
        <f>SUMIF($Z$38:$Z$40,"landbouw",S38:S40)</f>
        <v>0</v>
      </c>
      <c r="T42" s="602">
        <f>SUMIF($Z$38:$Z$40,"landbouw",T38:T40)</f>
        <v>0</v>
      </c>
      <c r="U42" s="602">
        <f>SUMIF($Z$38:$Z$40,"landbouw",U38:U40)</f>
        <v>0</v>
      </c>
      <c r="V42" s="602">
        <f>SUMIF($Z$38:$Z$40,"landbouw",V38:V40)</f>
        <v>0</v>
      </c>
      <c r="W42" s="602">
        <f>SUMIF($Z$38:$Z$40,"landbouw",W38:W40)</f>
        <v>0</v>
      </c>
      <c r="X42" s="603"/>
      <c r="Y42" s="603"/>
      <c r="Z42" s="604"/>
    </row>
    <row r="43" spans="1:27" s="609" customFormat="1">
      <c r="A43" s="605"/>
      <c r="B43" s="589"/>
      <c r="C43" s="589"/>
      <c r="D43" s="589"/>
      <c r="E43" s="589"/>
      <c r="F43" s="589"/>
      <c r="G43" s="589"/>
      <c r="H43" s="589"/>
      <c r="I43" s="589"/>
      <c r="J43" s="589"/>
      <c r="K43" s="589"/>
      <c r="L43" s="589"/>
      <c r="M43" s="589"/>
      <c r="N43" s="589"/>
      <c r="O43" s="589"/>
      <c r="P43" s="589"/>
      <c r="Q43" s="589"/>
      <c r="R43" s="589"/>
      <c r="S43" s="589"/>
      <c r="T43" s="589"/>
      <c r="U43" s="589"/>
      <c r="V43" s="589"/>
      <c r="W43" s="589"/>
      <c r="X43" s="589"/>
      <c r="Y43" s="589"/>
    </row>
    <row r="44" spans="1:27" s="609" customFormat="1" ht="15.75" thickBot="1">
      <c r="A44" s="605"/>
      <c r="B44" s="589"/>
      <c r="C44" s="589"/>
      <c r="D44" s="589"/>
      <c r="E44" s="589"/>
      <c r="F44" s="589"/>
      <c r="G44" s="589"/>
      <c r="H44" s="589"/>
      <c r="I44" s="589"/>
      <c r="J44" s="589"/>
      <c r="K44" s="589"/>
      <c r="L44" s="589"/>
      <c r="M44" s="589"/>
      <c r="N44" s="589"/>
      <c r="O44" s="589"/>
      <c r="P44" s="589"/>
      <c r="Q44" s="589"/>
      <c r="R44" s="589"/>
      <c r="S44" s="589"/>
      <c r="T44" s="589"/>
      <c r="U44" s="589"/>
      <c r="V44" s="589"/>
      <c r="W44" s="589"/>
      <c r="X44" s="589"/>
      <c r="Y44" s="589"/>
      <c r="Z44" s="589"/>
      <c r="AA44" s="589"/>
    </row>
    <row r="45" spans="1:27">
      <c r="A45" s="610" t="s">
        <v>281</v>
      </c>
      <c r="B45" s="611"/>
      <c r="C45" s="611"/>
      <c r="D45" s="611"/>
      <c r="E45" s="611"/>
      <c r="F45" s="611"/>
      <c r="G45" s="611"/>
      <c r="H45" s="611"/>
      <c r="I45" s="612"/>
      <c r="J45" s="613"/>
      <c r="K45" s="613"/>
      <c r="L45" s="614"/>
      <c r="M45" s="614"/>
      <c r="N45" s="614"/>
      <c r="O45" s="614"/>
      <c r="P45" s="614"/>
    </row>
    <row r="46" spans="1:27">
      <c r="A46" s="616"/>
      <c r="B46" s="606"/>
      <c r="C46" s="606"/>
      <c r="D46" s="606"/>
      <c r="E46" s="606"/>
      <c r="F46" s="606"/>
      <c r="G46" s="606"/>
      <c r="H46" s="606"/>
      <c r="I46" s="617"/>
      <c r="J46" s="606"/>
      <c r="K46" s="606"/>
      <c r="L46" s="614"/>
      <c r="M46" s="614"/>
      <c r="N46" s="614"/>
      <c r="O46" s="614"/>
      <c r="P46" s="614"/>
    </row>
    <row r="47" spans="1:27">
      <c r="A47" s="618"/>
      <c r="B47" s="619" t="s">
        <v>282</v>
      </c>
      <c r="C47" s="619" t="s">
        <v>283</v>
      </c>
      <c r="D47" s="619"/>
      <c r="E47" s="619"/>
      <c r="F47" s="619"/>
      <c r="G47" s="619"/>
      <c r="H47" s="619"/>
      <c r="I47" s="620"/>
      <c r="J47" s="619"/>
      <c r="K47" s="619"/>
      <c r="L47" s="619"/>
      <c r="M47" s="619"/>
      <c r="N47" s="619"/>
      <c r="O47" s="619"/>
      <c r="P47" s="614"/>
    </row>
    <row r="48" spans="1:27">
      <c r="A48" s="616" t="s">
        <v>279</v>
      </c>
      <c r="B48" s="621">
        <f>IF(ISERROR(O32/(O32+N32)),0,O32/(O32+N32))</f>
        <v>0.58823529411764708</v>
      </c>
      <c r="C48" s="622">
        <f>IF(ISERROR(N32/(O32+N32)),0,N32/(N32+O32))</f>
        <v>0.41176470588235292</v>
      </c>
      <c r="D48" s="589"/>
      <c r="E48" s="589"/>
      <c r="F48" s="589"/>
      <c r="G48" s="589"/>
      <c r="H48" s="589"/>
      <c r="I48" s="623"/>
      <c r="J48" s="589"/>
      <c r="K48" s="589"/>
      <c r="L48" s="624"/>
      <c r="M48" s="624"/>
      <c r="N48" s="624"/>
      <c r="O48" s="624"/>
      <c r="P48" s="614"/>
    </row>
    <row r="49" spans="1:16">
      <c r="A49" s="616"/>
      <c r="B49" s="625"/>
      <c r="C49" s="625"/>
      <c r="D49" s="625"/>
      <c r="E49" s="625"/>
      <c r="F49" s="625"/>
      <c r="G49" s="625"/>
      <c r="H49" s="625"/>
      <c r="I49" s="626"/>
      <c r="J49" s="625"/>
      <c r="K49" s="625"/>
      <c r="L49" s="627"/>
      <c r="M49" s="627"/>
      <c r="N49" s="627"/>
      <c r="O49" s="627"/>
      <c r="P49" s="614"/>
    </row>
    <row r="50" spans="1:16" ht="30">
      <c r="A50" s="628"/>
      <c r="B50" s="629" t="s">
        <v>546</v>
      </c>
      <c r="C50" s="629" t="s">
        <v>102</v>
      </c>
      <c r="D50" s="629" t="s">
        <v>103</v>
      </c>
      <c r="E50" s="629" t="s">
        <v>104</v>
      </c>
      <c r="F50" s="629" t="s">
        <v>105</v>
      </c>
      <c r="G50" s="629" t="s">
        <v>106</v>
      </c>
      <c r="H50" s="629" t="s">
        <v>107</v>
      </c>
      <c r="I50" s="630" t="s">
        <v>108</v>
      </c>
      <c r="J50" s="619"/>
      <c r="K50" s="619"/>
      <c r="L50" s="627"/>
      <c r="M50" s="627"/>
      <c r="N50" s="627"/>
      <c r="O50" s="614"/>
      <c r="P50" s="614"/>
    </row>
    <row r="51" spans="1:16">
      <c r="A51" s="618" t="s">
        <v>284</v>
      </c>
      <c r="B51" s="631">
        <f t="shared" ref="B51:I51" si="2">$C$48*P32</f>
        <v>2619.0000000000005</v>
      </c>
      <c r="C51" s="631">
        <f t="shared" si="2"/>
        <v>0</v>
      </c>
      <c r="D51" s="631">
        <f t="shared" si="2"/>
        <v>0</v>
      </c>
      <c r="E51" s="631">
        <f t="shared" si="2"/>
        <v>0</v>
      </c>
      <c r="F51" s="631">
        <f t="shared" si="2"/>
        <v>0</v>
      </c>
      <c r="G51" s="631">
        <f t="shared" si="2"/>
        <v>0</v>
      </c>
      <c r="H51" s="631">
        <f t="shared" si="2"/>
        <v>0</v>
      </c>
      <c r="I51" s="632">
        <f t="shared" si="2"/>
        <v>0</v>
      </c>
      <c r="J51" s="589"/>
      <c r="K51" s="589"/>
      <c r="L51" s="627"/>
      <c r="M51" s="627"/>
      <c r="N51" s="627"/>
      <c r="O51" s="614"/>
      <c r="P51" s="614"/>
    </row>
    <row r="52" spans="1:16" ht="15.75" thickBot="1">
      <c r="A52" s="633" t="s">
        <v>285</v>
      </c>
      <c r="B52" s="634">
        <f t="shared" ref="B52:I52" si="3">$B$48*P32</f>
        <v>3741.428571428572</v>
      </c>
      <c r="C52" s="634">
        <f t="shared" si="3"/>
        <v>0</v>
      </c>
      <c r="D52" s="634">
        <f t="shared" si="3"/>
        <v>0</v>
      </c>
      <c r="E52" s="634">
        <f t="shared" si="3"/>
        <v>0</v>
      </c>
      <c r="F52" s="634">
        <f t="shared" si="3"/>
        <v>0</v>
      </c>
      <c r="G52" s="634">
        <f t="shared" si="3"/>
        <v>0</v>
      </c>
      <c r="H52" s="634">
        <f t="shared" si="3"/>
        <v>0</v>
      </c>
      <c r="I52" s="635">
        <f t="shared" si="3"/>
        <v>0</v>
      </c>
      <c r="J52" s="589"/>
      <c r="K52" s="589"/>
      <c r="L52" s="627"/>
      <c r="M52" s="627"/>
      <c r="N52" s="627"/>
      <c r="O52" s="614"/>
      <c r="P52" s="614"/>
    </row>
    <row r="53" spans="1:16">
      <c r="J53" s="574"/>
      <c r="K53" s="574"/>
      <c r="L53" s="574"/>
      <c r="M53" s="574"/>
      <c r="N53" s="574"/>
    </row>
    <row r="54" spans="1:16">
      <c r="J54" s="574"/>
      <c r="K54" s="574"/>
      <c r="L54" s="574"/>
      <c r="M54" s="574"/>
      <c r="N54"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898</v>
      </c>
      <c r="B2" s="1061" t="s">
        <v>899</v>
      </c>
      <c r="C2" s="1060" t="s">
        <v>674</v>
      </c>
      <c r="D2" s="1060" t="s">
        <v>766</v>
      </c>
      <c r="E2" s="353"/>
      <c r="F2" s="923" t="s">
        <v>774</v>
      </c>
      <c r="G2" s="923" t="s">
        <v>775</v>
      </c>
      <c r="H2" s="351" t="s">
        <v>776</v>
      </c>
      <c r="I2" s="880"/>
    </row>
    <row r="3" spans="1:9" s="11" customFormat="1">
      <c r="A3" s="1057" t="s">
        <v>896</v>
      </c>
      <c r="B3" s="1058" t="s">
        <v>895</v>
      </c>
      <c r="C3" s="1057" t="s">
        <v>192</v>
      </c>
      <c r="D3" s="1059" t="s">
        <v>897</v>
      </c>
      <c r="E3" s="919"/>
      <c r="F3" s="891" t="s">
        <v>752</v>
      </c>
      <c r="G3" s="891" t="s">
        <v>753</v>
      </c>
      <c r="H3" s="891" t="s">
        <v>754</v>
      </c>
    </row>
    <row r="4" spans="1:9" s="880" customFormat="1">
      <c r="A4" s="918" t="s">
        <v>411</v>
      </c>
      <c r="B4" s="925">
        <v>2014</v>
      </c>
      <c r="C4" s="918" t="s">
        <v>411</v>
      </c>
      <c r="D4" s="918" t="s">
        <v>772</v>
      </c>
      <c r="E4" s="919"/>
      <c r="F4" s="920" t="s">
        <v>755</v>
      </c>
      <c r="G4" s="920" t="s">
        <v>756</v>
      </c>
      <c r="H4" s="920" t="s">
        <v>757</v>
      </c>
    </row>
    <row r="5" spans="1:9">
      <c r="A5" s="347" t="s">
        <v>401</v>
      </c>
      <c r="B5" s="348" t="s">
        <v>678</v>
      </c>
      <c r="C5" s="347" t="s">
        <v>401</v>
      </c>
      <c r="D5" s="347" t="s">
        <v>684</v>
      </c>
      <c r="E5" s="349"/>
      <c r="F5" s="350" t="s">
        <v>402</v>
      </c>
      <c r="G5" s="350" t="s">
        <v>403</v>
      </c>
      <c r="H5" s="351" t="s">
        <v>404</v>
      </c>
    </row>
    <row r="6" spans="1:9">
      <c r="A6" s="347" t="s">
        <v>405</v>
      </c>
      <c r="B6" s="348" t="s">
        <v>678</v>
      </c>
      <c r="C6" s="347" t="s">
        <v>405</v>
      </c>
      <c r="D6" s="347" t="s">
        <v>685</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770</v>
      </c>
      <c r="B8" s="927">
        <v>2013</v>
      </c>
      <c r="C8" s="352" t="s">
        <v>411</v>
      </c>
      <c r="D8" s="352" t="s">
        <v>771</v>
      </c>
      <c r="E8" s="919" t="s">
        <v>773</v>
      </c>
      <c r="F8" s="891"/>
      <c r="G8" s="891"/>
      <c r="H8" s="891"/>
    </row>
    <row r="9" spans="1:9" s="11" customFormat="1">
      <c r="A9" s="352" t="s">
        <v>792</v>
      </c>
      <c r="B9" s="791" t="s">
        <v>793</v>
      </c>
      <c r="C9" s="352" t="s">
        <v>794</v>
      </c>
      <c r="D9" s="352" t="s">
        <v>790</v>
      </c>
      <c r="E9" s="355" t="s">
        <v>789</v>
      </c>
      <c r="F9" s="891"/>
      <c r="G9" s="891"/>
      <c r="H9" s="891"/>
    </row>
    <row r="10" spans="1:9">
      <c r="A10" s="352" t="s">
        <v>641</v>
      </c>
      <c r="B10" s="887" t="s">
        <v>686</v>
      </c>
      <c r="C10" s="352" t="s">
        <v>646</v>
      </c>
      <c r="D10" s="352" t="s">
        <v>647</v>
      </c>
      <c r="E10" s="349"/>
      <c r="F10" s="350" t="s">
        <v>643</v>
      </c>
      <c r="G10" s="350" t="s">
        <v>644</v>
      </c>
      <c r="H10" s="351" t="s">
        <v>645</v>
      </c>
    </row>
    <row r="11" spans="1:9" s="880" customFormat="1">
      <c r="A11" s="921" t="s">
        <v>759</v>
      </c>
      <c r="B11" s="922" t="s">
        <v>760</v>
      </c>
      <c r="C11" s="921" t="s">
        <v>761</v>
      </c>
      <c r="D11" s="921" t="s">
        <v>762</v>
      </c>
      <c r="E11" s="685"/>
      <c r="F11" s="923" t="s">
        <v>763</v>
      </c>
      <c r="G11" s="923" t="s">
        <v>764</v>
      </c>
      <c r="H11" s="351" t="s">
        <v>765</v>
      </c>
    </row>
    <row r="12" spans="1:9" s="880" customFormat="1">
      <c r="A12" s="918" t="s">
        <v>777</v>
      </c>
      <c r="B12" s="925">
        <v>2017</v>
      </c>
      <c r="C12" s="918" t="s">
        <v>430</v>
      </c>
      <c r="D12" s="918" t="s">
        <v>778</v>
      </c>
      <c r="E12" s="926"/>
      <c r="F12" s="923" t="s">
        <v>774</v>
      </c>
      <c r="G12" s="923" t="s">
        <v>775</v>
      </c>
      <c r="H12" s="351" t="s">
        <v>776</v>
      </c>
    </row>
    <row r="13" spans="1:9" s="10" customFormat="1">
      <c r="A13" s="352" t="s">
        <v>413</v>
      </c>
      <c r="B13" s="348" t="s">
        <v>429</v>
      </c>
      <c r="C13" s="347"/>
      <c r="D13" s="357" t="s">
        <v>428</v>
      </c>
      <c r="E13" s="349"/>
      <c r="F13" s="350"/>
      <c r="G13" s="350"/>
      <c r="H13" s="351"/>
    </row>
    <row r="14" spans="1:9">
      <c r="A14" s="347" t="s">
        <v>395</v>
      </c>
      <c r="B14" s="348" t="s">
        <v>642</v>
      </c>
      <c r="C14" s="347"/>
      <c r="D14" s="347" t="s">
        <v>400</v>
      </c>
      <c r="E14" s="355" t="s">
        <v>396</v>
      </c>
      <c r="F14" s="350" t="s">
        <v>397</v>
      </c>
      <c r="G14" s="350" t="s">
        <v>398</v>
      </c>
      <c r="H14" s="350" t="s">
        <v>399</v>
      </c>
    </row>
    <row r="15" spans="1:9">
      <c r="A15" s="347" t="s">
        <v>412</v>
      </c>
      <c r="B15" s="348" t="s">
        <v>678</v>
      </c>
      <c r="C15" s="347" t="s">
        <v>412</v>
      </c>
      <c r="D15" s="347" t="s">
        <v>426</v>
      </c>
      <c r="E15" s="349"/>
      <c r="F15" s="350" t="s">
        <v>804</v>
      </c>
      <c r="G15" s="350" t="s">
        <v>805</v>
      </c>
      <c r="H15" s="351" t="s">
        <v>806</v>
      </c>
    </row>
    <row r="16" spans="1:9" s="888" customFormat="1">
      <c r="A16" s="892" t="s">
        <v>518</v>
      </c>
      <c r="B16" s="893" t="s">
        <v>380</v>
      </c>
      <c r="C16" s="892" t="s">
        <v>378</v>
      </c>
      <c r="D16" s="894" t="s">
        <v>379</v>
      </c>
      <c r="E16" s="895" t="s">
        <v>381</v>
      </c>
      <c r="F16" s="924" t="s">
        <v>767</v>
      </c>
      <c r="G16" s="924" t="s">
        <v>768</v>
      </c>
      <c r="H16" s="351" t="s">
        <v>769</v>
      </c>
    </row>
    <row r="17" spans="1:8" s="888" customFormat="1">
      <c r="A17" s="892" t="s">
        <v>518</v>
      </c>
      <c r="B17" s="893" t="s">
        <v>798</v>
      </c>
      <c r="C17" s="892" t="s">
        <v>800</v>
      </c>
      <c r="D17" s="894" t="s">
        <v>801</v>
      </c>
      <c r="E17" s="895"/>
      <c r="F17" s="924" t="s">
        <v>767</v>
      </c>
      <c r="G17" s="924" t="s">
        <v>768</v>
      </c>
      <c r="H17" s="351" t="s">
        <v>769</v>
      </c>
    </row>
    <row r="18" spans="1:8" s="11" customFormat="1">
      <c r="A18" s="352" t="s">
        <v>517</v>
      </c>
      <c r="B18" s="356" t="s">
        <v>678</v>
      </c>
      <c r="C18" s="352" t="s">
        <v>430</v>
      </c>
      <c r="D18" s="352" t="s">
        <v>689</v>
      </c>
      <c r="E18" s="353"/>
      <c r="F18" s="920" t="s">
        <v>767</v>
      </c>
      <c r="G18" s="924" t="s">
        <v>768</v>
      </c>
      <c r="H18" s="351" t="s">
        <v>769</v>
      </c>
    </row>
    <row r="19" spans="1:8" s="10" customFormat="1">
      <c r="A19" s="352" t="s">
        <v>516</v>
      </c>
      <c r="B19" s="356" t="s">
        <v>515</v>
      </c>
      <c r="C19" s="352" t="s">
        <v>514</v>
      </c>
      <c r="D19" s="352" t="s">
        <v>513</v>
      </c>
      <c r="E19" s="345"/>
      <c r="F19" s="346"/>
      <c r="G19" s="346"/>
      <c r="H19" s="354"/>
    </row>
    <row r="20" spans="1:8">
      <c r="A20" s="352" t="s">
        <v>192</v>
      </c>
      <c r="B20" s="791" t="s">
        <v>700</v>
      </c>
      <c r="C20" s="352" t="s">
        <v>431</v>
      </c>
      <c r="D20" s="352" t="s">
        <v>432</v>
      </c>
      <c r="E20" s="349"/>
      <c r="F20" s="350" t="s">
        <v>433</v>
      </c>
      <c r="G20" s="350" t="s">
        <v>434</v>
      </c>
      <c r="H20" s="351" t="s">
        <v>435</v>
      </c>
    </row>
    <row r="21" spans="1:8" s="11" customFormat="1">
      <c r="A21" s="1064" t="s">
        <v>900</v>
      </c>
      <c r="B21" s="1065" t="s">
        <v>895</v>
      </c>
      <c r="C21" s="1064" t="s">
        <v>192</v>
      </c>
      <c r="D21" s="1064" t="s">
        <v>901</v>
      </c>
      <c r="E21" s="919"/>
      <c r="F21" s="920" t="s">
        <v>752</v>
      </c>
      <c r="G21" s="920" t="s">
        <v>753</v>
      </c>
      <c r="H21" s="920" t="s">
        <v>754</v>
      </c>
    </row>
    <row r="22" spans="1:8" s="880" customFormat="1">
      <c r="A22" s="352" t="s">
        <v>412</v>
      </c>
      <c r="B22" s="791" t="s">
        <v>798</v>
      </c>
      <c r="C22" s="352" t="s">
        <v>412</v>
      </c>
      <c r="D22" s="352" t="s">
        <v>802</v>
      </c>
      <c r="E22" s="349"/>
      <c r="F22" s="350" t="s">
        <v>807</v>
      </c>
      <c r="G22" s="350" t="s">
        <v>808</v>
      </c>
      <c r="H22" s="351" t="s">
        <v>809</v>
      </c>
    </row>
    <row r="23" spans="1:8" s="880" customFormat="1">
      <c r="A23" s="352" t="s">
        <v>412</v>
      </c>
      <c r="B23" s="791" t="s">
        <v>799</v>
      </c>
      <c r="C23" s="352" t="s">
        <v>412</v>
      </c>
      <c r="D23" s="352" t="s">
        <v>803</v>
      </c>
      <c r="E23" s="349"/>
      <c r="F23" s="350" t="s">
        <v>810</v>
      </c>
      <c r="G23" s="350" t="s">
        <v>811</v>
      </c>
      <c r="H23" s="351" t="s">
        <v>812</v>
      </c>
    </row>
    <row r="24" spans="1:8">
      <c r="A24" s="352" t="s">
        <v>410</v>
      </c>
      <c r="B24" s="348" t="s">
        <v>652</v>
      </c>
      <c r="C24" s="352" t="s">
        <v>410</v>
      </c>
      <c r="D24" s="352" t="s">
        <v>687</v>
      </c>
      <c r="E24" s="349" t="s">
        <v>688</v>
      </c>
      <c r="F24" s="350" t="s">
        <v>813</v>
      </c>
      <c r="G24" s="350" t="s">
        <v>814</v>
      </c>
      <c r="H24" s="351" t="s">
        <v>815</v>
      </c>
    </row>
    <row r="25" spans="1:8">
      <c r="A25" s="347" t="s">
        <v>410</v>
      </c>
      <c r="B25" s="887" t="s">
        <v>652</v>
      </c>
      <c r="C25" s="347" t="s">
        <v>410</v>
      </c>
      <c r="D25" s="357" t="s">
        <v>653</v>
      </c>
      <c r="E25" s="349" t="s">
        <v>427</v>
      </c>
      <c r="F25" s="350" t="s">
        <v>813</v>
      </c>
      <c r="G25" s="350" t="s">
        <v>814</v>
      </c>
      <c r="H25" s="351" t="s">
        <v>815</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631</v>
      </c>
      <c r="B1" s="896" t="s">
        <v>632</v>
      </c>
      <c r="C1" s="896" t="s">
        <v>634</v>
      </c>
      <c r="D1" s="896" t="s">
        <v>633</v>
      </c>
    </row>
    <row r="2" spans="1:4" s="880" customFormat="1">
      <c r="A2" s="880" t="s">
        <v>681</v>
      </c>
      <c r="B2" s="768">
        <v>42283</v>
      </c>
      <c r="C2" s="880" t="s">
        <v>712</v>
      </c>
      <c r="D2" s="885" t="s">
        <v>706</v>
      </c>
    </row>
    <row r="3" spans="1:4" s="880" customFormat="1">
      <c r="A3" s="880" t="s">
        <v>681</v>
      </c>
      <c r="B3" s="768">
        <v>42282</v>
      </c>
      <c r="C3" s="880" t="s">
        <v>711</v>
      </c>
      <c r="D3" s="885" t="s">
        <v>702</v>
      </c>
    </row>
    <row r="4" spans="1:4" s="880" customFormat="1">
      <c r="A4" s="880" t="s">
        <v>681</v>
      </c>
      <c r="B4" s="768">
        <v>42282</v>
      </c>
      <c r="C4" s="880" t="s">
        <v>710</v>
      </c>
      <c r="D4" s="885" t="s">
        <v>703</v>
      </c>
    </row>
    <row r="5" spans="1:4" s="880" customFormat="1">
      <c r="A5" s="880" t="s">
        <v>681</v>
      </c>
      <c r="B5" s="768">
        <v>42282</v>
      </c>
      <c r="C5" s="880" t="s">
        <v>709</v>
      </c>
      <c r="D5" s="885" t="s">
        <v>704</v>
      </c>
    </row>
    <row r="6" spans="1:4" s="880" customFormat="1">
      <c r="A6" s="880" t="s">
        <v>681</v>
      </c>
      <c r="B6" s="768">
        <v>42282</v>
      </c>
      <c r="C6" s="880" t="s">
        <v>708</v>
      </c>
      <c r="D6" s="885" t="s">
        <v>705</v>
      </c>
    </row>
    <row r="7" spans="1:4">
      <c r="A7" t="s">
        <v>681</v>
      </c>
      <c r="B7" s="768">
        <v>42275</v>
      </c>
      <c r="C7" t="s">
        <v>701</v>
      </c>
      <c r="D7" s="769" t="s">
        <v>650</v>
      </c>
    </row>
    <row r="8" spans="1:4">
      <c r="A8" t="s">
        <v>681</v>
      </c>
      <c r="B8" s="768">
        <v>42234</v>
      </c>
      <c r="C8" t="s">
        <v>682</v>
      </c>
      <c r="D8" s="769" t="s">
        <v>651</v>
      </c>
    </row>
    <row r="9" spans="1:4" s="888" customFormat="1">
      <c r="A9" s="888" t="s">
        <v>681</v>
      </c>
      <c r="B9" s="889">
        <v>42234</v>
      </c>
      <c r="C9" s="888" t="s">
        <v>696</v>
      </c>
      <c r="D9" s="885" t="s">
        <v>667</v>
      </c>
    </row>
    <row r="10" spans="1:4" s="888" customFormat="1">
      <c r="A10" s="888" t="s">
        <v>681</v>
      </c>
      <c r="B10" s="889">
        <v>42234</v>
      </c>
      <c r="C10" s="888" t="s">
        <v>697</v>
      </c>
      <c r="D10" s="885" t="s">
        <v>668</v>
      </c>
    </row>
    <row r="11" spans="1:4" s="888" customFormat="1">
      <c r="A11" s="888" t="s">
        <v>713</v>
      </c>
      <c r="B11" s="889">
        <v>42430</v>
      </c>
      <c r="C11" s="888" t="s">
        <v>714</v>
      </c>
      <c r="D11" s="885" t="s">
        <v>704</v>
      </c>
    </row>
    <row r="12" spans="1:4" s="7" customFormat="1">
      <c r="A12" s="888" t="s">
        <v>713</v>
      </c>
      <c r="B12" s="889">
        <v>42468</v>
      </c>
      <c r="C12" s="888" t="s">
        <v>715</v>
      </c>
      <c r="D12" s="905" t="s">
        <v>667</v>
      </c>
    </row>
    <row r="13" spans="1:4" s="7" customFormat="1">
      <c r="A13" s="888" t="s">
        <v>713</v>
      </c>
      <c r="B13" s="907">
        <v>42538</v>
      </c>
      <c r="C13" s="907" t="s">
        <v>716</v>
      </c>
      <c r="D13" s="907"/>
    </row>
    <row r="14" spans="1:4" s="7" customFormat="1">
      <c r="A14" s="888" t="s">
        <v>713</v>
      </c>
      <c r="B14" s="907">
        <v>42538</v>
      </c>
      <c r="C14" s="907" t="s">
        <v>717</v>
      </c>
      <c r="D14" s="908" t="s">
        <v>718</v>
      </c>
    </row>
    <row r="15" spans="1:4" s="7" customFormat="1">
      <c r="A15" s="888" t="s">
        <v>713</v>
      </c>
      <c r="B15" s="907">
        <v>42538</v>
      </c>
      <c r="C15" s="907" t="s">
        <v>719</v>
      </c>
      <c r="D15" s="909" t="s">
        <v>720</v>
      </c>
    </row>
    <row r="16" spans="1:4" s="7" customFormat="1">
      <c r="A16" s="888" t="s">
        <v>713</v>
      </c>
      <c r="B16" s="907">
        <v>42538</v>
      </c>
      <c r="C16" s="907" t="s">
        <v>721</v>
      </c>
      <c r="D16" s="908" t="s">
        <v>722</v>
      </c>
    </row>
    <row r="17" spans="1:4" s="7" customFormat="1">
      <c r="A17" s="888" t="s">
        <v>746</v>
      </c>
      <c r="B17" s="907">
        <v>42583</v>
      </c>
      <c r="C17" s="907" t="s">
        <v>747</v>
      </c>
      <c r="D17" s="885" t="s">
        <v>667</v>
      </c>
    </row>
    <row r="18" spans="1:4" s="7" customFormat="1">
      <c r="A18" s="888" t="s">
        <v>749</v>
      </c>
      <c r="B18" s="768">
        <v>42877</v>
      </c>
      <c r="C18" s="880" t="s">
        <v>795</v>
      </c>
      <c r="D18" s="885" t="s">
        <v>705</v>
      </c>
    </row>
    <row r="19" spans="1:4" s="7" customFormat="1">
      <c r="A19" s="888" t="s">
        <v>749</v>
      </c>
      <c r="B19" s="768">
        <v>42877</v>
      </c>
      <c r="C19" s="880" t="s">
        <v>796</v>
      </c>
      <c r="D19" s="917" t="s">
        <v>750</v>
      </c>
    </row>
    <row r="20" spans="1:4" s="7" customFormat="1">
      <c r="A20" s="888" t="s">
        <v>749</v>
      </c>
      <c r="B20" s="768">
        <v>42877</v>
      </c>
      <c r="C20" s="880" t="s">
        <v>797</v>
      </c>
      <c r="D20" s="885" t="s">
        <v>751</v>
      </c>
    </row>
    <row r="21" spans="1:4" s="7" customFormat="1">
      <c r="A21" s="888" t="s">
        <v>779</v>
      </c>
      <c r="B21" s="907">
        <v>43167</v>
      </c>
      <c r="C21" s="907" t="s">
        <v>780</v>
      </c>
      <c r="D21" s="917" t="s">
        <v>781</v>
      </c>
    </row>
    <row r="22" spans="1:4" s="7" customFormat="1">
      <c r="A22" s="888" t="s">
        <v>779</v>
      </c>
      <c r="B22" s="907">
        <v>43167</v>
      </c>
      <c r="C22" s="907" t="s">
        <v>782</v>
      </c>
      <c r="D22" s="885" t="s">
        <v>783</v>
      </c>
    </row>
    <row r="23" spans="1:4">
      <c r="A23" s="888" t="s">
        <v>779</v>
      </c>
      <c r="B23" s="907">
        <v>43167</v>
      </c>
      <c r="C23" s="907" t="s">
        <v>784</v>
      </c>
      <c r="D23" s="885" t="s">
        <v>785</v>
      </c>
    </row>
    <row r="24" spans="1:4">
      <c r="A24" s="888" t="s">
        <v>779</v>
      </c>
      <c r="B24" s="907">
        <v>43167</v>
      </c>
      <c r="C24" s="907" t="s">
        <v>786</v>
      </c>
      <c r="D24" s="885" t="s">
        <v>787</v>
      </c>
    </row>
    <row r="25" spans="1:4">
      <c r="A25" s="888" t="s">
        <v>779</v>
      </c>
      <c r="B25" s="907">
        <v>43278</v>
      </c>
      <c r="C25" s="907" t="s">
        <v>816</v>
      </c>
      <c r="D25" s="917"/>
    </row>
    <row r="26" spans="1:4">
      <c r="A26" s="888" t="s">
        <v>817</v>
      </c>
      <c r="B26" s="768">
        <v>43425</v>
      </c>
      <c r="C26" s="907" t="s">
        <v>818</v>
      </c>
    </row>
    <row r="27" spans="1:4">
      <c r="A27" s="888" t="s">
        <v>817</v>
      </c>
      <c r="B27" s="768">
        <v>43444</v>
      </c>
      <c r="C27" s="907" t="s">
        <v>854</v>
      </c>
      <c r="D27" s="917" t="s">
        <v>855</v>
      </c>
    </row>
    <row r="28" spans="1:4">
      <c r="A28" s="888" t="s">
        <v>865</v>
      </c>
      <c r="B28" s="768">
        <v>43573</v>
      </c>
      <c r="C28" s="907" t="s">
        <v>866</v>
      </c>
    </row>
    <row r="29" spans="1:4">
      <c r="A29" s="888" t="s">
        <v>888</v>
      </c>
      <c r="B29" s="768">
        <v>43678</v>
      </c>
      <c r="C29" s="907" t="s">
        <v>889</v>
      </c>
      <c r="D29" s="885" t="s">
        <v>890</v>
      </c>
    </row>
    <row r="30" spans="1:4">
      <c r="A30" s="1053" t="s">
        <v>894</v>
      </c>
      <c r="B30" s="1072">
        <v>43930</v>
      </c>
      <c r="C30" s="1069" t="s">
        <v>891</v>
      </c>
      <c r="D30" s="1071" t="s">
        <v>892</v>
      </c>
    </row>
    <row r="31" spans="1:4">
      <c r="A31" s="1053" t="s">
        <v>894</v>
      </c>
      <c r="B31" s="1072">
        <v>43930</v>
      </c>
      <c r="C31" s="1069" t="s">
        <v>893</v>
      </c>
      <c r="D31" s="1071" t="s">
        <v>892</v>
      </c>
    </row>
    <row r="32" spans="1:4">
      <c r="A32" s="1073" t="s">
        <v>894</v>
      </c>
      <c r="B32" s="1072">
        <v>43943</v>
      </c>
      <c r="C32" s="1069" t="s">
        <v>903</v>
      </c>
      <c r="D32" s="1070" t="s">
        <v>705</v>
      </c>
    </row>
    <row r="33" spans="1:4">
      <c r="A33" s="1073" t="s">
        <v>894</v>
      </c>
      <c r="B33" s="1072">
        <v>43943</v>
      </c>
      <c r="C33" s="1069" t="s">
        <v>904</v>
      </c>
      <c r="D33" s="1071" t="s">
        <v>750</v>
      </c>
    </row>
    <row r="34" spans="1:4" ht="14.25" customHeight="1">
      <c r="A34" s="1073" t="s">
        <v>894</v>
      </c>
      <c r="B34" s="1072">
        <v>43943</v>
      </c>
      <c r="C34" s="1069" t="s">
        <v>905</v>
      </c>
      <c r="D34" s="1071" t="s">
        <v>751</v>
      </c>
    </row>
    <row r="35" spans="1:4">
      <c r="A35" s="1073" t="s">
        <v>894</v>
      </c>
      <c r="B35" s="1072">
        <v>43943</v>
      </c>
      <c r="C35" s="1069" t="s">
        <v>906</v>
      </c>
      <c r="D35" s="1071" t="s">
        <v>907</v>
      </c>
    </row>
    <row r="36" spans="1:4">
      <c r="A36" s="1073" t="s">
        <v>894</v>
      </c>
      <c r="B36" s="1072">
        <v>43951</v>
      </c>
      <c r="C36" t="s">
        <v>910</v>
      </c>
      <c r="D36" s="1071" t="s">
        <v>911</v>
      </c>
    </row>
    <row r="37" spans="1:4">
      <c r="A37" s="1073" t="s">
        <v>894</v>
      </c>
      <c r="B37" s="1072">
        <v>43965</v>
      </c>
      <c r="C37" t="s">
        <v>913</v>
      </c>
      <c r="D37" s="1070" t="s">
        <v>667</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564</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136038.00128728084</v>
      </c>
      <c r="C4" s="458">
        <f>huishoudens!C8</f>
        <v>0</v>
      </c>
      <c r="D4" s="458">
        <f>huishoudens!D8</f>
        <v>321471.82042800001</v>
      </c>
      <c r="E4" s="458">
        <f>huishoudens!E8</f>
        <v>12312.240244018123</v>
      </c>
      <c r="F4" s="458">
        <f>huishoudens!F8</f>
        <v>89360.594534610631</v>
      </c>
      <c r="G4" s="458">
        <f>huishoudens!G8</f>
        <v>0</v>
      </c>
      <c r="H4" s="458">
        <f>huishoudens!H8</f>
        <v>0</v>
      </c>
      <c r="I4" s="458">
        <f>huishoudens!I8</f>
        <v>0</v>
      </c>
      <c r="J4" s="458">
        <f>huishoudens!J8</f>
        <v>0</v>
      </c>
      <c r="K4" s="458">
        <f>huishoudens!K8</f>
        <v>0</v>
      </c>
      <c r="L4" s="458">
        <f>huishoudens!L8</f>
        <v>0</v>
      </c>
      <c r="M4" s="458">
        <f>huishoudens!M8</f>
        <v>0</v>
      </c>
      <c r="N4" s="458">
        <f>huishoudens!N8</f>
        <v>40606.376946132768</v>
      </c>
      <c r="O4" s="458">
        <f>huishoudens!O8</f>
        <v>664.41666666666663</v>
      </c>
      <c r="P4" s="459">
        <f>huishoudens!P8</f>
        <v>1849.4666666666667</v>
      </c>
      <c r="Q4" s="460">
        <f>SUM(B4:P4)</f>
        <v>602302.91677337571</v>
      </c>
    </row>
    <row r="5" spans="1:17">
      <c r="A5" s="457" t="s">
        <v>155</v>
      </c>
      <c r="B5" s="458">
        <f ca="1">tertiair!B16</f>
        <v>200048.53899999999</v>
      </c>
      <c r="C5" s="458">
        <f ca="1">tertiair!C16</f>
        <v>2858.7857142857142</v>
      </c>
      <c r="D5" s="458">
        <f ca="1">tertiair!D16</f>
        <v>148900.86564342858</v>
      </c>
      <c r="E5" s="458">
        <f>tertiair!E16</f>
        <v>2354.0366524784927</v>
      </c>
      <c r="F5" s="458">
        <f ca="1">tertiair!F16</f>
        <v>38059.873551637618</v>
      </c>
      <c r="G5" s="458">
        <f>tertiair!G16</f>
        <v>0</v>
      </c>
      <c r="H5" s="458">
        <f>tertiair!H16</f>
        <v>0</v>
      </c>
      <c r="I5" s="458">
        <f>tertiair!I16</f>
        <v>0</v>
      </c>
      <c r="J5" s="458">
        <f>tertiair!J16</f>
        <v>0</v>
      </c>
      <c r="K5" s="458">
        <f>tertiair!K16</f>
        <v>0</v>
      </c>
      <c r="L5" s="458">
        <f ca="1">tertiair!L16</f>
        <v>0</v>
      </c>
      <c r="M5" s="458">
        <f>tertiair!M16</f>
        <v>0</v>
      </c>
      <c r="N5" s="458">
        <f ca="1">tertiair!N16</f>
        <v>7669.255366380723</v>
      </c>
      <c r="O5" s="458">
        <f>tertiair!O16</f>
        <v>9.3800000000000008</v>
      </c>
      <c r="P5" s="459">
        <f>tertiair!P16</f>
        <v>171.6</v>
      </c>
      <c r="Q5" s="457">
        <f t="shared" ref="Q5:Q14" ca="1" si="0">SUM(B5:P5)</f>
        <v>400072.33592821116</v>
      </c>
    </row>
    <row r="6" spans="1:17">
      <c r="A6" s="457" t="s">
        <v>193</v>
      </c>
      <c r="B6" s="458">
        <f>'openbare verlichting'!B8</f>
        <v>5052.1210000000001</v>
      </c>
      <c r="C6" s="458"/>
      <c r="D6" s="458"/>
      <c r="E6" s="458"/>
      <c r="F6" s="458"/>
      <c r="G6" s="458"/>
      <c r="H6" s="458"/>
      <c r="I6" s="458"/>
      <c r="J6" s="458"/>
      <c r="K6" s="458"/>
      <c r="L6" s="458"/>
      <c r="M6" s="458"/>
      <c r="N6" s="458"/>
      <c r="O6" s="458"/>
      <c r="P6" s="459"/>
      <c r="Q6" s="457">
        <f t="shared" si="0"/>
        <v>5052.1210000000001</v>
      </c>
    </row>
    <row r="7" spans="1:17">
      <c r="A7" s="457" t="s">
        <v>111</v>
      </c>
      <c r="B7" s="458">
        <f>landbouw!B8</f>
        <v>1854.6130000000001</v>
      </c>
      <c r="C7" s="458">
        <f>landbouw!C8</f>
        <v>0</v>
      </c>
      <c r="D7" s="458">
        <f>landbouw!D8</f>
        <v>2503.2376160000003</v>
      </c>
      <c r="E7" s="458">
        <f>landbouw!E8</f>
        <v>23.370513027323071</v>
      </c>
      <c r="F7" s="458">
        <f>landbouw!F8</f>
        <v>6398.8794583179852</v>
      </c>
      <c r="G7" s="458">
        <f>landbouw!G8</f>
        <v>0</v>
      </c>
      <c r="H7" s="458">
        <f>landbouw!H8</f>
        <v>0</v>
      </c>
      <c r="I7" s="458">
        <f>landbouw!I8</f>
        <v>0</v>
      </c>
      <c r="J7" s="458">
        <f>landbouw!J8</f>
        <v>278.91271270348653</v>
      </c>
      <c r="K7" s="458">
        <f>landbouw!K8</f>
        <v>0</v>
      </c>
      <c r="L7" s="458">
        <f>landbouw!L8</f>
        <v>0</v>
      </c>
      <c r="M7" s="458">
        <f>landbouw!M8</f>
        <v>0</v>
      </c>
      <c r="N7" s="458">
        <f>landbouw!N8</f>
        <v>0</v>
      </c>
      <c r="O7" s="458">
        <f>landbouw!O8</f>
        <v>0</v>
      </c>
      <c r="P7" s="459">
        <f>landbouw!P8</f>
        <v>0</v>
      </c>
      <c r="Q7" s="457">
        <f t="shared" si="0"/>
        <v>11059.013300048795</v>
      </c>
    </row>
    <row r="8" spans="1:17">
      <c r="A8" s="457" t="s">
        <v>657</v>
      </c>
      <c r="B8" s="458">
        <f>industrie!B18</f>
        <v>65951.264999999985</v>
      </c>
      <c r="C8" s="458">
        <f>industrie!C18</f>
        <v>321.42857142857144</v>
      </c>
      <c r="D8" s="458">
        <f>industrie!D18</f>
        <v>77528.424441142866</v>
      </c>
      <c r="E8" s="458">
        <f>industrie!E18</f>
        <v>9944.54747071764</v>
      </c>
      <c r="F8" s="458">
        <f>industrie!F18</f>
        <v>44628.165539653077</v>
      </c>
      <c r="G8" s="458">
        <f>industrie!G18</f>
        <v>0</v>
      </c>
      <c r="H8" s="458">
        <f>industrie!H18</f>
        <v>0</v>
      </c>
      <c r="I8" s="458">
        <f>industrie!I18</f>
        <v>0</v>
      </c>
      <c r="J8" s="458">
        <f>industrie!J18</f>
        <v>65.828958894371155</v>
      </c>
      <c r="K8" s="458">
        <f>industrie!K18</f>
        <v>0</v>
      </c>
      <c r="L8" s="458">
        <f>industrie!L18</f>
        <v>0</v>
      </c>
      <c r="M8" s="458">
        <f>industrie!M18</f>
        <v>0</v>
      </c>
      <c r="N8" s="458">
        <f>industrie!N18</f>
        <v>7024.0634177527108</v>
      </c>
      <c r="O8" s="458">
        <f>industrie!O18</f>
        <v>0</v>
      </c>
      <c r="P8" s="459">
        <f>industrie!P18</f>
        <v>0</v>
      </c>
      <c r="Q8" s="457">
        <f t="shared" si="0"/>
        <v>205463.72339958919</v>
      </c>
    </row>
    <row r="9" spans="1:17" s="463" customFormat="1">
      <c r="A9" s="461" t="s">
        <v>575</v>
      </c>
      <c r="B9" s="462">
        <f>transport!B14</f>
        <v>28.413217754047416</v>
      </c>
      <c r="C9" s="462">
        <f>transport!C14</f>
        <v>0</v>
      </c>
      <c r="D9" s="462">
        <f>transport!D14</f>
        <v>46.354269642006074</v>
      </c>
      <c r="E9" s="462">
        <f>transport!E14</f>
        <v>1759.4333353271197</v>
      </c>
      <c r="F9" s="462">
        <f>transport!F14</f>
        <v>0</v>
      </c>
      <c r="G9" s="462">
        <f>transport!G14</f>
        <v>459766.91689072805</v>
      </c>
      <c r="H9" s="462">
        <f>transport!H14</f>
        <v>85790.632982406561</v>
      </c>
      <c r="I9" s="462">
        <f>transport!I14</f>
        <v>0</v>
      </c>
      <c r="J9" s="462">
        <f>transport!J14</f>
        <v>0</v>
      </c>
      <c r="K9" s="462">
        <f>transport!K14</f>
        <v>0</v>
      </c>
      <c r="L9" s="462">
        <f>transport!L14</f>
        <v>0</v>
      </c>
      <c r="M9" s="462">
        <f>transport!M14</f>
        <v>24669.697746688013</v>
      </c>
      <c r="N9" s="462">
        <f>transport!N14</f>
        <v>0</v>
      </c>
      <c r="O9" s="462">
        <f>transport!O14</f>
        <v>0</v>
      </c>
      <c r="P9" s="462">
        <f>transport!P14</f>
        <v>0</v>
      </c>
      <c r="Q9" s="461">
        <f>SUM(B9:P9)</f>
        <v>572061.44844254584</v>
      </c>
    </row>
    <row r="10" spans="1:17">
      <c r="A10" s="457" t="s">
        <v>565</v>
      </c>
      <c r="B10" s="458">
        <f>transport!B54</f>
        <v>0</v>
      </c>
      <c r="C10" s="458">
        <f>transport!C54</f>
        <v>0</v>
      </c>
      <c r="D10" s="458">
        <f>transport!D54</f>
        <v>0</v>
      </c>
      <c r="E10" s="458">
        <f>transport!E54</f>
        <v>0</v>
      </c>
      <c r="F10" s="458">
        <f>transport!F54</f>
        <v>0</v>
      </c>
      <c r="G10" s="458">
        <f>transport!G54</f>
        <v>17939.104902936844</v>
      </c>
      <c r="H10" s="458">
        <f>transport!H54</f>
        <v>0</v>
      </c>
      <c r="I10" s="458">
        <f>transport!I54</f>
        <v>0</v>
      </c>
      <c r="J10" s="458">
        <f>transport!J54</f>
        <v>0</v>
      </c>
      <c r="K10" s="458">
        <f>transport!K54</f>
        <v>0</v>
      </c>
      <c r="L10" s="458">
        <f>transport!L54</f>
        <v>0</v>
      </c>
      <c r="M10" s="458">
        <f>transport!M54</f>
        <v>798.48440011099353</v>
      </c>
      <c r="N10" s="458">
        <f>transport!N54</f>
        <v>0</v>
      </c>
      <c r="O10" s="458">
        <f>transport!O54</f>
        <v>0</v>
      </c>
      <c r="P10" s="459">
        <f>transport!P54</f>
        <v>0</v>
      </c>
      <c r="Q10" s="457">
        <f t="shared" si="0"/>
        <v>18737.589303047836</v>
      </c>
    </row>
    <row r="11" spans="1:17">
      <c r="A11" s="457" t="s">
        <v>566</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567</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568</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864</v>
      </c>
      <c r="B14" s="465">
        <f>'SEAP template'!C25</f>
        <v>7682.2889999999998</v>
      </c>
      <c r="C14" s="465"/>
      <c r="D14" s="465">
        <f>'SEAP template'!E25</f>
        <v>104429.768</v>
      </c>
      <c r="E14" s="465"/>
      <c r="F14" s="465"/>
      <c r="G14" s="465"/>
      <c r="H14" s="465"/>
      <c r="I14" s="465"/>
      <c r="J14" s="465"/>
      <c r="K14" s="465"/>
      <c r="L14" s="465"/>
      <c r="M14" s="465"/>
      <c r="N14" s="465"/>
      <c r="O14" s="465"/>
      <c r="P14" s="466"/>
      <c r="Q14" s="457">
        <f t="shared" si="0"/>
        <v>112112.057</v>
      </c>
    </row>
    <row r="15" spans="1:17" s="470" customFormat="1">
      <c r="A15" s="467" t="s">
        <v>569</v>
      </c>
      <c r="B15" s="468">
        <f ca="1">SUM(B4:B14)</f>
        <v>416655.24150503479</v>
      </c>
      <c r="C15" s="468">
        <f t="shared" ref="C15:Q15" ca="1" si="1">SUM(C4:C14)</f>
        <v>3180.2142857142858</v>
      </c>
      <c r="D15" s="468">
        <f t="shared" ca="1" si="1"/>
        <v>654880.47039821348</v>
      </c>
      <c r="E15" s="468">
        <f t="shared" si="1"/>
        <v>26393.6282155687</v>
      </c>
      <c r="F15" s="468">
        <f t="shared" ca="1" si="1"/>
        <v>178447.5130842193</v>
      </c>
      <c r="G15" s="468">
        <f t="shared" si="1"/>
        <v>477706.0217936649</v>
      </c>
      <c r="H15" s="468">
        <f t="shared" si="1"/>
        <v>85790.632982406561</v>
      </c>
      <c r="I15" s="468">
        <f t="shared" si="1"/>
        <v>0</v>
      </c>
      <c r="J15" s="468">
        <f t="shared" si="1"/>
        <v>344.7416715978577</v>
      </c>
      <c r="K15" s="468">
        <f t="shared" si="1"/>
        <v>0</v>
      </c>
      <c r="L15" s="468">
        <f t="shared" ca="1" si="1"/>
        <v>0</v>
      </c>
      <c r="M15" s="468">
        <f t="shared" si="1"/>
        <v>25468.182146799005</v>
      </c>
      <c r="N15" s="468">
        <f t="shared" ca="1" si="1"/>
        <v>55299.695730266205</v>
      </c>
      <c r="O15" s="468">
        <f t="shared" si="1"/>
        <v>673.79666666666662</v>
      </c>
      <c r="P15" s="468">
        <f t="shared" si="1"/>
        <v>2021.0666666666666</v>
      </c>
      <c r="Q15" s="468">
        <f t="shared" ca="1" si="1"/>
        <v>1926861.2051468184</v>
      </c>
    </row>
    <row r="17" spans="1:17">
      <c r="A17" s="471" t="s">
        <v>570</v>
      </c>
      <c r="B17" s="777">
        <f ca="1">huishoudens!B10</f>
        <v>0.20016094735489684</v>
      </c>
      <c r="C17" s="777">
        <f ca="1">huishoudens!C10</f>
        <v>0.23764705882352946</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572</v>
      </c>
      <c r="B19" s="1170" t="s">
        <v>571</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27229.495213928811</v>
      </c>
      <c r="C22" s="458">
        <f t="shared" ref="C22:C32" ca="1" si="3">C4*$C$17</f>
        <v>0</v>
      </c>
      <c r="D22" s="458">
        <f t="shared" ref="D22:D32" si="4">D4*$D$17</f>
        <v>64937.307726456005</v>
      </c>
      <c r="E22" s="458">
        <f t="shared" ref="E22:E32" si="5">E4*$E$17</f>
        <v>2794.8785353921139</v>
      </c>
      <c r="F22" s="458">
        <f t="shared" ref="F22:F32" si="6">F4*$F$17</f>
        <v>23859.27874074104</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118820.96021651797</v>
      </c>
    </row>
    <row r="23" spans="1:17">
      <c r="A23" s="457" t="s">
        <v>155</v>
      </c>
      <c r="B23" s="458">
        <f t="shared" ca="1" si="2"/>
        <v>40041.905083203026</v>
      </c>
      <c r="C23" s="458">
        <f t="shared" ca="1" si="3"/>
        <v>679.38201680672285</v>
      </c>
      <c r="D23" s="458">
        <f t="shared" ca="1" si="4"/>
        <v>30077.974859972575</v>
      </c>
      <c r="E23" s="458">
        <f t="shared" si="5"/>
        <v>534.36632011261781</v>
      </c>
      <c r="F23" s="458">
        <f t="shared" ca="1" si="6"/>
        <v>10161.986238287245</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81495.614518382179</v>
      </c>
    </row>
    <row r="24" spans="1:17">
      <c r="A24" s="457" t="s">
        <v>193</v>
      </c>
      <c r="B24" s="458">
        <f t="shared" ca="1" si="2"/>
        <v>1011.2373255115688</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1011.2373255115688</v>
      </c>
    </row>
    <row r="25" spans="1:17">
      <c r="A25" s="457" t="s">
        <v>111</v>
      </c>
      <c r="B25" s="458">
        <f t="shared" ca="1" si="2"/>
        <v>371.22109505670733</v>
      </c>
      <c r="C25" s="458">
        <f t="shared" ca="1" si="3"/>
        <v>0</v>
      </c>
      <c r="D25" s="458">
        <f t="shared" si="4"/>
        <v>505.65399843200009</v>
      </c>
      <c r="E25" s="458">
        <f t="shared" si="5"/>
        <v>5.3051064572023376</v>
      </c>
      <c r="F25" s="458">
        <f t="shared" si="6"/>
        <v>1708.500815370902</v>
      </c>
      <c r="G25" s="458">
        <f t="shared" si="7"/>
        <v>0</v>
      </c>
      <c r="H25" s="458">
        <f t="shared" si="8"/>
        <v>0</v>
      </c>
      <c r="I25" s="458">
        <f t="shared" si="9"/>
        <v>0</v>
      </c>
      <c r="J25" s="458">
        <f t="shared" si="10"/>
        <v>98.735100297034222</v>
      </c>
      <c r="K25" s="458">
        <f t="shared" si="11"/>
        <v>0</v>
      </c>
      <c r="L25" s="458">
        <f t="shared" si="12"/>
        <v>0</v>
      </c>
      <c r="M25" s="458">
        <f t="shared" si="13"/>
        <v>0</v>
      </c>
      <c r="N25" s="458">
        <f t="shared" si="14"/>
        <v>0</v>
      </c>
      <c r="O25" s="458">
        <f t="shared" si="15"/>
        <v>0</v>
      </c>
      <c r="P25" s="459">
        <f t="shared" si="16"/>
        <v>0</v>
      </c>
      <c r="Q25" s="457">
        <f t="shared" ca="1" si="17"/>
        <v>2689.4161156138457</v>
      </c>
    </row>
    <row r="26" spans="1:17">
      <c r="A26" s="457" t="s">
        <v>657</v>
      </c>
      <c r="B26" s="458">
        <f t="shared" ca="1" si="2"/>
        <v>13200.867681653848</v>
      </c>
      <c r="C26" s="458">
        <f t="shared" ca="1" si="3"/>
        <v>76.386554621848759</v>
      </c>
      <c r="D26" s="458">
        <f t="shared" si="4"/>
        <v>15660.74173711086</v>
      </c>
      <c r="E26" s="458">
        <f t="shared" si="5"/>
        <v>2257.4122758529043</v>
      </c>
      <c r="F26" s="458">
        <f t="shared" si="6"/>
        <v>11915.720199087373</v>
      </c>
      <c r="G26" s="458">
        <f t="shared" si="7"/>
        <v>0</v>
      </c>
      <c r="H26" s="458">
        <f t="shared" si="8"/>
        <v>0</v>
      </c>
      <c r="I26" s="458">
        <f t="shared" si="9"/>
        <v>0</v>
      </c>
      <c r="J26" s="458">
        <f t="shared" si="10"/>
        <v>23.303451448607387</v>
      </c>
      <c r="K26" s="458">
        <f t="shared" si="11"/>
        <v>0</v>
      </c>
      <c r="L26" s="458">
        <f t="shared" si="12"/>
        <v>0</v>
      </c>
      <c r="M26" s="458">
        <f t="shared" si="13"/>
        <v>0</v>
      </c>
      <c r="N26" s="458">
        <f t="shared" si="14"/>
        <v>0</v>
      </c>
      <c r="O26" s="458">
        <f t="shared" si="15"/>
        <v>0</v>
      </c>
      <c r="P26" s="459">
        <f t="shared" si="16"/>
        <v>0</v>
      </c>
      <c r="Q26" s="457">
        <f t="shared" ca="1" si="17"/>
        <v>43134.431899775445</v>
      </c>
    </row>
    <row r="27" spans="1:17" s="463" customFormat="1">
      <c r="A27" s="461" t="s">
        <v>575</v>
      </c>
      <c r="B27" s="771">
        <f t="shared" ca="1" si="2"/>
        <v>5.6872165830511054</v>
      </c>
      <c r="C27" s="462">
        <f t="shared" ca="1" si="3"/>
        <v>0</v>
      </c>
      <c r="D27" s="462">
        <f t="shared" si="4"/>
        <v>9.3635624676852274</v>
      </c>
      <c r="E27" s="462">
        <f t="shared" si="5"/>
        <v>399.39136711925619</v>
      </c>
      <c r="F27" s="462">
        <f t="shared" si="6"/>
        <v>0</v>
      </c>
      <c r="G27" s="462">
        <f t="shared" si="7"/>
        <v>122757.7668098244</v>
      </c>
      <c r="H27" s="462">
        <f t="shared" si="8"/>
        <v>21361.867612619233</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144534.07656861364</v>
      </c>
    </row>
    <row r="28" spans="1:17">
      <c r="A28" s="457" t="s">
        <v>565</v>
      </c>
      <c r="B28" s="458">
        <f t="shared" ca="1" si="2"/>
        <v>0</v>
      </c>
      <c r="C28" s="458">
        <f t="shared" ca="1" si="3"/>
        <v>0</v>
      </c>
      <c r="D28" s="458">
        <f t="shared" si="4"/>
        <v>0</v>
      </c>
      <c r="E28" s="458">
        <f t="shared" si="5"/>
        <v>0</v>
      </c>
      <c r="F28" s="458">
        <f t="shared" si="6"/>
        <v>0</v>
      </c>
      <c r="G28" s="458">
        <f t="shared" si="7"/>
        <v>4789.7410090841377</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4789.7410090841377</v>
      </c>
    </row>
    <row r="29" spans="1:17">
      <c r="A29" s="457" t="s">
        <v>566</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567</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568</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864</v>
      </c>
      <c r="B32" s="458">
        <f t="shared" ca="1" si="2"/>
        <v>1537.6942440941029</v>
      </c>
      <c r="C32" s="458">
        <f t="shared" ca="1" si="3"/>
        <v>0</v>
      </c>
      <c r="D32" s="458">
        <f t="shared" si="4"/>
        <v>21094.813136000001</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22632.507380094103</v>
      </c>
    </row>
    <row r="33" spans="1:17" s="470" customFormat="1">
      <c r="A33" s="467" t="s">
        <v>569</v>
      </c>
      <c r="B33" s="468">
        <f ca="1">SUM(B22:B32)</f>
        <v>83398.10786003113</v>
      </c>
      <c r="C33" s="468">
        <f t="shared" ref="C33:Q33" ca="1" si="18">SUM(C22:C32)</f>
        <v>755.76857142857159</v>
      </c>
      <c r="D33" s="468">
        <f t="shared" ca="1" si="18"/>
        <v>132285.85502043914</v>
      </c>
      <c r="E33" s="468">
        <f t="shared" si="18"/>
        <v>5991.3536049340937</v>
      </c>
      <c r="F33" s="468">
        <f t="shared" ca="1" si="18"/>
        <v>47645.48599348656</v>
      </c>
      <c r="G33" s="468">
        <f t="shared" si="18"/>
        <v>127547.50781890855</v>
      </c>
      <c r="H33" s="468">
        <f t="shared" si="18"/>
        <v>21361.867612619233</v>
      </c>
      <c r="I33" s="468">
        <f t="shared" si="18"/>
        <v>0</v>
      </c>
      <c r="J33" s="468">
        <f t="shared" si="18"/>
        <v>122.03855174564161</v>
      </c>
      <c r="K33" s="468">
        <f t="shared" si="18"/>
        <v>0</v>
      </c>
      <c r="L33" s="468">
        <f t="shared" ca="1" si="18"/>
        <v>0</v>
      </c>
      <c r="M33" s="468">
        <f t="shared" si="18"/>
        <v>0</v>
      </c>
      <c r="N33" s="468">
        <f t="shared" ca="1" si="18"/>
        <v>0</v>
      </c>
      <c r="O33" s="468">
        <f t="shared" si="18"/>
        <v>0</v>
      </c>
      <c r="P33" s="468">
        <f t="shared" si="18"/>
        <v>0</v>
      </c>
      <c r="Q33" s="468">
        <f t="shared" ca="1" si="18"/>
        <v>419107.98503359291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564</v>
      </c>
      <c r="B1" s="1179" t="s">
        <v>819</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820</v>
      </c>
      <c r="C4" s="935" t="s">
        <v>821</v>
      </c>
      <c r="D4" s="936" t="s">
        <v>822</v>
      </c>
      <c r="E4" s="937" t="s">
        <v>823</v>
      </c>
      <c r="F4" s="937" t="s">
        <v>824</v>
      </c>
      <c r="G4" s="938" t="s">
        <v>827</v>
      </c>
      <c r="H4" s="938" t="s">
        <v>827</v>
      </c>
      <c r="I4" s="938" t="s">
        <v>827</v>
      </c>
      <c r="J4" s="937" t="s">
        <v>826</v>
      </c>
      <c r="K4" s="938" t="s">
        <v>827</v>
      </c>
      <c r="L4" s="938" t="s">
        <v>827</v>
      </c>
      <c r="M4" s="938" t="s">
        <v>827</v>
      </c>
      <c r="N4" s="937" t="s">
        <v>828</v>
      </c>
      <c r="O4" s="939" t="s">
        <v>829</v>
      </c>
      <c r="P4" s="940" t="s">
        <v>830</v>
      </c>
      <c r="Q4" s="941"/>
    </row>
    <row r="5" spans="1:17" ht="124.35" customHeight="1">
      <c r="A5" s="942" t="s">
        <v>155</v>
      </c>
      <c r="B5" s="943" t="s">
        <v>831</v>
      </c>
      <c r="C5" s="944" t="s">
        <v>832</v>
      </c>
      <c r="D5" s="944" t="s">
        <v>833</v>
      </c>
      <c r="E5" s="945" t="s">
        <v>834</v>
      </c>
      <c r="F5" s="945" t="s">
        <v>835</v>
      </c>
      <c r="G5" s="946" t="s">
        <v>827</v>
      </c>
      <c r="H5" s="946" t="s">
        <v>827</v>
      </c>
      <c r="I5" s="946" t="s">
        <v>827</v>
      </c>
      <c r="J5" s="945" t="s">
        <v>836</v>
      </c>
      <c r="K5" s="943" t="s">
        <v>837</v>
      </c>
      <c r="L5" s="946" t="s">
        <v>827</v>
      </c>
      <c r="M5" s="946" t="s">
        <v>827</v>
      </c>
      <c r="N5" s="945" t="s">
        <v>838</v>
      </c>
      <c r="O5" s="947" t="s">
        <v>829</v>
      </c>
      <c r="P5" s="948" t="s">
        <v>830</v>
      </c>
      <c r="Q5" s="949"/>
    </row>
    <row r="6" spans="1:17" ht="124.35" customHeight="1">
      <c r="A6" s="942" t="s">
        <v>193</v>
      </c>
      <c r="B6" s="950" t="s">
        <v>839</v>
      </c>
      <c r="C6" s="951" t="s">
        <v>825</v>
      </c>
      <c r="D6" s="946" t="s">
        <v>825</v>
      </c>
      <c r="E6" s="946" t="s">
        <v>825</v>
      </c>
      <c r="F6" s="946" t="s">
        <v>825</v>
      </c>
      <c r="G6" s="946" t="s">
        <v>825</v>
      </c>
      <c r="H6" s="946" t="s">
        <v>825</v>
      </c>
      <c r="I6" s="946" t="s">
        <v>825</v>
      </c>
      <c r="J6" s="946" t="s">
        <v>825</v>
      </c>
      <c r="K6" s="946" t="s">
        <v>825</v>
      </c>
      <c r="L6" s="946" t="s">
        <v>825</v>
      </c>
      <c r="M6" s="946" t="s">
        <v>825</v>
      </c>
      <c r="N6" s="946" t="s">
        <v>825</v>
      </c>
      <c r="O6" s="952" t="s">
        <v>825</v>
      </c>
      <c r="P6" s="953" t="s">
        <v>825</v>
      </c>
      <c r="Q6" s="954"/>
    </row>
    <row r="7" spans="1:17" ht="124.35" customHeight="1">
      <c r="A7" s="942" t="s">
        <v>111</v>
      </c>
      <c r="B7" s="950" t="s">
        <v>839</v>
      </c>
      <c r="C7" s="944" t="s">
        <v>832</v>
      </c>
      <c r="D7" s="944" t="s">
        <v>833</v>
      </c>
      <c r="E7" s="945" t="s">
        <v>834</v>
      </c>
      <c r="F7" s="945" t="s">
        <v>835</v>
      </c>
      <c r="G7" s="946" t="s">
        <v>827</v>
      </c>
      <c r="H7" s="946" t="s">
        <v>827</v>
      </c>
      <c r="I7" s="946" t="s">
        <v>827</v>
      </c>
      <c r="J7" s="945" t="s">
        <v>836</v>
      </c>
      <c r="K7" s="946" t="s">
        <v>827</v>
      </c>
      <c r="L7" s="946" t="s">
        <v>827</v>
      </c>
      <c r="M7" s="946" t="s">
        <v>827</v>
      </c>
      <c r="N7" s="955" t="s">
        <v>827</v>
      </c>
      <c r="O7" s="951" t="s">
        <v>827</v>
      </c>
      <c r="P7" s="956" t="s">
        <v>827</v>
      </c>
      <c r="Q7" s="949"/>
    </row>
    <row r="8" spans="1:17" ht="124.35" customHeight="1">
      <c r="A8" s="942" t="s">
        <v>657</v>
      </c>
      <c r="B8" s="943" t="s">
        <v>840</v>
      </c>
      <c r="C8" s="944" t="s">
        <v>832</v>
      </c>
      <c r="D8" s="944" t="s">
        <v>833</v>
      </c>
      <c r="E8" s="945" t="s">
        <v>834</v>
      </c>
      <c r="F8" s="945" t="s">
        <v>835</v>
      </c>
      <c r="G8" s="946" t="s">
        <v>827</v>
      </c>
      <c r="H8" s="946" t="s">
        <v>827</v>
      </c>
      <c r="I8" s="946" t="s">
        <v>827</v>
      </c>
      <c r="J8" s="945" t="s">
        <v>836</v>
      </c>
      <c r="K8" s="943" t="s">
        <v>837</v>
      </c>
      <c r="L8" s="946" t="s">
        <v>827</v>
      </c>
      <c r="M8" s="946" t="s">
        <v>827</v>
      </c>
      <c r="N8" s="945" t="s">
        <v>838</v>
      </c>
      <c r="O8" s="947" t="s">
        <v>829</v>
      </c>
      <c r="P8" s="948" t="s">
        <v>830</v>
      </c>
      <c r="Q8" s="949"/>
    </row>
    <row r="9" spans="1:17" s="463" customFormat="1" ht="124.35" customHeight="1">
      <c r="A9" s="957" t="s">
        <v>575</v>
      </c>
      <c r="B9" s="945" t="s">
        <v>841</v>
      </c>
      <c r="C9" s="952" t="s">
        <v>825</v>
      </c>
      <c r="D9" s="945" t="s">
        <v>842</v>
      </c>
      <c r="E9" s="945" t="s">
        <v>843</v>
      </c>
      <c r="F9" s="946" t="s">
        <v>825</v>
      </c>
      <c r="G9" s="945" t="s">
        <v>844</v>
      </c>
      <c r="H9" s="945" t="s">
        <v>845</v>
      </c>
      <c r="I9" s="946" t="s">
        <v>825</v>
      </c>
      <c r="J9" s="946" t="s">
        <v>825</v>
      </c>
      <c r="K9" s="946" t="s">
        <v>825</v>
      </c>
      <c r="L9" s="946" t="s">
        <v>825</v>
      </c>
      <c r="M9" s="945" t="s">
        <v>841</v>
      </c>
      <c r="N9" s="946" t="s">
        <v>825</v>
      </c>
      <c r="O9" s="946" t="s">
        <v>825</v>
      </c>
      <c r="P9" s="958" t="s">
        <v>825</v>
      </c>
      <c r="Q9" s="959"/>
    </row>
    <row r="10" spans="1:17" ht="124.35" customHeight="1">
      <c r="A10" s="942" t="s">
        <v>565</v>
      </c>
      <c r="B10" s="943" t="s">
        <v>853</v>
      </c>
      <c r="C10" s="952" t="s">
        <v>825</v>
      </c>
      <c r="D10" s="952" t="s">
        <v>825</v>
      </c>
      <c r="E10" s="952" t="s">
        <v>825</v>
      </c>
      <c r="F10" s="946" t="s">
        <v>825</v>
      </c>
      <c r="G10" s="943" t="s">
        <v>846</v>
      </c>
      <c r="H10" s="946" t="s">
        <v>825</v>
      </c>
      <c r="I10" s="946" t="s">
        <v>825</v>
      </c>
      <c r="J10" s="946" t="s">
        <v>825</v>
      </c>
      <c r="K10" s="946" t="s">
        <v>825</v>
      </c>
      <c r="L10" s="946" t="s">
        <v>825</v>
      </c>
      <c r="M10" s="943" t="s">
        <v>847</v>
      </c>
      <c r="N10" s="946" t="s">
        <v>825</v>
      </c>
      <c r="O10" s="946" t="s">
        <v>825</v>
      </c>
      <c r="P10" s="958" t="s">
        <v>825</v>
      </c>
      <c r="Q10" s="949"/>
    </row>
    <row r="11" spans="1:17" ht="21">
      <c r="A11" s="942" t="s">
        <v>566</v>
      </c>
      <c r="B11" s="960" t="s">
        <v>848</v>
      </c>
      <c r="C11" s="960" t="s">
        <v>848</v>
      </c>
      <c r="D11" s="960" t="s">
        <v>848</v>
      </c>
      <c r="E11" s="960" t="s">
        <v>848</v>
      </c>
      <c r="F11" s="960" t="s">
        <v>848</v>
      </c>
      <c r="G11" s="960" t="s">
        <v>848</v>
      </c>
      <c r="H11" s="960" t="s">
        <v>848</v>
      </c>
      <c r="I11" s="960" t="s">
        <v>848</v>
      </c>
      <c r="J11" s="960" t="s">
        <v>848</v>
      </c>
      <c r="K11" s="960" t="s">
        <v>848</v>
      </c>
      <c r="L11" s="960" t="s">
        <v>848</v>
      </c>
      <c r="M11" s="960" t="s">
        <v>848</v>
      </c>
      <c r="N11" s="960" t="s">
        <v>848</v>
      </c>
      <c r="O11" s="960" t="s">
        <v>848</v>
      </c>
      <c r="P11" s="974" t="s">
        <v>848</v>
      </c>
      <c r="Q11" s="975"/>
    </row>
    <row r="12" spans="1:17" ht="21">
      <c r="A12" s="942" t="s">
        <v>567</v>
      </c>
      <c r="B12" s="960" t="s">
        <v>848</v>
      </c>
      <c r="C12" s="960" t="s">
        <v>825</v>
      </c>
      <c r="D12" s="960" t="s">
        <v>825</v>
      </c>
      <c r="E12" s="960" t="s">
        <v>825</v>
      </c>
      <c r="F12" s="960" t="s">
        <v>825</v>
      </c>
      <c r="G12" s="960" t="s">
        <v>825</v>
      </c>
      <c r="H12" s="960" t="s">
        <v>825</v>
      </c>
      <c r="I12" s="960" t="s">
        <v>825</v>
      </c>
      <c r="J12" s="960" t="s">
        <v>825</v>
      </c>
      <c r="K12" s="960" t="s">
        <v>825</v>
      </c>
      <c r="L12" s="960" t="s">
        <v>825</v>
      </c>
      <c r="M12" s="960" t="s">
        <v>825</v>
      </c>
      <c r="N12" s="960" t="s">
        <v>825</v>
      </c>
      <c r="O12" s="960" t="s">
        <v>825</v>
      </c>
      <c r="P12" s="961" t="s">
        <v>825</v>
      </c>
      <c r="Q12" s="459"/>
    </row>
    <row r="13" spans="1:17" ht="21">
      <c r="A13" s="942" t="s">
        <v>568</v>
      </c>
      <c r="B13" s="960" t="s">
        <v>848</v>
      </c>
      <c r="C13" s="960" t="s">
        <v>825</v>
      </c>
      <c r="D13" s="960" t="s">
        <v>848</v>
      </c>
      <c r="E13" s="960" t="s">
        <v>848</v>
      </c>
      <c r="F13" s="960" t="s">
        <v>825</v>
      </c>
      <c r="G13" s="960" t="s">
        <v>848</v>
      </c>
      <c r="H13" s="960" t="s">
        <v>848</v>
      </c>
      <c r="I13" s="960" t="s">
        <v>825</v>
      </c>
      <c r="J13" s="960" t="s">
        <v>825</v>
      </c>
      <c r="K13" s="960" t="s">
        <v>825</v>
      </c>
      <c r="L13" s="960" t="s">
        <v>825</v>
      </c>
      <c r="M13" s="960" t="s">
        <v>848</v>
      </c>
      <c r="N13" s="960" t="s">
        <v>825</v>
      </c>
      <c r="O13" s="960" t="s">
        <v>825</v>
      </c>
      <c r="P13" s="961" t="s">
        <v>825</v>
      </c>
      <c r="Q13" s="459"/>
    </row>
    <row r="14" spans="1:17" ht="30">
      <c r="A14" s="962" t="s">
        <v>864</v>
      </c>
      <c r="B14" s="950" t="s">
        <v>839</v>
      </c>
      <c r="C14" s="960" t="s">
        <v>825</v>
      </c>
      <c r="D14" s="950" t="s">
        <v>839</v>
      </c>
      <c r="E14" s="960" t="s">
        <v>825</v>
      </c>
      <c r="F14" s="960" t="s">
        <v>825</v>
      </c>
      <c r="G14" s="960" t="s">
        <v>825</v>
      </c>
      <c r="H14" s="960" t="s">
        <v>825</v>
      </c>
      <c r="I14" s="960" t="s">
        <v>825</v>
      </c>
      <c r="J14" s="960" t="s">
        <v>825</v>
      </c>
      <c r="K14" s="960" t="s">
        <v>825</v>
      </c>
      <c r="L14" s="960" t="s">
        <v>825</v>
      </c>
      <c r="M14" s="960" t="s">
        <v>825</v>
      </c>
      <c r="N14" s="960" t="s">
        <v>825</v>
      </c>
      <c r="O14" s="960" t="s">
        <v>825</v>
      </c>
      <c r="P14" s="974" t="s">
        <v>825</v>
      </c>
      <c r="Q14" s="1031"/>
    </row>
    <row r="15" spans="1:17" s="470" customFormat="1" ht="21">
      <c r="A15" s="963" t="s">
        <v>569</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849</v>
      </c>
      <c r="B18" s="971" t="s">
        <v>850</v>
      </c>
      <c r="C18" s="972" t="s">
        <v>851</v>
      </c>
      <c r="D18" s="973" t="s">
        <v>852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867</v>
      </c>
    </row>
    <row r="2" spans="1:16" ht="60">
      <c r="A2" s="1187"/>
      <c r="B2" s="1188"/>
      <c r="C2" s="1188"/>
      <c r="D2" s="1189" t="s">
        <v>196</v>
      </c>
      <c r="E2" s="1189"/>
      <c r="F2" s="1189"/>
      <c r="G2" s="1189"/>
      <c r="H2" s="1189"/>
      <c r="I2" s="1032" t="s">
        <v>868</v>
      </c>
      <c r="J2" s="1032" t="s">
        <v>233</v>
      </c>
      <c r="K2" s="1032" t="s">
        <v>869</v>
      </c>
      <c r="L2" s="1032" t="s">
        <v>861</v>
      </c>
      <c r="M2" s="1032" t="s">
        <v>244</v>
      </c>
      <c r="N2" s="1032" t="s">
        <v>870</v>
      </c>
      <c r="O2" s="1032" t="s">
        <v>126</v>
      </c>
      <c r="P2" s="1188"/>
    </row>
    <row r="3" spans="1:16" ht="30">
      <c r="A3" s="1187"/>
      <c r="B3" s="1032" t="s">
        <v>871</v>
      </c>
      <c r="C3" s="1032" t="s">
        <v>872</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15825.32915</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22393.095567563796</v>
      </c>
      <c r="C6" s="1034"/>
      <c r="D6" s="1034"/>
      <c r="E6" s="1034"/>
      <c r="F6" s="1034"/>
      <c r="G6" s="1034"/>
      <c r="H6" s="1034"/>
      <c r="I6" s="1034"/>
      <c r="J6" s="1034"/>
      <c r="K6" s="1034"/>
      <c r="L6" s="1034"/>
      <c r="M6" s="1034"/>
      <c r="N6" s="1034"/>
      <c r="O6" s="1034"/>
      <c r="P6" s="1035">
        <f>'SEAP template'!Q74</f>
        <v>0</v>
      </c>
    </row>
    <row r="7" spans="1:16">
      <c r="A7" s="1036" t="s">
        <v>861</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2226.15</v>
      </c>
      <c r="D8" s="1034">
        <f>'SEAP template'!D76</f>
        <v>2619.0000000000005</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529.03800000000012</v>
      </c>
    </row>
    <row r="9" spans="1:16">
      <c r="A9" s="1037" t="s">
        <v>873</v>
      </c>
      <c r="B9" s="1034">
        <f>'SEAP template'!B77</f>
        <v>1237.5</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3535.7142857142858</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39455.924717563794</v>
      </c>
      <c r="C10" s="1038">
        <f>SUM(C4:C9)</f>
        <v>2226.15</v>
      </c>
      <c r="D10" s="1038">
        <f t="shared" ref="D10:H10" si="0">SUM(D8:D9)</f>
        <v>2619.0000000000005</v>
      </c>
      <c r="E10" s="1038">
        <f t="shared" si="0"/>
        <v>0</v>
      </c>
      <c r="F10" s="1038">
        <f t="shared" si="0"/>
        <v>0</v>
      </c>
      <c r="G10" s="1038">
        <f t="shared" si="0"/>
        <v>0</v>
      </c>
      <c r="H10" s="1038">
        <f t="shared" si="0"/>
        <v>0</v>
      </c>
      <c r="I10" s="1038">
        <f>SUM(I8:I9)</f>
        <v>0</v>
      </c>
      <c r="J10" s="1038">
        <f>SUM(J8:J9)</f>
        <v>3535.7142857142858</v>
      </c>
      <c r="K10" s="1038">
        <f t="shared" ref="K10:L10" si="1">SUM(K8:K9)</f>
        <v>0</v>
      </c>
      <c r="L10" s="1038">
        <f t="shared" si="1"/>
        <v>0</v>
      </c>
      <c r="M10" s="1038">
        <f>SUM(M8:M9)</f>
        <v>0</v>
      </c>
      <c r="N10" s="1038">
        <f>SUM(N8:N9)</f>
        <v>0</v>
      </c>
      <c r="O10" s="1038">
        <f>SUM(O8:O9)</f>
        <v>0</v>
      </c>
      <c r="P10" s="1038">
        <f>SUM(P8:P9)</f>
        <v>529.03800000000012</v>
      </c>
    </row>
    <row r="11" spans="1:16">
      <c r="A11" s="888"/>
      <c r="B11" s="888"/>
      <c r="C11" s="888"/>
      <c r="D11" s="888"/>
      <c r="E11" s="888"/>
      <c r="F11" s="888"/>
      <c r="G11" s="888"/>
      <c r="H11" s="888"/>
      <c r="I11" s="888"/>
      <c r="J11" s="888"/>
      <c r="K11" s="888"/>
      <c r="L11" s="888"/>
      <c r="M11" s="888"/>
      <c r="N11" s="888"/>
      <c r="O11" s="888"/>
      <c r="P11" s="888"/>
    </row>
    <row r="12" spans="1:16">
      <c r="A12" s="471" t="s">
        <v>874</v>
      </c>
      <c r="B12" s="777" t="s">
        <v>875</v>
      </c>
      <c r="C12" s="777">
        <f ca="1">'EF ele_warmte'!B12</f>
        <v>0.20016094735489684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876</v>
      </c>
    </row>
    <row r="15" spans="1:16">
      <c r="A15" s="1187"/>
      <c r="B15" s="1188"/>
      <c r="C15" s="1188"/>
      <c r="D15" s="1190" t="s">
        <v>196</v>
      </c>
      <c r="E15" s="1190"/>
      <c r="F15" s="1190"/>
      <c r="G15" s="1190"/>
      <c r="H15" s="1190"/>
      <c r="I15" s="1188" t="s">
        <v>868</v>
      </c>
      <c r="J15" s="1188" t="s">
        <v>233</v>
      </c>
      <c r="K15" s="1188" t="s">
        <v>869</v>
      </c>
      <c r="L15" s="1188" t="s">
        <v>861</v>
      </c>
      <c r="M15" s="1188" t="s">
        <v>244</v>
      </c>
      <c r="N15" s="1188" t="s">
        <v>877</v>
      </c>
      <c r="O15" s="1188" t="s">
        <v>126</v>
      </c>
      <c r="P15" s="1188"/>
    </row>
    <row r="16" spans="1:16" ht="30">
      <c r="A16" s="1187"/>
      <c r="B16" s="1032" t="s">
        <v>878</v>
      </c>
      <c r="C16" s="1032" t="s">
        <v>879</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3180.2142857142858</v>
      </c>
      <c r="D17" s="1035">
        <f>'SEAP template'!D87</f>
        <v>3741.428571428572</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755.76857142857159</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880</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3180.2142857142858</v>
      </c>
      <c r="D20" s="1038">
        <f t="shared" ref="D20:H20" si="2">SUM(D17:D19)</f>
        <v>3741.428571428572</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755.76857142857159</v>
      </c>
    </row>
    <row r="22" spans="1:16">
      <c r="A22" s="471" t="s">
        <v>881</v>
      </c>
      <c r="B22" s="777" t="s">
        <v>875</v>
      </c>
      <c r="C22" s="777">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867</v>
      </c>
    </row>
    <row r="2" spans="1:16" ht="15.75">
      <c r="A2" s="1187"/>
      <c r="B2" s="1188"/>
      <c r="C2" s="1188"/>
      <c r="D2" s="1189" t="s">
        <v>196</v>
      </c>
      <c r="E2" s="1189"/>
      <c r="F2" s="1189"/>
      <c r="G2" s="1189"/>
      <c r="H2" s="1189"/>
      <c r="I2" s="1032" t="s">
        <v>868</v>
      </c>
      <c r="J2" s="1032" t="s">
        <v>233</v>
      </c>
      <c r="K2" s="1032" t="s">
        <v>869</v>
      </c>
      <c r="L2" s="1032" t="s">
        <v>861</v>
      </c>
      <c r="M2" s="1032" t="s">
        <v>244</v>
      </c>
      <c r="N2" s="1032" t="s">
        <v>870</v>
      </c>
      <c r="O2" s="1032" t="s">
        <v>126</v>
      </c>
      <c r="P2" s="1188"/>
    </row>
    <row r="3" spans="1:16" ht="30">
      <c r="A3" s="1187"/>
      <c r="B3" s="1032" t="s">
        <v>871</v>
      </c>
      <c r="C3" s="1032" t="s">
        <v>872</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882</v>
      </c>
      <c r="C4" s="1045" t="s">
        <v>825</v>
      </c>
      <c r="D4" s="1045" t="s">
        <v>825</v>
      </c>
      <c r="E4" s="1045" t="s">
        <v>825</v>
      </c>
      <c r="F4" s="1045" t="s">
        <v>825</v>
      </c>
      <c r="G4" s="1045" t="s">
        <v>825</v>
      </c>
      <c r="H4" s="1045" t="s">
        <v>825</v>
      </c>
      <c r="I4" s="1045" t="s">
        <v>825</v>
      </c>
      <c r="J4" s="1045" t="s">
        <v>825</v>
      </c>
      <c r="K4" s="1045" t="s">
        <v>825</v>
      </c>
      <c r="L4" s="1045" t="s">
        <v>825</v>
      </c>
      <c r="M4" s="1045" t="s">
        <v>825</v>
      </c>
      <c r="N4" s="1045" t="s">
        <v>825</v>
      </c>
      <c r="O4" s="1045" t="s">
        <v>825</v>
      </c>
      <c r="P4" s="1046" t="s">
        <v>883</v>
      </c>
    </row>
    <row r="5" spans="1:16" ht="135">
      <c r="A5" s="1047" t="s">
        <v>249</v>
      </c>
      <c r="B5" s="1044" t="s">
        <v>882</v>
      </c>
      <c r="C5" s="1045" t="s">
        <v>825</v>
      </c>
      <c r="D5" s="1045" t="s">
        <v>825</v>
      </c>
      <c r="E5" s="1045" t="s">
        <v>825</v>
      </c>
      <c r="F5" s="1045" t="s">
        <v>825</v>
      </c>
      <c r="G5" s="1045" t="s">
        <v>825</v>
      </c>
      <c r="H5" s="1045" t="s">
        <v>825</v>
      </c>
      <c r="I5" s="1045" t="s">
        <v>825</v>
      </c>
      <c r="J5" s="1045" t="s">
        <v>825</v>
      </c>
      <c r="K5" s="1045" t="s">
        <v>825</v>
      </c>
      <c r="L5" s="1045" t="s">
        <v>825</v>
      </c>
      <c r="M5" s="1045" t="s">
        <v>825</v>
      </c>
      <c r="N5" s="1045" t="s">
        <v>825</v>
      </c>
      <c r="O5" s="1045" t="s">
        <v>825</v>
      </c>
      <c r="P5" s="1046" t="s">
        <v>883</v>
      </c>
    </row>
    <row r="6" spans="1:16" ht="135">
      <c r="A6" s="1047" t="s">
        <v>250</v>
      </c>
      <c r="B6" s="1044" t="s">
        <v>882</v>
      </c>
      <c r="C6" s="1045" t="s">
        <v>825</v>
      </c>
      <c r="D6" s="1045" t="s">
        <v>825</v>
      </c>
      <c r="E6" s="1045" t="s">
        <v>825</v>
      </c>
      <c r="F6" s="1045" t="s">
        <v>825</v>
      </c>
      <c r="G6" s="1045" t="s">
        <v>825</v>
      </c>
      <c r="H6" s="1045" t="s">
        <v>825</v>
      </c>
      <c r="I6" s="1045" t="s">
        <v>825</v>
      </c>
      <c r="J6" s="1045" t="s">
        <v>825</v>
      </c>
      <c r="K6" s="1045" t="s">
        <v>825</v>
      </c>
      <c r="L6" s="1045" t="s">
        <v>825</v>
      </c>
      <c r="M6" s="1045" t="s">
        <v>825</v>
      </c>
      <c r="N6" s="1045" t="s">
        <v>825</v>
      </c>
      <c r="O6" s="1045" t="s">
        <v>825</v>
      </c>
      <c r="P6" s="1046" t="s">
        <v>883</v>
      </c>
    </row>
    <row r="7" spans="1:16" ht="135">
      <c r="A7" s="1047" t="s">
        <v>861</v>
      </c>
      <c r="B7" s="1045" t="s">
        <v>825</v>
      </c>
      <c r="C7" s="1045" t="s">
        <v>825</v>
      </c>
      <c r="D7" s="1045" t="s">
        <v>825</v>
      </c>
      <c r="E7" s="1045" t="s">
        <v>825</v>
      </c>
      <c r="F7" s="1045" t="s">
        <v>825</v>
      </c>
      <c r="G7" s="1045" t="s">
        <v>825</v>
      </c>
      <c r="H7" s="1045" t="s">
        <v>825</v>
      </c>
      <c r="I7" s="1045" t="s">
        <v>825</v>
      </c>
      <c r="J7" s="1045" t="s">
        <v>825</v>
      </c>
      <c r="K7" s="1045" t="s">
        <v>825</v>
      </c>
      <c r="L7" s="1045" t="s">
        <v>825</v>
      </c>
      <c r="M7" s="1045" t="s">
        <v>825</v>
      </c>
      <c r="N7" s="1045" t="s">
        <v>825</v>
      </c>
      <c r="O7" s="1045" t="s">
        <v>825</v>
      </c>
      <c r="P7" s="1046" t="s">
        <v>883</v>
      </c>
    </row>
    <row r="8" spans="1:16" ht="210">
      <c r="A8" s="1043" t="s">
        <v>251</v>
      </c>
      <c r="B8" s="1044" t="s">
        <v>884</v>
      </c>
      <c r="C8" s="1044" t="s">
        <v>884</v>
      </c>
      <c r="D8" s="1044" t="s">
        <v>884</v>
      </c>
      <c r="E8" s="1044" t="s">
        <v>884</v>
      </c>
      <c r="F8" s="1044" t="s">
        <v>884</v>
      </c>
      <c r="G8" s="1044" t="s">
        <v>884</v>
      </c>
      <c r="H8" s="1044" t="s">
        <v>884</v>
      </c>
      <c r="I8" s="1044" t="s">
        <v>884</v>
      </c>
      <c r="J8" s="1044" t="s">
        <v>884</v>
      </c>
      <c r="K8" s="1045" t="s">
        <v>825</v>
      </c>
      <c r="L8" s="1045" t="s">
        <v>825</v>
      </c>
      <c r="M8" s="1045" t="s">
        <v>825</v>
      </c>
      <c r="N8" s="1044" t="s">
        <v>885</v>
      </c>
      <c r="O8" s="1044" t="s">
        <v>885</v>
      </c>
      <c r="P8" s="1048"/>
    </row>
    <row r="9" spans="1:16" ht="210">
      <c r="A9" s="1049" t="s">
        <v>873</v>
      </c>
      <c r="B9" s="1044" t="s">
        <v>885</v>
      </c>
      <c r="C9" s="1044" t="s">
        <v>885</v>
      </c>
      <c r="D9" s="1044" t="s">
        <v>885</v>
      </c>
      <c r="E9" s="1044" t="s">
        <v>885</v>
      </c>
      <c r="F9" s="1044" t="s">
        <v>885</v>
      </c>
      <c r="G9" s="1044" t="s">
        <v>885</v>
      </c>
      <c r="H9" s="1044" t="s">
        <v>885</v>
      </c>
      <c r="I9" s="1044" t="s">
        <v>885</v>
      </c>
      <c r="J9" s="1044" t="s">
        <v>885</v>
      </c>
      <c r="K9" s="1045" t="s">
        <v>825</v>
      </c>
      <c r="L9" s="1044" t="s">
        <v>885</v>
      </c>
      <c r="M9" s="1044" t="s">
        <v>885</v>
      </c>
      <c r="N9" s="1044" t="s">
        <v>885</v>
      </c>
      <c r="O9" s="1044" t="s">
        <v>885</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874</v>
      </c>
      <c r="B12" s="777" t="s">
        <v>875</v>
      </c>
      <c r="C12" s="1051" t="s">
        <v>886</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876</v>
      </c>
    </row>
    <row r="15" spans="1:16">
      <c r="A15" s="1187"/>
      <c r="B15" s="1188"/>
      <c r="C15" s="1188"/>
      <c r="D15" s="1190" t="s">
        <v>196</v>
      </c>
      <c r="E15" s="1190"/>
      <c r="F15" s="1190"/>
      <c r="G15" s="1190"/>
      <c r="H15" s="1190"/>
      <c r="I15" s="1188" t="s">
        <v>868</v>
      </c>
      <c r="J15" s="1188" t="s">
        <v>233</v>
      </c>
      <c r="K15" s="1188" t="s">
        <v>869</v>
      </c>
      <c r="L15" s="1188" t="s">
        <v>861</v>
      </c>
      <c r="M15" s="1188" t="s">
        <v>244</v>
      </c>
      <c r="N15" s="1188" t="s">
        <v>877</v>
      </c>
      <c r="O15" s="1188" t="s">
        <v>126</v>
      </c>
      <c r="P15" s="1188"/>
    </row>
    <row r="16" spans="1:16" ht="30">
      <c r="A16" s="1187"/>
      <c r="B16" s="1032" t="s">
        <v>878</v>
      </c>
      <c r="C16" s="1032" t="s">
        <v>879</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885</v>
      </c>
      <c r="C17" s="1044" t="s">
        <v>885</v>
      </c>
      <c r="D17" s="1044" t="s">
        <v>885</v>
      </c>
      <c r="E17" s="1044" t="s">
        <v>885</v>
      </c>
      <c r="F17" s="1044" t="s">
        <v>885</v>
      </c>
      <c r="G17" s="1044" t="s">
        <v>885</v>
      </c>
      <c r="H17" s="1044" t="s">
        <v>885</v>
      </c>
      <c r="I17" s="1044" t="s">
        <v>885</v>
      </c>
      <c r="J17" s="1044" t="s">
        <v>885</v>
      </c>
      <c r="K17" s="1045" t="s">
        <v>825</v>
      </c>
      <c r="L17" s="1045" t="s">
        <v>825</v>
      </c>
      <c r="M17" s="1045" t="s">
        <v>825</v>
      </c>
      <c r="N17" s="1044" t="s">
        <v>885</v>
      </c>
      <c r="O17" s="1044" t="s">
        <v>885</v>
      </c>
      <c r="P17" s="1052"/>
    </row>
    <row r="18" spans="1:16" ht="45">
      <c r="A18" s="1041" t="s">
        <v>257</v>
      </c>
      <c r="B18" s="1046" t="s">
        <v>848</v>
      </c>
      <c r="C18" s="1046" t="s">
        <v>848</v>
      </c>
      <c r="D18" s="1046" t="s">
        <v>848</v>
      </c>
      <c r="E18" s="1046" t="s">
        <v>848</v>
      </c>
      <c r="F18" s="1046" t="s">
        <v>848</v>
      </c>
      <c r="G18" s="1046" t="s">
        <v>848</v>
      </c>
      <c r="H18" s="1046" t="s">
        <v>848</v>
      </c>
      <c r="I18" s="1046" t="s">
        <v>848</v>
      </c>
      <c r="J18" s="1046" t="s">
        <v>848</v>
      </c>
      <c r="K18" s="1046" t="s">
        <v>848</v>
      </c>
      <c r="L18" s="1046" t="s">
        <v>848</v>
      </c>
      <c r="M18" s="1046" t="s">
        <v>848</v>
      </c>
      <c r="N18" s="1046" t="s">
        <v>848</v>
      </c>
      <c r="O18" s="1046" t="s">
        <v>848</v>
      </c>
      <c r="P18" s="1046" t="s">
        <v>848</v>
      </c>
    </row>
    <row r="19" spans="1:16" ht="45">
      <c r="A19" s="1037" t="s">
        <v>880</v>
      </c>
      <c r="B19" s="1046" t="s">
        <v>848</v>
      </c>
      <c r="C19" s="1046" t="s">
        <v>848</v>
      </c>
      <c r="D19" s="1046" t="s">
        <v>848</v>
      </c>
      <c r="E19" s="1046" t="s">
        <v>848</v>
      </c>
      <c r="F19" s="1046" t="s">
        <v>848</v>
      </c>
      <c r="G19" s="1046" t="s">
        <v>848</v>
      </c>
      <c r="H19" s="1046" t="s">
        <v>848</v>
      </c>
      <c r="I19" s="1046" t="s">
        <v>848</v>
      </c>
      <c r="J19" s="1046" t="s">
        <v>848</v>
      </c>
      <c r="K19" s="1046" t="s">
        <v>848</v>
      </c>
      <c r="L19" s="1046" t="s">
        <v>848</v>
      </c>
      <c r="M19" s="1046" t="s">
        <v>848</v>
      </c>
      <c r="N19" s="1046" t="s">
        <v>848</v>
      </c>
      <c r="O19" s="1046" t="s">
        <v>848</v>
      </c>
      <c r="P19" s="1046" t="s">
        <v>848</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881</v>
      </c>
      <c r="B22" s="777" t="s">
        <v>875</v>
      </c>
      <c r="C22" s="1051" t="s">
        <v>887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592</v>
      </c>
      <c r="B6" s="75" t="s">
        <v>593</v>
      </c>
      <c r="C6" s="441" t="s">
        <v>576</v>
      </c>
    </row>
    <row r="7" spans="1:3">
      <c r="A7" s="125"/>
      <c r="B7" s="129"/>
      <c r="C7" s="122"/>
    </row>
    <row r="8" spans="1:3">
      <c r="A8" s="113" t="s">
        <v>595</v>
      </c>
      <c r="B8" s="75" t="s">
        <v>594</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629</v>
      </c>
    </row>
    <row r="13" spans="1:3">
      <c r="A13" s="141"/>
      <c r="B13" s="124"/>
      <c r="C13" s="302"/>
    </row>
    <row r="14" spans="1:3" s="11" customFormat="1">
      <c r="A14" s="113" t="s">
        <v>612</v>
      </c>
      <c r="B14" s="130" t="s">
        <v>613</v>
      </c>
      <c r="C14" s="131" t="s">
        <v>614</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624</v>
      </c>
      <c r="B4" s="474"/>
      <c r="C4" s="474"/>
      <c r="D4" s="474"/>
      <c r="E4" s="474"/>
      <c r="F4" s="474"/>
      <c r="G4" s="506"/>
      <c r="H4" s="506"/>
      <c r="I4" s="474"/>
      <c r="J4" s="474"/>
      <c r="K4" s="474"/>
      <c r="L4" s="474"/>
      <c r="M4" s="474"/>
      <c r="N4" s="474"/>
      <c r="O4" s="474"/>
      <c r="P4" s="474"/>
    </row>
    <row r="5" spans="1:16" outlineLevel="1">
      <c r="A5" s="681" t="s">
        <v>625</v>
      </c>
      <c r="B5" s="474"/>
      <c r="C5" s="474"/>
      <c r="D5" s="474"/>
      <c r="E5" s="474"/>
      <c r="F5" s="474"/>
      <c r="G5" s="506"/>
      <c r="H5" s="506"/>
      <c r="I5" s="474"/>
      <c r="J5" s="474"/>
      <c r="K5" s="474"/>
      <c r="L5" s="474"/>
      <c r="M5" s="474"/>
      <c r="N5" s="474"/>
      <c r="O5" s="474"/>
      <c r="P5" s="474"/>
    </row>
    <row r="6" spans="1:16" outlineLevel="1">
      <c r="A6" s="681" t="s">
        <v>626</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627</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628</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590</v>
      </c>
      <c r="B13" s="458"/>
      <c r="C13" s="478"/>
      <c r="D13" s="478"/>
      <c r="E13" s="478"/>
      <c r="F13" s="478"/>
      <c r="G13" s="478"/>
      <c r="H13" s="478"/>
      <c r="I13" s="478"/>
      <c r="J13" s="478"/>
      <c r="K13" s="478"/>
      <c r="L13" s="478"/>
      <c r="M13" s="478"/>
      <c r="N13" s="478"/>
      <c r="O13" s="778" t="s">
        <v>649</v>
      </c>
      <c r="P13" s="778" t="s">
        <v>648</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617</v>
      </c>
      <c r="B17" s="508">
        <f ca="1">'EF ele_warmte'!B12</f>
        <v>0.20016094735489684</v>
      </c>
      <c r="C17" s="508">
        <f ca="1">'EF ele_warmte'!B22</f>
        <v>0.23764705882352946</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679</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636</v>
      </c>
      <c r="B27" s="785">
        <f>B24*B25*B26</f>
        <v>0</v>
      </c>
      <c r="C27" s="499" t="s">
        <v>637</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636</v>
      </c>
      <c r="B35" s="784">
        <f>B31*B32*B33/1000-B31*B32*B33/1000/B34</f>
        <v>0</v>
      </c>
      <c r="C35" s="505" t="s">
        <v>637</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2020-06-20T16:23:01Z</dcterms:modified>
</cp:coreProperties>
</file>