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J9" i="18"/>
  <c r="H9" i="18"/>
  <c r="G9" i="18"/>
  <c r="F9" i="18"/>
  <c r="F10" i="18" s="1"/>
  <c r="D9" i="18"/>
  <c r="B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E9" i="18" s="1"/>
  <c r="R37" i="18"/>
  <c r="Q37" i="18"/>
  <c r="P37" i="18"/>
  <c r="C9" i="18" s="1"/>
  <c r="O37" i="18"/>
  <c r="N37" i="18"/>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C46" i="18" s="1"/>
  <c r="M30" i="18"/>
  <c r="G22" i="18"/>
  <c r="F22" i="18"/>
  <c r="E22" i="18"/>
  <c r="D22" i="18"/>
  <c r="C22" i="18"/>
  <c r="L20" i="18"/>
  <c r="D20" i="18"/>
  <c r="B17" i="18"/>
  <c r="G12" i="18"/>
  <c r="F12" i="18"/>
  <c r="E12" i="18"/>
  <c r="D12" i="18"/>
  <c r="C12" i="18"/>
  <c r="L10" i="18"/>
  <c r="K10" i="18"/>
  <c r="G10" i="18"/>
  <c r="D10" i="18"/>
  <c r="B8" i="18"/>
  <c r="B6" i="18"/>
  <c r="B5" i="18"/>
  <c r="B4" i="18"/>
  <c r="I49" i="18" l="1"/>
  <c r="H8" i="18" s="1"/>
  <c r="H10" i="18" s="1"/>
  <c r="G49" i="18"/>
  <c r="I8" i="18" s="1"/>
  <c r="I10" i="18" s="1"/>
  <c r="D49" i="18"/>
  <c r="F49" i="18"/>
  <c r="C49" i="18"/>
  <c r="B49" i="18"/>
  <c r="C8" i="18" s="1"/>
  <c r="H49" i="18"/>
  <c r="J8" i="18" s="1"/>
  <c r="J10" i="18" s="1"/>
  <c r="I50" i="18"/>
  <c r="H17" i="18" s="1"/>
  <c r="G50" i="18"/>
  <c r="I17" i="18" s="1"/>
  <c r="I20" i="18" s="1"/>
  <c r="F50" i="18"/>
  <c r="C50" i="18"/>
  <c r="B50" i="18"/>
  <c r="C17" i="18" s="1"/>
  <c r="B20" i="18"/>
  <c r="F20" i="18"/>
  <c r="O18" i="18"/>
  <c r="H20" i="18"/>
  <c r="G20" i="18"/>
  <c r="K20" i="18"/>
  <c r="B10" i="18"/>
  <c r="O19" i="18"/>
  <c r="O9" i="18"/>
  <c r="C20" i="18"/>
  <c r="C10" i="18"/>
  <c r="D50" i="18"/>
  <c r="H50" i="18"/>
  <c r="E49" i="18"/>
  <c r="E8" i="18" s="1"/>
  <c r="E10" i="18" s="1"/>
  <c r="E50" i="18"/>
  <c r="E17" i="18" s="1"/>
  <c r="E20" i="18" s="1"/>
  <c r="N6" i="17"/>
  <c r="O8" i="18" l="1"/>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P4" i="48"/>
  <c r="P22" i="48" s="1"/>
  <c r="Q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F24" i="14"/>
  <c r="F26" i="14" s="1"/>
  <c r="E7" i="48"/>
  <c r="E25" i="48" s="1"/>
  <c r="O8" i="48"/>
  <c r="O26" i="48" s="1"/>
  <c r="P13" i="14"/>
  <c r="P16" i="14"/>
  <c r="P27" i="14"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N52" i="14"/>
  <c r="N61" i="14" s="1"/>
  <c r="H22" i="14"/>
  <c r="H27" i="14" s="1"/>
  <c r="K10" i="14"/>
  <c r="J5" i="48"/>
  <c r="J23" i="48" s="1"/>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E33" i="48" s="1"/>
  <c r="F13" i="14"/>
  <c r="F16" i="14" s="1"/>
  <c r="F27" i="14" s="1"/>
  <c r="R10" i="14"/>
  <c r="E22" i="16"/>
  <c r="F43" i="14" s="1"/>
  <c r="F46" i="14" s="1"/>
  <c r="F61" i="14" s="1"/>
  <c r="H63" i="14"/>
  <c r="E23" i="48"/>
  <c r="E15" i="48"/>
  <c r="J22" i="16"/>
  <c r="K43" i="14" s="1"/>
  <c r="K46" i="14" s="1"/>
  <c r="K61"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<sst xmlns="http://schemas.openxmlformats.org/spreadsheetml/2006/main" count="2465" uniqueCount="930">
  <si>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</si>
  <si>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</si>
  <si>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</si>
  <si>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</si>
  <si>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</si>
  <si>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</si>
  <si>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</si>
  <si>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</si>
  <si>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</si>
  <si>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</si>
  <si>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</si>
  <si>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</si>
  <si>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</si>
  <si>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</si>
  <si>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</si>
  <si>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</si>
  <si>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</si>
  <si>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</si>
  <si>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</si>
  <si>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</si>
  <si>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</si>
  <si>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</si>
  <si>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</si>
  <si>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</si>
  <si>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</si>
  <si>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</si>
  <si>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</si>
  <si>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</si>
  <si>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</si>
  <si>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</si>
  <si>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</si>
  <si>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</si>
  <si>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</si>
  <si>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</si>
  <si>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</si>
  <si>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</si>
  <si>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</si>
  <si>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</si>
  <si>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</si>
  <si>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</si>
  <si>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</si>
  <si>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</si>
  <si>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</si>
  <si>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</si>
  <si>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</si>
  <si>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</si>
  <si>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</si>
  <si>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</si>
  <si>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</si>
  <si>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</si>
  <si>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</si>
  <si>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</si>
  <si>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</si>
  <si>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</si>
  <si>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</si>
  <si>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</si>
  <si>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</si>
  <si>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</si>
  <si>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</si>
  <si>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</si>
  <si>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</si>
  <si>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</si>
  <si>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</si>
  <si>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</si>
  <si>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</si>
  <si>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</si>
  <si>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</si>
  <si>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</si>
  <si>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</si>
  <si>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</si>
  <si>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</si>
  <si>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</si>
  <si>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</si>
  <si>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</si>
  <si>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</si>
  <si>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</si>
  <si>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</si>
  <si>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</si>
  <si>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</si>
  <si>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</si>
  <si>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</si>
  <si>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</si>
  <si>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</si>
  <si>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</si>
  <si>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</si>
  <si>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</si>
  <si>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</si>
  <si>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</si>
  <si>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</si>
  <si>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</si>
  <si>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</si>
  <si>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</si>
  <si>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</si>
  <si>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</si>
  <si>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</si>
  <si>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</si>
  <si>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</si>
  <si>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</si>
  <si>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</si>
  <si>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</si>
  <si>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</si>
  <si>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</si>
  <si>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</si>
  <si>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</si>
  <si>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</si>
  <si>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</si>
  <si>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</si>
  <si>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</si>
  <si>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</si>
  <si>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</si>
  <si>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</si>
  <si>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</si>
  <si>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</si>
  <si>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</si>
  <si>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</si>
  <si>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</si>
  <si>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</si>
  <si>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</si>
  <si>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</si>
  <si>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</si>
  <si>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</si>
  <si>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</si>
  <si>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</si>
  <si>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</si>
  <si>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</si>
  <si>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</si>
  <si>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</si>
  <si>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</si>
  <si>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</si>
  <si>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</si>
  <si>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</si>
  <si>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</si>
  <si>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</si>
  <si>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</si>
  <si>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</si>
  <si>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</si>
  <si>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</si>
  <si>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</si>
  <si>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</si>
  <si>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</si>
  <si>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</si>
  <si>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</si>
  <si>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</si>
  <si>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</si>
  <si>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</si>
  <si>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</si>
  <si>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</si>
  <si>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</si>
  <si>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</si>
  <si>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</si>
  <si>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</si>
  <si>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</si>
  <si>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</si>
  <si>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</si>
  <si>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</si>
  <si>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</si>
  <si>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</si>
  <si>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</si>
  <si>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</si>
  <si>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</si>
  <si>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</si>
  <si>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</si>
  <si>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</si>
  <si>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</si>
  <si>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</si>
  <si>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</si>
  <si>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</si>
  <si>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</si>
  <si>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</si>
  <si>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</si>
  <si>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</si>
  <si>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</si>
  <si>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</si>
  <si>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</si>
  <si>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</si>
  <si>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</si>
  <si>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</si>
  <si>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</si>
  <si>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</si>
  <si>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</si>
  <si>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</si>
  <si>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</si>
  <si>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</si>
  <si>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</si>
  <si>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</si>
  <si>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</si>
  <si>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</si>
  <si>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</si>
  <si>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</si>
  <si>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</si>
  <si>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</si>
  <si>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</si>
  <si>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</si>
  <si>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</si>
  <si>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</si>
  <si>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</si>
  <si>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</si>
  <si>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</si>
  <si>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</si>
  <si>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</si>
  <si>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</si>
  <si>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</si>
  <si>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</si>
  <si>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</si>
  <si>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</si>
  <si>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</si>
  <si>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</si>
  <si>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</si>
  <si>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</si>
  <si>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</si>
  <si>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</si>
  <si>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</si>
  <si>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</si>
  <si>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</si>
  <si>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</si>
  <si>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</si>
  <si>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</si>
  <si>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</si>
  <si>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</si>
  <si>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</si>
  <si>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</si>
  <si>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</si>
  <si>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</si>
  <si>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</si>
  <si>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</si>
  <si>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</si>
  <si>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</si>
  <si>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</si>
  <si>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</si>
  <si>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</si>
  <si>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</si>
  <si>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</si>
  <si>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</si>
  <si>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</si>
  <si>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</si>
  <si>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</si>
  <si>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</si>
  <si>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</si>
  <si>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</si>
  <si>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</si>
  <si>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</si>
  <si>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</si>
  <si>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</si>
  <si>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</si>
  <si>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</si>
  <si>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</si>
  <si>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</si>
  <si>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</si>
  <si>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</si>
  <si>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</si>
  <si>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</si>
  <si>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</si>
  <si>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</si>
  <si>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</si>
  <si>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</si>
  <si>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</si>
  <si>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</si>
  <si>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</si>
  <si>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</si>
  <si>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</si>
  <si>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</si>
  <si>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</si>
  <si>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</si>
  <si>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</si>
  <si>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</si>
  <si>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</si>
  <si>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</si>
  <si>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</si>
  <si>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</si>
  <si>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</si>
  <si>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</si>
  <si>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</si>
  <si>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</si>
  <si>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</si>
  <si>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</si>
  <si>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</si>
  <si>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</si>
  <si>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</si>
  <si>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</si>
  <si>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</si>
  <si>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</si>
  <si>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</si>
  <si>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</si>
  <si>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</si>
  <si>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</si>
  <si>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</si>
  <si>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</si>
  <si>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</si>
  <si>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</si>
  <si>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</si>
  <si>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</si>
  <si>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</si>
  <si>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</si>
  <si>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</si>
  <si>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</si>
  <si>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</si>
  <si>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</si>
  <si>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</si>
  <si>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</si>
  <si>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</si>
  <si>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</si>
  <si>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</si>
  <si>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</si>
  <si>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</si>
  <si>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</si>
  <si>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</si>
  <si>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</si>
  <si>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</si>
  <si>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</si>
  <si>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</si>
  <si>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</si>
  <si>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</si>
  <si>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</si>
  <si>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</si>
  <si>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</si>
  <si>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</si>
  <si>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</si>
  <si>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</si>
  <si>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</si>
  <si>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</si>
  <si>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</si>
  <si>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</si>
  <si>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</si>
  <si>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</si>
  <si>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</si>
  <si>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</si>
  <si>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</si>
  <si>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</si>
  <si>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</si>
  <si>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</si>
  <si>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</si>
  <si>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</si>
  <si>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</si>
  <si>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</si>
  <si>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</si>
  <si>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</si>
  <si>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</si>
  <si>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</si>
  <si>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</si>
  <si>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</si>
  <si>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</si>
  <si>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</si>
  <si>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</si>
  <si>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</si>
  <si>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</si>
  <si>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</si>
  <si>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</si>
  <si>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</si>
  <si>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</si>
  <si>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</si>
  <si>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</si>
  <si>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</si>
  <si>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</si>
  <si>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</si>
  <si>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</si>
  <si>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</si>
  <si>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</si>
  <si>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</si>
  <si>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</si>
  <si>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</si>
  <si>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</si>
  <si>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</si>
  <si>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</si>
  <si>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</si>
  <si>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</si>
  <si>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</si>
  <si>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</si>
  <si>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</si>
  <si>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</si>
  <si>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</si>
  <si>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</si>
  <si>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</si>
  <si>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</si>
  <si>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</si>
  <si>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</si>
  <si>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</si>
  <si>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</si>
  <si>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</si>
  <si>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</si>
  <si>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</si>
  <si>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</si>
  <si>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</si>
  <si>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</si>
  <si>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</si>
  <si>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</si>
  <si>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</si>
  <si>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</si>
  <si>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</si>
  <si>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</si>
  <si>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</si>
  <si>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</si>
  <si>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</si>
  <si>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</si>
  <si>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</si>
  <si>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</si>
  <si>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</si>
  <si>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</si>
  <si>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</si>
  <si>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</si>
  <si>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</si>
  <si>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</si>
  <si>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</si>
  <si>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</si>
  <si>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</si>
  <si>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</si>
  <si>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</si>
  <si>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</si>
  <si>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</si>
  <si>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</si>
  <si>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</si>
  <si>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</si>
  <si>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</si>
  <si>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</si>
  <si>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</si>
  <si>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</si>
  <si>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</si>
  <si>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</si>
  <si>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</si>
  <si>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</si>
  <si>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</si>
  <si>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</si>
  <si>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</si>
  <si>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</si>
  <si>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</si>
  <si>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</si>
  <si>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</si>
  <si>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</si>
  <si>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</si>
  <si>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</si>
  <si>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</si>
  <si>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</si>
  <si>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</si>
  <si>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</si>
  <si>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</si>
  <si>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</si>
  <si>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</si>
  <si>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</si>
  <si>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</si>
  <si>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</si>
  <si>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</si>
  <si>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</si>
  <si>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</si>
  <si>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</si>
  <si>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</si>
  <si>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</si>
  <si>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</si>
  <si>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</si>
  <si>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</si>
  <si>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</si>
  <si>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</si>
  <si>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</si>
  <si>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</si>
  <si>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</si>
  <si>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</si>
  <si>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</si>
  <si>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</si>
  <si>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</si>
  <si>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</si>
  <si>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</si>
  <si>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</si>
  <si>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</si>
  <si>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</si>
  <si>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</si>
  <si>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</si>
  <si>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</si>
  <si>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</si>
  <si>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</si>
  <si>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</si>
  <si>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</si>
  <si>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</si>
  <si>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</si>
  <si>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</si>
  <si>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</si>
  <si>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</si>
  <si>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</si>
  <si>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</si>
  <si>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</si>
  <si>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</si>
  <si>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</si>
  <si>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</si>
  <si>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</si>
  <si>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</si>
  <si>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</si>
  <si>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</si>
  <si>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</si>
  <si>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</si>
  <si>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</si>
  <si>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</si>
  <si>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</si>
  <si>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</si>
  <si>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</si>
  <si>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</si>
  <si>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</si>
  <si>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</si>
  <si>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</si>
  <si>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</si>
  <si>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</si>
  <si>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</si>
  <si>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</si>
  <si>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</si>
  <si>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</si>
  <si>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</si>
  <si>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</si>
  <si>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</si>
  <si>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</si>
  <si>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</si>
  <si>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</si>
  <si>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</si>
  <si>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</si>
  <si>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</si>
  <si>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</si>
  <si>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</si>
  <si>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</si>
  <si>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</si>
  <si>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</si>
  <si>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</si>
  <si>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</si>
  <si>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</si>
  <si>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</si>
  <si>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</si>
  <si>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</si>
  <si>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</si>
  <si>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</si>
  <si>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</si>
  <si>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</si>
  <si>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</si>
  <si>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</si>
  <si>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</si>
  <si>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</si>
  <si>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</si>
  <si>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</si>
  <si>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</si>
  <si>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</si>
  <si>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</si>
  <si>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</si>
  <si>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</si>
  <si>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</si>
  <si>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</si>
  <si>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</si>
  <si>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</si>
  <si>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</si>
  <si>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</si>
  <si>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</si>
  <si>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</si>
  <si>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</si>
  <si>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</si>
  <si>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</si>
  <si>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</si>
  <si>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</si>
  <si>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</si>
  <si>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</si>
  <si>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</si>
  <si>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</si>
  <si>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</si>
  <si>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</si>
  <si>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</si>
  <si>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</si>
  <si>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</si>
  <si>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</si>
  <si>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</si>
  <si>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</si>
  <si>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</si>
  <si>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</si>
  <si>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</si>
  <si>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</si>
  <si>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</si>
  <si>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</si>
  <si>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</si>
  <si>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</si>
  <si>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</si>
  <si>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</si>
  <si>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</si>
  <si>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</si>
  <si>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</si>
  <si>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</si>
  <si>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</si>
  <si>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</si>
  <si>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</si>
  <si>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</si>
  <si>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</si>
  <si>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</si>
  <si>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</si>
  <si>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</si>
  <si>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</si>
  <si>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</si>
  <si>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</si>
  <si>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</si>
  <si>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</si>
  <si>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</si>
  <si>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</si>
  <si>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</si>
  <si>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</si>
  <si>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</si>
  <si>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</si>
  <si>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</si>
  <si>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</si>
  <si>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</si>
  <si>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</si>
  <si>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</si>
  <si>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</si>
  <si>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</si>
  <si>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</si>
  <si>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</si>
  <si>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</si>
  <si>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</si>
  <si>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</si>
  <si>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</si>
  <si>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</si>
  <si>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</si>
  <si>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</si>
  <si>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</si>
  <si>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</si>
  <si>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</si>
  <si>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</si>
  <si>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</si>
  <si>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</si>
  <si>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</si>
  <si>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</si>
  <si>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</si>
  <si>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</si>
  <si>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</si>
  <si>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</si>
  <si>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</si>
  <si>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</si>
  <si>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</si>
  <si>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</si>
  <si>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</si>
  <si>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</si>
  <si>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</si>
  <si>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</si>
  <si>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</si>
  <si>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</si>
  <si>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</si>
  <si>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</si>
  <si>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</si>
  <si>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</si>
  <si>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</si>
  <si>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</si>
  <si>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</si>
  <si>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</si>
  <si>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</si>
  <si>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</si>
  <si>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</si>
  <si>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</si>
  <si>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</si>
  <si>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</si>
  <si>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</si>
  <si>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</si>
  <si>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</si>
  <si>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</si>
  <si>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</si>
  <si>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</si>
  <si>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</si>
  <si>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</si>
  <si>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</si>
  <si>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</si>
  <si>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</si>
  <si>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</si>
  <si>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</si>
  <si>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</si>
  <si>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</si>
  <si>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</si>
  <si>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</si>
  <si>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</si>
  <si>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</si>
  <si>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</si>
  <si>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</si>
  <si>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</si>
  <si>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</si>
  <si>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</si>
  <si>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</si>
  <si>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</si>
  <si>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</si>
  <si>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</si>
  <si>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</si>
  <si>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</si>
  <si>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</si>
  <si>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</si>
  <si>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</si>
  <si>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</si>
  <si>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</si>
  <si>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</si>
  <si>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</si>
  <si>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</si>
  <si>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</si>
  <si>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</si>
  <si>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</si>
  <si>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</si>
  <si>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</si>
  <si>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</si>
  <si>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</si>
  <si>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</si>
  <si>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</si>
  <si>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</si>
  <si>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</si>
  <si>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</si>
  <si>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</si>
  <si>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</si>
  <si>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</si>
  <si>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</si>
  <si>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</si>
  <si>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</si>
  <si>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</si>
  <si>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</si>
  <si>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</si>
  <si>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</si>
  <si>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</si>
  <si>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</si>
  <si>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</si>
  <si>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</si>
  <si>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</si>
  <si>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</si>
  <si>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</si>
  <si>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</si>
  <si>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</si>
  <si>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</si>
  <si>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</si>
  <si>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</si>
  <si>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</si>
  <si>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</si>
  <si>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</si>
  <si>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</si>
  <si>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</si>
  <si>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</si>
  <si>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</si>
  <si>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</si>
  <si>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</si>
  <si>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</si>
  <si>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</si>
  <si>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</si>
  <si>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</si>
  <si>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</si>
  <si>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</si>
  <si>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</si>
  <si>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</si>
  <si>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</si>
  <si>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</si>
  <si>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</si>
  <si>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</si>
  <si>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</si>
  <si>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</si>
  <si>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</si>
  <si>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</si>
  <si>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</si>
  <si>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</si>
  <si>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</si>
  <si>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</si>
  <si>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</si>
  <si>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</si>
  <si>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</si>
  <si>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</si>
  <si>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</si>
  <si>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</si>
  <si>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</si>
  <si>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</si>
  <si>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</si>
  <si>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</si>
  <si>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</si>
  <si>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</si>
  <si>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</si>
  <si>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</si>
  <si>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</si>
  <si>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</si>
  <si>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</si>
  <si>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</si>
  <si>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</si>
  <si>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</si>
  <si>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</si>
  <si>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</si>
  <si>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</si>
  <si>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</si>
  <si>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</si>
  <si>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</si>
  <si>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</si>
  <si>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</si>
  <si>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</si>
  <si>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</si>
  <si>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</si>
  <si>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</si>
  <si>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</si>
  <si>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</si>
  <si>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</si>
  <si>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</si>
  <si>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</si>
  <si>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</si>
  <si>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</si>
  <si>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</si>
  <si>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</si>
  <si>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</si>
  <si>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</si>
  <si>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</si>
  <si>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</si>
  <si>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</si>
  <si>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</si>
  <si>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</si>
  <si>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</si>
  <si>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</si>
  <si>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</si>
  <si>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</si>
  <si>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</si>
  <si>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</si>
  <si>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</si>
  <si>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</si>
  <si>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</si>
  <si>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</si>
  <si>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</si>
  <si>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</si>
  <si>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</si>
  <si>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</si>
  <si>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</si>
  <si>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</si>
  <si>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</si>
  <si>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</si>
  <si>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</si>
  <si>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</si>
  <si>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</si>
  <si>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</si>
  <si>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</si>
  <si>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</si>
  <si>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</si>
  <si>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</si>
  <si>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</si>
  <si>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</si>
  <si>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</si>
  <si>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</si>
  <si>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</si>
  <si>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</si>
  <si>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</si>
  <si>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</si>
  <si>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</si>
  <si>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</si>
  <si>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</si>
  <si>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</si>
  <si>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</si>
  <si>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</si>
  <si>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</si>
  <si>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</si>
  <si>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</si>
  <si>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</si>
  <si>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</si>
  <si>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</si>
  <si>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</si>
  <si>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</si>
  <si>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</si>
  <si>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</si>
  <si>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</si>
  <si>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</si>
  <si>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</si>
  <si>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</si>
  <si>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</si>
  <si>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</si>
  <si>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</si>
  <si>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</si>
  <si>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</si>
  <si>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</si>
  <si>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</si>
  <si>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</si>
  <si>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</si>
  <si>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</si>
  <si>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</si>
  <si>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</si>
  <si>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</si>
  <si>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</si>
  <si>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</si>
  <si>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</si>
  <si>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</si>
  <si>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</si>
  <si>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</si>
  <si>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</si>
  <si>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</si>
  <si>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</si>
  <si>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</si>
  <si>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</si>
  <si>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</si>
  <si>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</si>
  <si>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</si>
  <si>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</si>
  <si>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</si>
  <si>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</si>
  <si>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</si>
  <si>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</si>
  <si>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</si>
  <si>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</si>
  <si>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</si>
  <si>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</si>
  <si>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</si>
  <si>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</si>
  <si>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</si>
  <si>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</si>
  <si>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</si>
  <si>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</si>
  <si>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</si>
  <si>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</si>
  <si>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</si>
  <si>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</si>
  <si>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</si>
  <si>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</si>
  <si>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</si>
  <si>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</si>
  <si>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</si>
  <si>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</si>
  <si>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</si>
  <si>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</si>
  <si>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</si>
  <si>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</si>
  <si>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</si>
  <si>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</si>
  <si>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</si>
  <si>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</si>
  <si>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</si>
  <si>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</si>
  <si>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</si>
  <si>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</si>
  <si>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71002</t>
  </si>
  <si>
    <t>AS</t>
  </si>
  <si>
    <t>Cultuurgrond (ha)</t>
  </si>
  <si>
    <t>Paarden&amp;pony's 200 - 600 kg</t>
  </si>
  <si>
    <t>Paarden&amp;pony's &lt; 200 kg</t>
  </si>
  <si>
    <t>Fluvius</t>
  </si>
  <si>
    <t>referentietaak LNE (2017); Jaarverslag De Lijn</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</si>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</sst>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69985.842248935864</c:v>
                </c:pt>
                <c:pt idx="1">
                  <c:v>13343.502572311158</c:v>
                </c:pt>
                <c:pt idx="2">
                  <c:v>473.96100000000001</c:v>
                </c:pt>
                <c:pt idx="3">
                  <c:v>832.48691605241049</c:v>
                </c:pt>
                <c:pt idx="4">
                  <c:v>4440.0532530905293</c:v>
                </c:pt>
                <c:pt idx="5">
                  <c:v>44343.86049024466</c:v>
                </c:pt>
                <c:pt idx="6">
                  <c:v>1073.5651331789579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69985.842248935864</c:v>
                </c:pt>
                <c:pt idx="1">
                  <c:v>13343.502572311158</c:v>
                </c:pt>
                <c:pt idx="2">
                  <c:v>473.96100000000001</c:v>
                </c:pt>
                <c:pt idx="3">
                  <c:v>832.48691605241049</c:v>
                </c:pt>
                <c:pt idx="4">
                  <c:v>4440.0532530905293</c:v>
                </c:pt>
                <c:pt idx="5">
                  <c:v>44343.86049024466</c:v>
                </c:pt>
                <c:pt idx="6">
                  <c:v>1073.5651331789579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14136.937287856708</c:v>
                </c:pt>
                <c:pt idx="2">
                  <c:v>2399.6814554726589</c:v>
                </c:pt>
                <c:pt idx="3">
                  <c:v>90.190756768710557</c:v>
                </c:pt>
                <c:pt idx="4">
                  <c:v>210.70159330566008</c:v>
                </c:pt>
                <c:pt idx="5">
                  <c:v>596.55763709331063</c:v>
                </c:pt>
                <c:pt idx="6">
                  <c:v>11199.911159105166</c:v>
                </c:pt>
                <c:pt idx="7">
                  <c:v>274.42692126215616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14136.937287856708</c:v>
                </c:pt>
                <c:pt idx="2">
                  <c:v>2399.6814554726589</c:v>
                </c:pt>
                <c:pt idx="3">
                  <c:v>90.190756768710557</c:v>
                </c:pt>
                <c:pt idx="4">
                  <c:v>210.70159330566008</c:v>
                </c:pt>
                <c:pt idx="5">
                  <c:v>596.55763709331063</c:v>
                </c:pt>
                <c:pt idx="6">
                  <c:v>11199.911159105166</c:v>
                </c:pt>
                <c:pt idx="7">
                  <c:v>274.42692126215616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71002</v>
      </c>
      <c r="B6" s="395"/>
      <c r="C6" s="396"/>
    </row>
    <row r="7" spans="1:7" s="393" customFormat="1" ht="15.75" customHeight="1">
      <c r="A7" s="397" t="str">
        <f>txtMunicipality</f>
        <v>AS</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0.19029151505864522</v>
      </c>
      <c r="C17" s="508">
        <f ca="1">'EF ele_warmte'!B22</f>
        <v>8.0807346122374769E-3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0.19029151505864522</v>
      </c>
      <c r="C29" s="509">
        <f ca="1">'EF ele_warmte'!B22</f>
        <v>8.0807346122374769E-3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3223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384</v>
      </c>
      <c r="C14" s="332"/>
      <c r="D14" s="332"/>
      <c r="E14" s="332"/>
      <c r="F14" s="332"/>
    </row>
    <row r="15" spans="1:6">
      <c r="A15" s="1306" t="s">
        <v>183</v>
      </c>
      <c r="B15" s="1307">
        <v>2</v>
      </c>
      <c r="C15" s="332"/>
      <c r="D15" s="332"/>
      <c r="E15" s="332"/>
      <c r="F15" s="332"/>
    </row>
    <row r="16" spans="1:6">
      <c r="A16" s="1306" t="s">
        <v>6</v>
      </c>
      <c r="B16" s="1307">
        <v>114</v>
      </c>
      <c r="C16" s="332"/>
      <c r="D16" s="332"/>
      <c r="E16" s="332"/>
      <c r="F16" s="332"/>
    </row>
    <row r="17" spans="1:6">
      <c r="A17" s="1306" t="s">
        <v>7</v>
      </c>
      <c r="B17" s="1307">
        <v>36</v>
      </c>
      <c r="C17" s="332"/>
      <c r="D17" s="332"/>
      <c r="E17" s="332"/>
      <c r="F17" s="332"/>
    </row>
    <row r="18" spans="1:6">
      <c r="A18" s="1306" t="s">
        <v>8</v>
      </c>
      <c r="B18" s="1307">
        <v>109</v>
      </c>
      <c r="C18" s="332"/>
      <c r="D18" s="332"/>
      <c r="E18" s="332"/>
      <c r="F18" s="332"/>
    </row>
    <row r="19" spans="1:6">
      <c r="A19" s="1306" t="s">
        <v>9</v>
      </c>
      <c r="B19" s="1307">
        <v>87</v>
      </c>
      <c r="C19" s="332"/>
      <c r="D19" s="332"/>
      <c r="E19" s="332"/>
      <c r="F19" s="332"/>
    </row>
    <row r="20" spans="1:6">
      <c r="A20" s="1306" t="s">
        <v>10</v>
      </c>
      <c r="B20" s="1307">
        <v>30</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58145</v>
      </c>
      <c r="C28" s="338"/>
      <c r="D28" s="338"/>
      <c r="E28" s="338"/>
      <c r="F28" s="338"/>
    </row>
    <row r="29" spans="1:6">
      <c r="A29" s="1308" t="s">
        <v>916</v>
      </c>
      <c r="B29" s="1309">
        <v>74</v>
      </c>
      <c r="C29" s="338"/>
      <c r="D29" s="338"/>
      <c r="E29" s="338"/>
      <c r="F29" s="338"/>
    </row>
    <row r="30" spans="1:6">
      <c r="A30" s="1301" t="s">
        <v>917</v>
      </c>
      <c r="B30" s="1310">
        <v>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1443</v>
      </c>
      <c r="D39" s="1307">
        <v>27332518</v>
      </c>
      <c r="E39" s="1307">
        <v>3280</v>
      </c>
      <c r="F39" s="1307">
        <v>14266869</v>
      </c>
    </row>
    <row r="40" spans="1:6">
      <c r="A40" s="1306" t="s">
        <v>29</v>
      </c>
      <c r="B40" s="1306" t="s">
        <v>28</v>
      </c>
      <c r="C40" s="1307">
        <v>0</v>
      </c>
      <c r="D40" s="1307">
        <v>0</v>
      </c>
      <c r="E40" s="1307">
        <v>0</v>
      </c>
      <c r="F40" s="1307">
        <v>0</v>
      </c>
    </row>
    <row r="41" spans="1:6">
      <c r="A41" s="1306" t="s">
        <v>31</v>
      </c>
      <c r="B41" s="1306" t="s">
        <v>32</v>
      </c>
      <c r="C41" s="1307">
        <v>11</v>
      </c>
      <c r="D41" s="1307">
        <v>402787</v>
      </c>
      <c r="E41" s="1307">
        <v>30</v>
      </c>
      <c r="F41" s="1307">
        <v>240269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171081</v>
      </c>
      <c r="E44" s="1307">
        <v>12</v>
      </c>
      <c r="F44" s="1307">
        <v>99128</v>
      </c>
    </row>
    <row r="45" spans="1:6">
      <c r="A45" s="1306" t="s">
        <v>31</v>
      </c>
      <c r="B45" s="1306" t="s">
        <v>36</v>
      </c>
      <c r="C45" s="1307">
        <v>0</v>
      </c>
      <c r="D45" s="1307">
        <v>0</v>
      </c>
      <c r="E45" s="1307">
        <v>3</v>
      </c>
      <c r="F45" s="1307">
        <v>43231</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36786</v>
      </c>
    </row>
    <row r="48" spans="1:6">
      <c r="A48" s="1306" t="s">
        <v>31</v>
      </c>
      <c r="B48" s="1306" t="s">
        <v>28</v>
      </c>
      <c r="C48" s="1307">
        <v>3</v>
      </c>
      <c r="D48" s="1307">
        <v>72789</v>
      </c>
      <c r="E48" s="1307">
        <v>2</v>
      </c>
      <c r="F48" s="1307">
        <v>7422</v>
      </c>
    </row>
    <row r="49" spans="1:6">
      <c r="A49" s="1306" t="s">
        <v>31</v>
      </c>
      <c r="B49" s="1306" t="s">
        <v>39</v>
      </c>
      <c r="C49" s="1307">
        <v>0</v>
      </c>
      <c r="D49" s="1307">
        <v>0</v>
      </c>
      <c r="E49" s="1307">
        <v>0</v>
      </c>
      <c r="F49" s="1307">
        <v>0</v>
      </c>
    </row>
    <row r="50" spans="1:6">
      <c r="A50" s="1306" t="s">
        <v>31</v>
      </c>
      <c r="B50" s="1306" t="s">
        <v>40</v>
      </c>
      <c r="C50" s="1307">
        <v>0</v>
      </c>
      <c r="D50" s="1307">
        <v>0</v>
      </c>
      <c r="E50" s="1307">
        <v>4</v>
      </c>
      <c r="F50" s="1307">
        <v>164130</v>
      </c>
    </row>
    <row r="51" spans="1:6">
      <c r="A51" s="1306" t="s">
        <v>41</v>
      </c>
      <c r="B51" s="1306" t="s">
        <v>42</v>
      </c>
      <c r="C51" s="1307">
        <v>0</v>
      </c>
      <c r="D51" s="1307">
        <v>0</v>
      </c>
      <c r="E51" s="1307">
        <v>8</v>
      </c>
      <c r="F51" s="1307">
        <v>180456</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52</v>
      </c>
      <c r="F54" s="1307">
        <v>473961</v>
      </c>
    </row>
    <row r="55" spans="1:6">
      <c r="A55" s="1306" t="s">
        <v>45</v>
      </c>
      <c r="B55" s="1306" t="s">
        <v>28</v>
      </c>
      <c r="C55" s="1307">
        <v>0</v>
      </c>
      <c r="D55" s="1307">
        <v>0</v>
      </c>
      <c r="E55" s="1307">
        <v>0</v>
      </c>
      <c r="F55" s="1307">
        <v>0</v>
      </c>
    </row>
    <row r="56" spans="1:6">
      <c r="A56" s="1306" t="s">
        <v>47</v>
      </c>
      <c r="B56" s="1306" t="s">
        <v>28</v>
      </c>
      <c r="C56" s="1307">
        <v>36</v>
      </c>
      <c r="D56" s="1307">
        <v>2194157</v>
      </c>
      <c r="E56" s="1307">
        <v>43</v>
      </c>
      <c r="F56" s="1307">
        <v>322410</v>
      </c>
    </row>
    <row r="57" spans="1:6">
      <c r="A57" s="1306" t="s">
        <v>48</v>
      </c>
      <c r="B57" s="1306" t="s">
        <v>49</v>
      </c>
      <c r="C57" s="1307">
        <v>6</v>
      </c>
      <c r="D57" s="1307">
        <v>407640</v>
      </c>
      <c r="E57" s="1307">
        <v>63</v>
      </c>
      <c r="F57" s="1307">
        <v>2130873</v>
      </c>
    </row>
    <row r="58" spans="1:6">
      <c r="A58" s="1306" t="s">
        <v>48</v>
      </c>
      <c r="B58" s="1306" t="s">
        <v>50</v>
      </c>
      <c r="C58" s="1307">
        <v>5</v>
      </c>
      <c r="D58" s="1307">
        <v>291303</v>
      </c>
      <c r="E58" s="1307">
        <v>10</v>
      </c>
      <c r="F58" s="1307">
        <v>149635</v>
      </c>
    </row>
    <row r="59" spans="1:6">
      <c r="A59" s="1306" t="s">
        <v>48</v>
      </c>
      <c r="B59" s="1306" t="s">
        <v>51</v>
      </c>
      <c r="C59" s="1307">
        <v>18</v>
      </c>
      <c r="D59" s="1307">
        <v>1335133</v>
      </c>
      <c r="E59" s="1307">
        <v>59</v>
      </c>
      <c r="F59" s="1307">
        <v>2091577</v>
      </c>
    </row>
    <row r="60" spans="1:6">
      <c r="A60" s="1306" t="s">
        <v>48</v>
      </c>
      <c r="B60" s="1306" t="s">
        <v>52</v>
      </c>
      <c r="C60" s="1307">
        <v>9</v>
      </c>
      <c r="D60" s="1307">
        <v>544988</v>
      </c>
      <c r="E60" s="1307">
        <v>17</v>
      </c>
      <c r="F60" s="1307">
        <v>363557</v>
      </c>
    </row>
    <row r="61" spans="1:6">
      <c r="A61" s="1306" t="s">
        <v>48</v>
      </c>
      <c r="B61" s="1306" t="s">
        <v>53</v>
      </c>
      <c r="C61" s="1307">
        <v>26</v>
      </c>
      <c r="D61" s="1307">
        <v>1204964</v>
      </c>
      <c r="E61" s="1307">
        <v>102</v>
      </c>
      <c r="F61" s="1307">
        <v>1894133</v>
      </c>
    </row>
    <row r="62" spans="1:6">
      <c r="A62" s="1306" t="s">
        <v>48</v>
      </c>
      <c r="B62" s="1306" t="s">
        <v>54</v>
      </c>
      <c r="C62" s="1307">
        <v>0</v>
      </c>
      <c r="D62" s="1307">
        <v>0</v>
      </c>
      <c r="E62" s="1307">
        <v>4</v>
      </c>
      <c r="F62" s="1307">
        <v>73154</v>
      </c>
    </row>
    <row r="63" spans="1:6">
      <c r="A63" s="1306" t="s">
        <v>48</v>
      </c>
      <c r="B63" s="1306" t="s">
        <v>28</v>
      </c>
      <c r="C63" s="1307">
        <v>1</v>
      </c>
      <c r="D63" s="1307">
        <v>265076</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4548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42268771</v>
      </c>
      <c r="E73" s="456"/>
      <c r="F73" s="332"/>
    </row>
    <row r="74" spans="1:6">
      <c r="A74" s="1306" t="s">
        <v>63</v>
      </c>
      <c r="B74" s="1306" t="s">
        <v>724</v>
      </c>
      <c r="C74" s="1320" t="s">
        <v>725</v>
      </c>
      <c r="D74" s="1321">
        <v>3375094.6879369253</v>
      </c>
      <c r="E74" s="456"/>
      <c r="F74" s="332"/>
    </row>
    <row r="75" spans="1:6">
      <c r="A75" s="1306" t="s">
        <v>64</v>
      </c>
      <c r="B75" s="1306" t="s">
        <v>722</v>
      </c>
      <c r="C75" s="1320" t="s">
        <v>726</v>
      </c>
      <c r="D75" s="1321">
        <v>9799580</v>
      </c>
      <c r="E75" s="456"/>
      <c r="F75" s="332"/>
    </row>
    <row r="76" spans="1:6">
      <c r="A76" s="1306" t="s">
        <v>64</v>
      </c>
      <c r="B76" s="1306" t="s">
        <v>724</v>
      </c>
      <c r="C76" s="1320" t="s">
        <v>727</v>
      </c>
      <c r="D76" s="1321">
        <v>50834.687936925126</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284072.62412614975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2313.5831372539433</v>
      </c>
      <c r="C91" s="332"/>
      <c r="D91" s="332"/>
      <c r="E91" s="332"/>
      <c r="F91" s="332"/>
    </row>
    <row r="92" spans="1:6">
      <c r="A92" s="1301" t="s">
        <v>68</v>
      </c>
      <c r="B92" s="1302">
        <v>179.66689832945465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363</v>
      </c>
      <c r="C97" s="332"/>
      <c r="D97" s="332"/>
      <c r="E97" s="332"/>
      <c r="F97" s="332"/>
    </row>
    <row r="98" spans="1:6">
      <c r="A98" s="1306" t="s">
        <v>71</v>
      </c>
      <c r="B98" s="1307">
        <v>5</v>
      </c>
      <c r="C98" s="332"/>
      <c r="D98" s="332"/>
      <c r="E98" s="332"/>
      <c r="F98" s="332"/>
    </row>
    <row r="99" spans="1:6">
      <c r="A99" s="1306" t="s">
        <v>72</v>
      </c>
      <c r="B99" s="1307">
        <v>12</v>
      </c>
      <c r="C99" s="332"/>
      <c r="D99" s="332"/>
      <c r="E99" s="332"/>
      <c r="F99" s="332"/>
    </row>
    <row r="100" spans="1:6">
      <c r="A100" s="1306" t="s">
        <v>73</v>
      </c>
      <c r="B100" s="1307">
        <v>289</v>
      </c>
      <c r="C100" s="332"/>
      <c r="D100" s="332"/>
      <c r="E100" s="332"/>
      <c r="F100" s="332"/>
    </row>
    <row r="101" spans="1:6">
      <c r="A101" s="1306" t="s">
        <v>74</v>
      </c>
      <c r="B101" s="1307">
        <v>29</v>
      </c>
      <c r="C101" s="332"/>
      <c r="D101" s="332"/>
      <c r="E101" s="332"/>
      <c r="F101" s="332"/>
    </row>
    <row r="102" spans="1:6">
      <c r="A102" s="1306" t="s">
        <v>75</v>
      </c>
      <c r="B102" s="1307">
        <v>26</v>
      </c>
      <c r="C102" s="332"/>
      <c r="D102" s="332"/>
      <c r="E102" s="332"/>
      <c r="F102" s="332"/>
    </row>
    <row r="103" spans="1:6">
      <c r="A103" s="1306" t="s">
        <v>76</v>
      </c>
      <c r="B103" s="1307">
        <v>61</v>
      </c>
      <c r="C103" s="332"/>
      <c r="D103" s="332"/>
      <c r="E103" s="332"/>
      <c r="F103" s="332"/>
    </row>
    <row r="104" spans="1:6">
      <c r="A104" s="1306" t="s">
        <v>77</v>
      </c>
      <c r="B104" s="1307">
        <v>1902</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9</v>
      </c>
      <c r="C123" s="1307">
        <v>6</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65</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26018.021920011728</v>
      </c>
      <c r="C3" s="43" t="s">
        <v>169</v>
      </c>
      <c r="D3" s="43"/>
      <c r="E3" s="156"/>
      <c r="F3" s="43"/>
      <c r="G3" s="43"/>
      <c r="H3" s="43"/>
      <c r="I3" s="43"/>
      <c r="J3" s="43"/>
      <c r="K3" s="96"/>
    </row>
    <row r="4" spans="1:11">
      <c r="A4" s="363" t="s">
        <v>170</v>
      </c>
      <c r="B4" s="49">
        <f>IF(ISERROR('SEAP template'!B78+'SEAP template'!C78),0,'SEAP template'!B78+'SEAP template'!C78)</f>
        <v>3657.850035583398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9.4108235294117666</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0.19029151505864522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13.444033613445381</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1663.7142857142858</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8.0807346122374769E-3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473.96100000000001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473.96100000000001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0.19029151505864522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90.190756768710557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14266.869000000001</v>
      </c>
      <c r="C5" s="17">
        <f>IF(ISERROR('Eigen informatie GS &amp; warmtenet'!B57),0,'Eigen informatie GS &amp; warmtenet'!B57)</f>
        <v>0</v>
      </c>
      <c r="D5" s="30">
        <f>(SUM(HH_hh_gas_kWh,HH_rest_gas_kWh)/1000)*0.902</f>
        <v>24653.931236</v>
      </c>
      <c r="E5" s="17">
        <f>B46*B57</f>
        <v>695.44367630867862</v>
      </c>
      <c r="F5" s="17">
        <f>B51*B62</f>
        <v>21887.109011637578</v>
      </c>
      <c r="G5" s="18"/>
      <c r="H5" s="17"/>
      <c r="I5" s="17"/>
      <c r="J5" s="17">
        <f>B50*B61+C50*C61</f>
        <v>0</v>
      </c>
      <c r="K5" s="17"/>
      <c r="L5" s="17"/>
      <c r="M5" s="17"/>
      <c r="N5" s="17">
        <f>B48*B59+C48*C59</f>
        <v>5752.8428544023245</v>
      </c>
      <c r="O5" s="17">
        <f>B69*B70*B71</f>
        <v>110.99666666666667</v>
      </c>
      <c r="P5" s="17">
        <f>B77*B78*B79/1000-B77*B78*B79/1000/B80</f>
        <v>305.06666666666666</v>
      </c>
    </row>
    <row r="6" spans="1:16">
      <c r="A6" s="16" t="s">
        <v>633</v>
      </c>
      <c r="B6" s="779">
        <f>kWh_PV_kleiner_dan_10kW</f>
        <v>2313.5831372539433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16580.452137253946</v>
      </c>
      <c r="C8" s="21">
        <f>C5</f>
        <v>0</v>
      </c>
      <c r="D8" s="21">
        <f>D5</f>
        <v>24653.931236</v>
      </c>
      <c r="E8" s="21">
        <f>E5</f>
        <v>695.44367630867862</v>
      </c>
      <c r="F8" s="21">
        <f>F5</f>
        <v>21887.109011637578</v>
      </c>
      <c r="G8" s="21"/>
      <c r="H8" s="21"/>
      <c r="I8" s="21"/>
      <c r="J8" s="21">
        <f>J5</f>
        <v>0</v>
      </c>
      <c r="K8" s="21"/>
      <c r="L8" s="21">
        <f>L5</f>
        <v>0</v>
      </c>
      <c r="M8" s="21">
        <f>M5</f>
        <v>0</v>
      </c>
      <c r="N8" s="21">
        <f>N5</f>
        <v>5752.8428544023245</v>
      </c>
      <c r="O8" s="21">
        <f>O5</f>
        <v>110.99666666666667</v>
      </c>
      <c r="P8" s="21">
        <f>P5</f>
        <v>305.06666666666666</v>
      </c>
    </row>
    <row r="9" spans="1:16">
      <c r="B9" s="19"/>
      <c r="C9" s="19"/>
      <c r="D9" s="261"/>
      <c r="E9" s="19"/>
      <c r="F9" s="19"/>
      <c r="G9" s="19"/>
      <c r="H9" s="19"/>
      <c r="I9" s="19"/>
      <c r="J9" s="19"/>
      <c r="K9" s="19"/>
      <c r="L9" s="19"/>
      <c r="M9" s="19"/>
      <c r="N9" s="19"/>
      <c r="O9" s="19"/>
      <c r="P9" s="19"/>
    </row>
    <row r="10" spans="1:16">
      <c r="A10" s="24" t="s">
        <v>213</v>
      </c>
      <c r="B10" s="25">
        <f ca="1">'EF ele_warmte'!B12</f>
        <v>0.19029151505864522</v>
      </c>
      <c r="C10" s="25">
        <f ca="1">'EF ele_warmte'!B22</f>
        <v>8.0807346122374769E-3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3155.1193575554057</v>
      </c>
      <c r="C12" s="23">
        <f ca="1">C10*C8</f>
        <v>0</v>
      </c>
      <c r="D12" s="23">
        <f>D8*D10</f>
        <v>4980.0941096720007</v>
      </c>
      <c r="E12" s="23">
        <f>E10*E8</f>
        <v>157.86571452207005</v>
      </c>
      <c r="F12" s="23">
        <f>F10*F8</f>
        <v>5843.8581061072337</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363</v>
      </c>
      <c r="C18" s="168" t="s">
        <v>110</v>
      </c>
      <c r="D18" s="230"/>
      <c r="E18" s="15"/>
    </row>
    <row r="19" spans="1:7">
      <c r="A19" s="173" t="s">
        <v>71</v>
      </c>
      <c r="B19" s="37">
        <f>aantalw2001_ander</f>
        <v>5</v>
      </c>
      <c r="C19" s="168" t="s">
        <v>110</v>
      </c>
      <c r="D19" s="231"/>
      <c r="E19" s="15"/>
    </row>
    <row r="20" spans="1:7">
      <c r="A20" s="173" t="s">
        <v>72</v>
      </c>
      <c r="B20" s="37">
        <f>aantalw2001_propaan</f>
        <v>12</v>
      </c>
      <c r="C20" s="169">
        <f>IF(ISERROR(B20/SUM($B$20,$B$21,$B$22)*100),0,B20/SUM($B$20,$B$21,$B$22)*100)</f>
        <v>3.6363636363636362</v>
      </c>
      <c r="D20" s="231"/>
      <c r="E20" s="15"/>
    </row>
    <row r="21" spans="1:7">
      <c r="A21" s="173" t="s">
        <v>73</v>
      </c>
      <c r="B21" s="37">
        <f>aantalw2001_elektriciteit</f>
        <v>289</v>
      </c>
      <c r="C21" s="169">
        <f>IF(ISERROR(B21/SUM($B$20,$B$21,$B$22)*100),0,B21/SUM($B$20,$B$21,$B$22)*100)</f>
        <v>87.575757575757578</v>
      </c>
      <c r="D21" s="231"/>
      <c r="E21" s="15"/>
    </row>
    <row r="22" spans="1:7">
      <c r="A22" s="173" t="s">
        <v>74</v>
      </c>
      <c r="B22" s="37">
        <f>aantalw2001_hout</f>
        <v>29</v>
      </c>
      <c r="C22" s="169">
        <f>IF(ISERROR(B22/SUM($B$20,$B$21,$B$22)*100),0,B22/SUM($B$20,$B$21,$B$22)*100)</f>
        <v>8.7878787878787872</v>
      </c>
      <c r="D22" s="231"/>
      <c r="E22" s="15"/>
    </row>
    <row r="23" spans="1:7">
      <c r="A23" s="173" t="s">
        <v>75</v>
      </c>
      <c r="B23" s="37">
        <f>aantalw2001_niet_gespec</f>
        <v>26</v>
      </c>
      <c r="C23" s="168" t="s">
        <v>110</v>
      </c>
      <c r="D23" s="230"/>
      <c r="E23" s="15"/>
    </row>
    <row r="24" spans="1:7">
      <c r="A24" s="173" t="s">
        <v>76</v>
      </c>
      <c r="B24" s="37">
        <f>aantalw2001_steenkool</f>
        <v>61</v>
      </c>
      <c r="C24" s="168" t="s">
        <v>110</v>
      </c>
      <c r="D24" s="231"/>
      <c r="E24" s="15"/>
    </row>
    <row r="25" spans="1:7">
      <c r="A25" s="173" t="s">
        <v>77</v>
      </c>
      <c r="B25" s="37">
        <f>aantalw2001_stookolie</f>
        <v>1902</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3223</v>
      </c>
      <c r="C28" s="36"/>
      <c r="D28" s="230"/>
    </row>
    <row r="29" spans="1:7" s="15" customFormat="1">
      <c r="A29" s="232" t="s">
        <v>743</v>
      </c>
      <c r="B29" s="37">
        <f>SUM(HH_hh_gas_aantal,HH_rest_gas_aantal)</f>
        <v>1443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1443</v>
      </c>
      <c r="C32" s="169">
        <f>IF(ISERROR(B32/SUM($B$32,$B$34,$B$35,$B$36,$B$38,$B$39)*100),0,B32/SUM($B$32,$B$34,$B$35,$B$36,$B$38,$B$39)*100)</f>
        <v>44.995322731524787</v>
      </c>
      <c r="D32" s="235"/>
      <c r="G32" s="15"/>
    </row>
    <row r="33" spans="1:7">
      <c r="A33" s="173" t="s">
        <v>71</v>
      </c>
      <c r="B33" s="34" t="s">
        <v>110</v>
      </c>
      <c r="C33" s="169"/>
      <c r="D33" s="235"/>
      <c r="G33" s="15"/>
    </row>
    <row r="34" spans="1:7">
      <c r="A34" s="173" t="s">
        <v>72</v>
      </c>
      <c r="B34" s="33">
        <f>IF((($B$28-$B$32-$B$39-$B$77-$B$38)*C20/100)&lt;0,0,($B$28-$B$32-$B$39-$B$77-$B$38)*C20/100)</f>
        <v>30.327272727272724</v>
      </c>
      <c r="C34" s="169">
        <f>IF(ISERROR(B34/SUM($B$32,$B$34,$B$35,$B$36,$B$38,$B$39)*100),0,B34/SUM($B$32,$B$34,$B$35,$B$36,$B$38,$B$39)*100)</f>
        <v>0.94565864444255443</v>
      </c>
      <c r="D34" s="235"/>
      <c r="G34" s="15"/>
    </row>
    <row r="35" spans="1:7">
      <c r="A35" s="173" t="s">
        <v>73</v>
      </c>
      <c r="B35" s="33">
        <f>IF((($B$28-$B$32-$B$39-$B$77-$B$38)*C21/100)&lt;0,0,($B$28-$B$32-$B$39-$B$77-$B$38)*C21/100)</f>
        <v>730.38181818181829</v>
      </c>
      <c r="C35" s="169">
        <f>IF(ISERROR(B35/SUM($B$32,$B$34,$B$35,$B$36,$B$38,$B$39)*100),0,B35/SUM($B$32,$B$34,$B$35,$B$36,$B$38,$B$39)*100)</f>
        <v>22.774612353658192</v>
      </c>
      <c r="D35" s="235"/>
      <c r="G35" s="15"/>
    </row>
    <row r="36" spans="1:7">
      <c r="A36" s="173" t="s">
        <v>74</v>
      </c>
      <c r="B36" s="33">
        <f>IF((($B$28-$B$32-$B$39-$B$77-$B$38)*C22/100)&lt;0,0,($B$28-$B$32-$B$39-$B$77-$B$38)*C22/100)</f>
        <v>73.290909090909082</v>
      </c>
      <c r="C36" s="169">
        <f>IF(ISERROR(B36/SUM($B$32,$B$34,$B$35,$B$36,$B$38,$B$39)*100),0,B36/SUM($B$32,$B$34,$B$35,$B$36,$B$38,$B$39)*100)</f>
        <v>2.2853417240695064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930</v>
      </c>
      <c r="C39" s="169">
        <f>IF(ISERROR(B39/SUM($B$32,$B$34,$B$35,$B$36,$B$38,$B$39)*100),0,B39/SUM($B$32,$B$34,$B$35,$B$36,$B$38,$B$39)*100)</f>
        <v>28.999064546304954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1443</v>
      </c>
      <c r="C44" s="34" t="s">
        <v>110</v>
      </c>
      <c r="D44" s="176"/>
    </row>
    <row r="45" spans="1:7">
      <c r="A45" s="173" t="s">
        <v>71</v>
      </c>
      <c r="B45" s="33" t="str">
        <f t="shared" si="0"/>
        <v>-</v>
      </c>
      <c r="C45" s="34" t="s">
        <v>110</v>
      </c>
      <c r="D45" s="176"/>
    </row>
    <row r="46" spans="1:7">
      <c r="A46" s="173" t="s">
        <v>72</v>
      </c>
      <c r="B46" s="33">
        <f t="shared" si="0"/>
        <v>30.327272727272724</v>
      </c>
      <c r="C46" s="34" t="s">
        <v>110</v>
      </c>
      <c r="D46" s="176"/>
    </row>
    <row r="47" spans="1:7">
      <c r="A47" s="173" t="s">
        <v>73</v>
      </c>
      <c r="B47" s="33">
        <f t="shared" si="0"/>
        <v>730.38181818181829</v>
      </c>
      <c r="C47" s="34" t="s">
        <v>110</v>
      </c>
      <c r="D47" s="176"/>
    </row>
    <row r="48" spans="1:7">
      <c r="A48" s="173" t="s">
        <v>74</v>
      </c>
      <c r="B48" s="33">
        <f t="shared" si="0"/>
        <v>73.290909090909082</v>
      </c>
      <c r="C48" s="33">
        <f>B48*10</f>
        <v>732.90909090909076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930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6702.9290000000001</v>
      </c>
      <c r="C5" s="17">
        <f>IF(ISERROR('Eigen informatie GS &amp; warmtenet'!B58),0,'Eigen informatie GS &amp; warmtenet'!B58)</f>
        <v>0</v>
      </c>
      <c r="D5" s="30">
        <f>SUM(D6:D12)</f>
        <v>3652.2918080000004</v>
      </c>
      <c r="E5" s="17">
        <f>SUM(E6:E12)</f>
        <v>68.012361026754931</v>
      </c>
      <c r="F5" s="17">
        <f>SUM(F6:F12)</f>
        <v>1445.0612884219831</v>
      </c>
      <c r="G5" s="18"/>
      <c r="H5" s="17"/>
      <c r="I5" s="17"/>
      <c r="J5" s="17">
        <f>SUM(J6:J12)</f>
        <v>0</v>
      </c>
      <c r="K5" s="17"/>
      <c r="L5" s="17"/>
      <c r="M5" s="17"/>
      <c r="N5" s="17">
        <f>SUM(N6:N12)</f>
        <v>1492.1795434338471</v>
      </c>
      <c r="O5" s="17">
        <f>B38*B39*B40</f>
        <v>0</v>
      </c>
      <c r="P5" s="17">
        <f>B46*B47*B48/1000-B46*B47*B48/1000/B49</f>
        <v>0</v>
      </c>
      <c r="R5" s="32"/>
    </row>
    <row r="6" spans="1:18">
      <c r="A6" s="32" t="s">
        <v>53</v>
      </c>
      <c r="B6" s="37">
        <f>B26</f>
        <v>1894.133</v>
      </c>
      <c r="C6" s="33"/>
      <c r="D6" s="37">
        <f>IF(ISERROR(TER_kantoor_gas_kWh/1000),0,TER_kantoor_gas_kWh/1000)*0.902</f>
        <v>1086.877528</v>
      </c>
      <c r="E6" s="33">
        <f>$C$26*'E Balans VL '!I12/100/3.6*1000000</f>
        <v>7.3591077163209624</v>
      </c>
      <c r="F6" s="33">
        <f>$C$26*('E Balans VL '!L12+'E Balans VL '!N12)/100/3.6*1000000</f>
        <v>288.08039406381232</v>
      </c>
      <c r="G6" s="34"/>
      <c r="H6" s="33"/>
      <c r="I6" s="33"/>
      <c r="J6" s="33">
        <f>$C$26*('E Balans VL '!D12+'E Balans VL '!E12)/100/3.6*1000000</f>
        <v>0</v>
      </c>
      <c r="K6" s="33"/>
      <c r="L6" s="33"/>
      <c r="M6" s="33"/>
      <c r="N6" s="33">
        <f>$C$26*'E Balans VL '!Y12/100/3.6*1000000</f>
        <v>1.0438941945452627</v>
      </c>
      <c r="O6" s="33"/>
      <c r="P6" s="33"/>
      <c r="R6" s="32"/>
    </row>
    <row r="7" spans="1:18">
      <c r="A7" s="32" t="s">
        <v>52</v>
      </c>
      <c r="B7" s="37">
        <f t="shared" ref="B7:B12" si="0">B27</f>
        <v>363.55700000000002</v>
      </c>
      <c r="C7" s="33"/>
      <c r="D7" s="37">
        <f>IF(ISERROR(TER_horeca_gas_kWh/1000),0,TER_horeca_gas_kWh/1000)*0.902</f>
        <v>491.57917600000007</v>
      </c>
      <c r="E7" s="33">
        <f>$C$27*'E Balans VL '!I9/100/3.6*1000000</f>
        <v>20.47926300903762</v>
      </c>
      <c r="F7" s="33">
        <f>$C$27*('E Balans VL '!L9+'E Balans VL '!N9)/100/3.6*1000000</f>
        <v>104.82807308673519</v>
      </c>
      <c r="G7" s="34"/>
      <c r="H7" s="33"/>
      <c r="I7" s="33"/>
      <c r="J7" s="33">
        <f>$C$27*('E Balans VL '!D9+'E Balans VL '!E9)/100/3.6*1000000</f>
        <v>0</v>
      </c>
      <c r="K7" s="33"/>
      <c r="L7" s="33"/>
      <c r="M7" s="33"/>
      <c r="N7" s="33">
        <f>$C$27*'E Balans VL '!Y9/100/3.6*1000000</f>
        <v>0.10037619848007709</v>
      </c>
      <c r="O7" s="33"/>
      <c r="P7" s="33"/>
      <c r="R7" s="32"/>
    </row>
    <row r="8" spans="1:18">
      <c r="A8" s="6" t="s">
        <v>51</v>
      </c>
      <c r="B8" s="37">
        <f t="shared" si="0"/>
        <v>2091.5770000000002</v>
      </c>
      <c r="C8" s="33"/>
      <c r="D8" s="37">
        <f>IF(ISERROR(TER_handel_gas_kWh/1000),0,TER_handel_gas_kWh/1000)*0.902</f>
        <v>1204.289966</v>
      </c>
      <c r="E8" s="33">
        <f>$C$28*'E Balans VL '!I13/100/3.6*1000000</f>
        <v>30.146720584880125</v>
      </c>
      <c r="F8" s="33">
        <f>$C$28*('E Balans VL '!L13+'E Balans VL '!N13)/100/3.6*1000000</f>
        <v>363.35563444146607</v>
      </c>
      <c r="G8" s="34"/>
      <c r="H8" s="33"/>
      <c r="I8" s="33"/>
      <c r="J8" s="33">
        <f>$C$28*('E Balans VL '!D13+'E Balans VL '!E13)/100/3.6*1000000</f>
        <v>0</v>
      </c>
      <c r="K8" s="33"/>
      <c r="L8" s="33"/>
      <c r="M8" s="33"/>
      <c r="N8" s="33">
        <f>$C$28*'E Balans VL '!Y13/100/3.6*1000000</f>
        <v>6.266597531148161</v>
      </c>
      <c r="O8" s="33"/>
      <c r="P8" s="33"/>
      <c r="R8" s="32"/>
    </row>
    <row r="9" spans="1:18">
      <c r="A9" s="32" t="s">
        <v>50</v>
      </c>
      <c r="B9" s="37">
        <f t="shared" si="0"/>
        <v>149.63499999999999</v>
      </c>
      <c r="C9" s="33"/>
      <c r="D9" s="37">
        <f>IF(ISERROR(TER_gezond_gas_kWh/1000),0,TER_gezond_gas_kWh/1000)*0.902</f>
        <v>262.75530600000002</v>
      </c>
      <c r="E9" s="33">
        <f>$C$29*'E Balans VL '!I10/100/3.6*1000000</f>
        <v>0.1598489639677039</v>
      </c>
      <c r="F9" s="33">
        <f>$C$29*('E Balans VL '!L10+'E Balans VL '!N10)/100/3.6*1000000</f>
        <v>24.410016078298963</v>
      </c>
      <c r="G9" s="34"/>
      <c r="H9" s="33"/>
      <c r="I9" s="33"/>
      <c r="J9" s="33">
        <f>$C$29*('E Balans VL '!D10+'E Balans VL '!E10)/100/3.6*1000000</f>
        <v>0</v>
      </c>
      <c r="K9" s="33"/>
      <c r="L9" s="33"/>
      <c r="M9" s="33"/>
      <c r="N9" s="33">
        <f>$C$29*'E Balans VL '!Y10/100/3.6*1000000</f>
        <v>1.5404069449723576</v>
      </c>
      <c r="O9" s="33"/>
      <c r="P9" s="33"/>
      <c r="R9" s="32"/>
    </row>
    <row r="10" spans="1:18">
      <c r="A10" s="32" t="s">
        <v>49</v>
      </c>
      <c r="B10" s="37">
        <f t="shared" si="0"/>
        <v>2130.873</v>
      </c>
      <c r="C10" s="33"/>
      <c r="D10" s="37">
        <f>IF(ISERROR(TER_ander_gas_kWh/1000),0,TER_ander_gas_kWh/1000)*0.902</f>
        <v>367.69128000000001</v>
      </c>
      <c r="E10" s="33">
        <f>$C$30*'E Balans VL '!I14/100/3.6*1000000</f>
        <v>9.7995607971553635</v>
      </c>
      <c r="F10" s="33">
        <f>$C$30*('E Balans VL '!L14+'E Balans VL '!N14)/100/3.6*1000000</f>
        <v>638.6898518754798</v>
      </c>
      <c r="G10" s="34"/>
      <c r="H10" s="33"/>
      <c r="I10" s="33"/>
      <c r="J10" s="33">
        <f>$C$30*('E Balans VL '!D14+'E Balans VL '!E14)/100/3.6*1000000</f>
        <v>0</v>
      </c>
      <c r="K10" s="33"/>
      <c r="L10" s="33"/>
      <c r="M10" s="33"/>
      <c r="N10" s="33">
        <f>$C$30*'E Balans VL '!Y14/100/3.6*1000000</f>
        <v>1483.2282685647012</v>
      </c>
      <c r="O10" s="33"/>
      <c r="P10" s="33"/>
      <c r="R10" s="32"/>
    </row>
    <row r="11" spans="1:18">
      <c r="A11" s="32" t="s">
        <v>54</v>
      </c>
      <c r="B11" s="37">
        <f t="shared" si="0"/>
        <v>73.153999999999996</v>
      </c>
      <c r="C11" s="33"/>
      <c r="D11" s="37">
        <f>IF(ISERROR(TER_onderwijs_gas_kWh/1000),0,TER_onderwijs_gas_kWh/1000)*0.902</f>
        <v>0</v>
      </c>
      <c r="E11" s="33">
        <f>$C$31*'E Balans VL '!I11/100/3.6*1000000</f>
        <v>6.7859955393162155E-2</v>
      </c>
      <c r="F11" s="33">
        <f>$C$31*('E Balans VL '!L11+'E Balans VL '!N11)/100/3.6*1000000</f>
        <v>25.697318876190813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239.09855200000001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energieproductie'!N39+'lokale energieproductie'!N32</f>
        <v>39.6</v>
      </c>
      <c r="C13" s="249">
        <f ca="1">'lokale energieproductie'!O39+'lokale energieproductie'!O32</f>
        <v>56.571428571428577</v>
      </c>
      <c r="D13" s="310">
        <f ca="1">('lokale energieproductie'!P32+'lokale energieproductie'!P39)*(-1)</f>
        <v>-113.14285714285715</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6742.5290000000005</v>
      </c>
      <c r="C16" s="21">
        <f t="shared" ca="1" si="1"/>
        <v>56.571428571428577</v>
      </c>
      <c r="D16" s="21">
        <f t="shared" ca="1" si="1"/>
        <v>3539.1489508571431</v>
      </c>
      <c r="E16" s="21">
        <f t="shared" si="1"/>
        <v>68.012361026754931</v>
      </c>
      <c r="F16" s="21">
        <f t="shared" ca="1" si="1"/>
        <v>1445.0612884219831</v>
      </c>
      <c r="G16" s="21">
        <f t="shared" si="1"/>
        <v>0</v>
      </c>
      <c r="H16" s="21">
        <f t="shared" si="1"/>
        <v>0</v>
      </c>
      <c r="I16" s="21">
        <f t="shared" si="1"/>
        <v>0</v>
      </c>
      <c r="J16" s="21">
        <f t="shared" si="1"/>
        <v>0</v>
      </c>
      <c r="K16" s="21">
        <f t="shared" si="1"/>
        <v>0</v>
      </c>
      <c r="L16" s="21">
        <f t="shared" ca="1" si="1"/>
        <v>0</v>
      </c>
      <c r="M16" s="21">
        <f t="shared" si="1"/>
        <v>0</v>
      </c>
      <c r="N16" s="21">
        <f t="shared" ca="1" si="1"/>
        <v>1492.1795434338471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0.19029151505864522</v>
      </c>
      <c r="C18" s="25">
        <f ca="1">'EF ele_warmte'!B22</f>
        <v>8.0807346122374769E-3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1283.0460587368523</v>
      </c>
      <c r="C20" s="23">
        <f t="shared" ref="C20:P20" ca="1" si="2">C16*C18</f>
        <v>0.45713870092086301</v>
      </c>
      <c r="D20" s="23">
        <f t="shared" ca="1" si="2"/>
        <v>714.90808807314295</v>
      </c>
      <c r="E20" s="23">
        <f t="shared" si="2"/>
        <v>15.43880595307337</v>
      </c>
      <c r="F20" s="23">
        <f t="shared" ca="1" si="2"/>
        <v>385.83136400866954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1894.133</v>
      </c>
      <c r="C26" s="39">
        <f>IF(ISERROR(B26*3.6/1000000/'E Balans VL '!Z12*100),0,B26*3.6/1000000/'E Balans VL '!Z12*100)</f>
        <v>4.0232323151519776E-2</v>
      </c>
      <c r="D26" s="239" t="s">
        <v>689</v>
      </c>
      <c r="F26" s="6"/>
    </row>
    <row r="27" spans="1:18">
      <c r="A27" s="233" t="s">
        <v>52</v>
      </c>
      <c r="B27" s="33">
        <f>IF(ISERROR(TER_horeca_ele_kWh/1000),0,TER_horeca_ele_kWh/1000)</f>
        <v>363.55700000000002</v>
      </c>
      <c r="C27" s="39">
        <f>IF(ISERROR(B27*3.6/1000000/'E Balans VL '!Z9*100),0,B27*3.6/1000000/'E Balans VL '!Z9*100)</f>
        <v>2.8268770840594978E-2</v>
      </c>
      <c r="D27" s="239" t="s">
        <v>689</v>
      </c>
      <c r="F27" s="6"/>
    </row>
    <row r="28" spans="1:18">
      <c r="A28" s="173" t="s">
        <v>51</v>
      </c>
      <c r="B28" s="33">
        <f>IF(ISERROR(TER_handel_ele_kWh/1000),0,TER_handel_ele_kWh/1000)</f>
        <v>2091.5770000000002</v>
      </c>
      <c r="C28" s="39">
        <f>IF(ISERROR(B28*3.6/1000000/'E Balans VL '!Z13*100),0,B28*3.6/1000000/'E Balans VL '!Z13*100)</f>
        <v>5.9842479509888663E-2</v>
      </c>
      <c r="D28" s="239" t="s">
        <v>689</v>
      </c>
      <c r="F28" s="6"/>
    </row>
    <row r="29" spans="1:18">
      <c r="A29" s="233" t="s">
        <v>50</v>
      </c>
      <c r="B29" s="33">
        <f>IF(ISERROR(TER_gezond_ele_kWh/1000),0,TER_gezond_ele_kWh/1000)</f>
        <v>149.63499999999999</v>
      </c>
      <c r="C29" s="39">
        <f>IF(ISERROR(B29*3.6/1000000/'E Balans VL '!Z10*100),0,B29*3.6/1000000/'E Balans VL '!Z10*100)</f>
        <v>1.6313692100385E-2</v>
      </c>
      <c r="D29" s="239" t="s">
        <v>689</v>
      </c>
      <c r="F29" s="6"/>
    </row>
    <row r="30" spans="1:18">
      <c r="A30" s="233" t="s">
        <v>49</v>
      </c>
      <c r="B30" s="33">
        <f>IF(ISERROR(TER_ander_ele_kWh/1000),0,TER_ander_ele_kWh/1000)</f>
        <v>2130.873</v>
      </c>
      <c r="C30" s="39">
        <f>IF(ISERROR(B30*3.6/1000000/'E Balans VL '!Z14*100),0,B30*3.6/1000000/'E Balans VL '!Z14*100)</f>
        <v>0.15593245236918621</v>
      </c>
      <c r="D30" s="239" t="s">
        <v>689</v>
      </c>
      <c r="F30" s="6"/>
    </row>
    <row r="31" spans="1:18">
      <c r="A31" s="233" t="s">
        <v>54</v>
      </c>
      <c r="B31" s="33">
        <f>IF(ISERROR(TER_onderwijs_ele_kWh/1000),0,TER_onderwijs_ele_kWh/1000)</f>
        <v>73.153999999999996</v>
      </c>
      <c r="C31" s="39">
        <f>IF(ISERROR(B31*3.6/1000000/'E Balans VL '!Z11*100),0,B31*3.6/1000000/'E Balans VL '!Z11*100)</f>
        <v>1.4693035222662458E-2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590.96600000000012</v>
      </c>
      <c r="C5" s="17">
        <f>IF(ISERROR('Eigen informatie GS &amp; warmtenet'!B59),0,'Eigen informatie GS &amp; warmtenet'!B59)</f>
        <v>0</v>
      </c>
      <c r="D5" s="30">
        <f>SUM(D6:D15)</f>
        <v>583.28461399999992</v>
      </c>
      <c r="E5" s="17">
        <f>SUM(E6:E15)</f>
        <v>82.405279113716858</v>
      </c>
      <c r="F5" s="17">
        <f>SUM(F6:F15)</f>
        <v>450.9955418203528</v>
      </c>
      <c r="G5" s="18"/>
      <c r="H5" s="17"/>
      <c r="I5" s="17"/>
      <c r="J5" s="17">
        <f>SUM(J6:J15)</f>
        <v>0.258961013601608</v>
      </c>
      <c r="K5" s="17"/>
      <c r="L5" s="17"/>
      <c r="M5" s="17"/>
      <c r="N5" s="17">
        <f>SUM(N6:N15)</f>
        <v>78.350957506426553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99.128</v>
      </c>
      <c r="C8" s="33"/>
      <c r="D8" s="37">
        <f>IF( ISERROR(IND_metaal_Gas_kWH/1000),0,IND_metaal_Gas_kWH/1000)*0.902</f>
        <v>154.31506199999998</v>
      </c>
      <c r="E8" s="33">
        <f>C30*'E Balans VL '!I18/100/3.6*1000000</f>
        <v>2.8473282408656555</v>
      </c>
      <c r="F8" s="33">
        <f>C30*'E Balans VL '!L18/100/3.6*1000000+C30*'E Balans VL '!N18/100/3.6*1000000</f>
        <v>25.424425494573651</v>
      </c>
      <c r="G8" s="34"/>
      <c r="H8" s="33"/>
      <c r="I8" s="33"/>
      <c r="J8" s="40">
        <f>C30*'E Balans VL '!D18/100/3.6*1000000+C30*'E Balans VL '!E18/100/3.6*1000000</f>
        <v>0</v>
      </c>
      <c r="K8" s="33"/>
      <c r="L8" s="33"/>
      <c r="M8" s="33"/>
      <c r="N8" s="33">
        <f>C30*'E Balans VL '!Y18/100/3.6*1000000</f>
        <v>2.6915275489163331</v>
      </c>
      <c r="O8" s="33"/>
      <c r="P8" s="33"/>
      <c r="R8" s="32"/>
    </row>
    <row r="9" spans="1:18">
      <c r="A9" s="6" t="s">
        <v>32</v>
      </c>
      <c r="B9" s="37">
        <f t="shared" si="0"/>
        <v>240.26900000000001</v>
      </c>
      <c r="C9" s="33"/>
      <c r="D9" s="37">
        <f>IF( ISERROR(IND_andere_gas_kWh/1000),0,IND_andere_gas_kWh/1000)*0.902</f>
        <v>363.313874</v>
      </c>
      <c r="E9" s="33">
        <f>C31*'E Balans VL '!I19/100/3.6*1000000</f>
        <v>65.034910796379137</v>
      </c>
      <c r="F9" s="33">
        <f>C31*'E Balans VL '!L19/100/3.6*1000000+C31*'E Balans VL '!N19/100/3.6*1000000</f>
        <v>160.04457977139572</v>
      </c>
      <c r="G9" s="34"/>
      <c r="H9" s="33"/>
      <c r="I9" s="33"/>
      <c r="J9" s="40">
        <f>C31*'E Balans VL '!D19/100/3.6*1000000+C31*'E Balans VL '!E19/100/3.6*1000000</f>
        <v>0</v>
      </c>
      <c r="K9" s="33"/>
      <c r="L9" s="33"/>
      <c r="M9" s="33"/>
      <c r="N9" s="33">
        <f>C31*'E Balans VL '!Y19/100/3.6*1000000</f>
        <v>20.313152349625859</v>
      </c>
      <c r="O9" s="33"/>
      <c r="P9" s="33"/>
      <c r="R9" s="32"/>
    </row>
    <row r="10" spans="1:18">
      <c r="A10" s="6" t="s">
        <v>40</v>
      </c>
      <c r="B10" s="37">
        <f t="shared" si="0"/>
        <v>164.13</v>
      </c>
      <c r="C10" s="33"/>
      <c r="D10" s="37">
        <f>IF( ISERROR(IND_voed_gas_kWh/1000),0,IND_voed_gas_kWh/1000)*0.902</f>
        <v>0</v>
      </c>
      <c r="E10" s="33">
        <f>C32*'E Balans VL '!I20/100/3.6*1000000</f>
        <v>13.386819878862898</v>
      </c>
      <c r="F10" s="33">
        <f>C32*'E Balans VL '!L20/100/3.6*1000000+C32*'E Balans VL '!N20/100/3.6*1000000</f>
        <v>244.73272117838425</v>
      </c>
      <c r="G10" s="34"/>
      <c r="H10" s="33"/>
      <c r="I10" s="33"/>
      <c r="J10" s="40">
        <f>C32*'E Balans VL '!D20/100/3.6*1000000+C32*'E Balans VL '!E20/100/3.6*1000000</f>
        <v>2.1712406729064364E-3</v>
      </c>
      <c r="K10" s="33"/>
      <c r="L10" s="33"/>
      <c r="M10" s="33"/>
      <c r="N10" s="33">
        <f>C32*'E Balans VL '!Y20/100/3.6*1000000</f>
        <v>48.215602476787552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43.231000000000002</v>
      </c>
      <c r="C12" s="33"/>
      <c r="D12" s="37">
        <f>IF( ISERROR(IND_min_gas_kWh/1000),0,IND_min_gas_kWh/1000)*0.902</f>
        <v>0</v>
      </c>
      <c r="E12" s="33">
        <f>C34*'E Balans VL '!I22/100/3.6*1000000</f>
        <v>0.33676007036605193</v>
      </c>
      <c r="F12" s="33">
        <f>C34*'E Balans VL '!L22/100/3.6*1000000+C34*'E Balans VL '!N22/100/3.6*1000000</f>
        <v>16.304076573910681</v>
      </c>
      <c r="G12" s="34"/>
      <c r="H12" s="33"/>
      <c r="I12" s="33"/>
      <c r="J12" s="40">
        <f>C34*'E Balans VL '!D22/100/3.6*1000000+C34*'E Balans VL '!E22/100/3.6*1000000</f>
        <v>0.23776672018711409</v>
      </c>
      <c r="K12" s="33"/>
      <c r="L12" s="33"/>
      <c r="M12" s="33"/>
      <c r="N12" s="33">
        <f>C34*'E Balans VL '!Y22/100/3.6*1000000</f>
        <v>0</v>
      </c>
      <c r="O12" s="33"/>
      <c r="P12" s="33"/>
      <c r="R12" s="32"/>
    </row>
    <row r="13" spans="1:18">
      <c r="A13" s="6" t="s">
        <v>38</v>
      </c>
      <c r="B13" s="37">
        <f t="shared" si="0"/>
        <v>36.786000000000001</v>
      </c>
      <c r="C13" s="33"/>
      <c r="D13" s="37">
        <f>IF( ISERROR(IND_papier_gas_kWh/1000),0,IND_papier_gas_kWh/1000)*0.902</f>
        <v>0</v>
      </c>
      <c r="E13" s="33">
        <f>C35*'E Balans VL '!I23/100/3.6*1000000</f>
        <v>0.38540036591336096</v>
      </c>
      <c r="F13" s="33">
        <f>C35*'E Balans VL '!L23/100/3.6*1000000+C35*'E Balans VL '!N23/100/3.6*1000000</f>
        <v>2.7449778401725711</v>
      </c>
      <c r="G13" s="34"/>
      <c r="H13" s="33"/>
      <c r="I13" s="33"/>
      <c r="J13" s="40">
        <f>C35*'E Balans VL '!D23/100/3.6*1000000+C35*'E Balans VL '!E23/100/3.6*1000000</f>
        <v>0</v>
      </c>
      <c r="K13" s="33"/>
      <c r="L13" s="33"/>
      <c r="M13" s="33"/>
      <c r="N13" s="33">
        <f>C35*'E Balans VL '!Y23/100/3.6*1000000</f>
        <v>6.7862215953971123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7.4219999999999997</v>
      </c>
      <c r="C15" s="33"/>
      <c r="D15" s="37">
        <f>IF( ISERROR(IND_rest_gas_kWh/1000),0,IND_rest_gas_kWh/1000)*0.902</f>
        <v>65.655678000000009</v>
      </c>
      <c r="E15" s="33">
        <f>C37*'E Balans VL '!I15/100/3.6*1000000</f>
        <v>0.41405976132976252</v>
      </c>
      <c r="F15" s="33">
        <f>C37*'E Balans VL '!L15/100/3.6*1000000+C37*'E Balans VL '!N15/100/3.6*1000000</f>
        <v>1.7447609619158966</v>
      </c>
      <c r="G15" s="34"/>
      <c r="H15" s="33"/>
      <c r="I15" s="33"/>
      <c r="J15" s="40">
        <f>C37*'E Balans VL '!D15/100/3.6*1000000+C37*'E Balans VL '!E15/100/3.6*1000000</f>
        <v>1.9023052741587464E-2</v>
      </c>
      <c r="K15" s="33"/>
      <c r="L15" s="33"/>
      <c r="M15" s="33"/>
      <c r="N15" s="33">
        <f>C37*'E Balans VL '!Y15/100/3.6*1000000</f>
        <v>0.34445353569970555</v>
      </c>
      <c r="O15" s="33"/>
      <c r="P15" s="33"/>
      <c r="R15" s="32"/>
    </row>
    <row r="16" spans="1:18">
      <c r="A16" s="16" t="s">
        <v>496</v>
      </c>
      <c r="B16" s="249">
        <f>'lokale energieproductie'!N38+'lokale energieproductie'!N31</f>
        <v>1125</v>
      </c>
      <c r="C16" s="249">
        <f>'lokale energieproductie'!O38+'lokale energieproductie'!O31</f>
        <v>1607.1428571428571</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-3214.2857142857147</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1715.9660000000001</v>
      </c>
      <c r="C18" s="21">
        <f>C5+C16</f>
        <v>1607.1428571428571</v>
      </c>
      <c r="D18" s="21">
        <f>MAX((D5+D16),0)</f>
        <v>583.28461399999992</v>
      </c>
      <c r="E18" s="21">
        <f>MAX((E5+E16),0)</f>
        <v>82.405279113716858</v>
      </c>
      <c r="F18" s="21">
        <f>MAX((F5+F16),0)</f>
        <v>450.9955418203528</v>
      </c>
      <c r="G18" s="21"/>
      <c r="H18" s="21"/>
      <c r="I18" s="21"/>
      <c r="J18" s="21">
        <f>MAX((J5+J16),0)</f>
        <v>0.258961013601608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0.19029151505864522</v>
      </c>
      <c r="C20" s="25">
        <f ca="1">'EF ele_warmte'!B22</f>
        <v>8.0807346122374769E-3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326.53376992912325</v>
      </c>
      <c r="C22" s="23">
        <f ca="1">C18*C20</f>
        <v>12.986894912524516</v>
      </c>
      <c r="D22" s="23">
        <f>D18*D20</f>
        <v>117.82349202799999</v>
      </c>
      <c r="E22" s="23">
        <f>E18*E20</f>
        <v>18.705998358813726</v>
      </c>
      <c r="F22" s="23">
        <f>F18*F20</f>
        <v>120.41580966603421</v>
      </c>
      <c r="G22" s="23"/>
      <c r="H22" s="23"/>
      <c r="I22" s="23"/>
      <c r="J22" s="23">
        <f>J18*J20</f>
        <v>9.1672198814969227E-2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99.128</v>
      </c>
      <c r="C30" s="39">
        <f>IF(ISERROR(B30*3.6/1000000/'E Balans VL '!Z18*100),0,B30*3.6/1000000/'E Balans VL '!Z18*100)</f>
        <v>9.7539421531718257E-3</v>
      </c>
      <c r="D30" s="239" t="s">
        <v>689</v>
      </c>
    </row>
    <row r="31" spans="1:18">
      <c r="A31" s="6" t="s">
        <v>32</v>
      </c>
      <c r="B31" s="37">
        <f>IF( ISERROR(IND_ander_ele_kWh/1000),0,IND_ander_ele_kWh/1000)</f>
        <v>240.26900000000001</v>
      </c>
      <c r="C31" s="39">
        <f>IF(ISERROR(B31*3.6/1000000/'E Balans VL '!Z19*100),0,B31*3.6/1000000/'E Balans VL '!Z19*100)</f>
        <v>1.0463523289306683E-2</v>
      </c>
      <c r="D31" s="239" t="s">
        <v>689</v>
      </c>
    </row>
    <row r="32" spans="1:18">
      <c r="A32" s="173" t="s">
        <v>40</v>
      </c>
      <c r="B32" s="37">
        <f>IF( ISERROR(IND_voed_ele_kWh/1000),0,IND_voed_ele_kWh/1000)</f>
        <v>164.13</v>
      </c>
      <c r="C32" s="39">
        <f>IF(ISERROR(B32*3.6/1000000/'E Balans VL '!Z20*100),0,B32*3.6/1000000/'E Balans VL '!Z20*100)</f>
        <v>3.1141300487899853E-2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43.231000000000002</v>
      </c>
      <c r="C34" s="39">
        <f>IF(ISERROR(B34*3.6/1000000/'E Balans VL '!Z22*100),0,B34*3.6/1000000/'E Balans VL '!Z22*100)</f>
        <v>6.0787127121708848E-3</v>
      </c>
      <c r="D34" s="239" t="s">
        <v>689</v>
      </c>
    </row>
    <row r="35" spans="1:5">
      <c r="A35" s="173" t="s">
        <v>38</v>
      </c>
      <c r="B35" s="37">
        <f>IF( ISERROR(IND_papier_ele_kWh/1000),0,IND_papier_ele_kWh/1000)</f>
        <v>36.786000000000001</v>
      </c>
      <c r="C35" s="39">
        <f>IF(ISERROR(B35*3.6/1000000/'E Balans VL '!Z22*100),0,B35*3.6/1000000/'E Balans VL '!Z22*100)</f>
        <v>5.1724809934981424E-3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7.4219999999999997</v>
      </c>
      <c r="C37" s="39">
        <f>IF(ISERROR(B37*3.6/1000000/'E Balans VL '!Z15*100),0,B37*3.6/1000000/'E Balans VL '!Z15*100)</f>
        <v>5.7195626095087434E-5</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180.45599999999999</v>
      </c>
      <c r="C5" s="17">
        <f>'Eigen informatie GS &amp; warmtenet'!B60</f>
        <v>0</v>
      </c>
      <c r="D5" s="30">
        <f>IF(ISERROR(SUM(LB_lb_gas_kWh,LB_rest_gas_kWh)/1000),0,SUM(LB_lb_gas_kWh,LB_rest_gas_kWh)/1000)*0.902</f>
        <v>0</v>
      </c>
      <c r="E5" s="17">
        <f>B17*'E Balans VL '!I25/3.6*1000000/100</f>
        <v>2.2739780745948681</v>
      </c>
      <c r="F5" s="17">
        <f>B17*('E Balans VL '!L25/3.6*1000000+'E Balans VL '!N25/3.6*1000000)/100</f>
        <v>622.61840692922465</v>
      </c>
      <c r="G5" s="18"/>
      <c r="H5" s="17"/>
      <c r="I5" s="17"/>
      <c r="J5" s="17">
        <f>('E Balans VL '!D25+'E Balans VL '!E25)/3.6*1000000*landbouw!B17/100</f>
        <v>27.13853104859092</v>
      </c>
      <c r="K5" s="17"/>
      <c r="L5" s="17">
        <f>L6*(-1)</f>
        <v>0</v>
      </c>
      <c r="M5" s="17"/>
      <c r="N5" s="17">
        <f>N6*(-1)</f>
        <v>0</v>
      </c>
      <c r="O5" s="17"/>
      <c r="P5" s="17"/>
      <c r="R5" s="32"/>
    </row>
    <row r="6" spans="1:18">
      <c r="A6" s="16" t="s">
        <v>496</v>
      </c>
      <c r="B6" s="17" t="s">
        <v>210</v>
      </c>
      <c r="C6" s="17">
        <f>'lokale energieproductie'!O40+'lokale energieproductie'!O33</f>
        <v>0</v>
      </c>
      <c r="D6" s="310">
        <f>('lokale energieproductie'!P33+'lokale energieproductie'!P40)*(-1)</f>
        <v>0</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180.45599999999999</v>
      </c>
      <c r="C8" s="21">
        <f>C5+C6</f>
        <v>0</v>
      </c>
      <c r="D8" s="21">
        <f>MAX((D5+D6),0)</f>
        <v>0</v>
      </c>
      <c r="E8" s="21">
        <f>MAX((E5+E6),0)</f>
        <v>2.2739780745948681</v>
      </c>
      <c r="F8" s="21">
        <f>MAX((F5+F6),0)</f>
        <v>622.61840692922465</v>
      </c>
      <c r="G8" s="21"/>
      <c r="H8" s="21"/>
      <c r="I8" s="21"/>
      <c r="J8" s="21">
        <f>MAX((J5+J6),0)</f>
        <v>27.13853104859092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0.19029151505864522</v>
      </c>
      <c r="C10" s="31">
        <f ca="1">'EF ele_warmte'!B22</f>
        <v>8.0807346122374769E-3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34.339245641422877</v>
      </c>
      <c r="C12" s="23">
        <f ca="1">C8*C10</f>
        <v>0</v>
      </c>
      <c r="D12" s="23">
        <f>D8*D10</f>
        <v>0</v>
      </c>
      <c r="E12" s="23">
        <f>E8*E10</f>
        <v>0.51619302293303504</v>
      </c>
      <c r="F12" s="23">
        <f>F8*F10</f>
        <v>166.23911465010298</v>
      </c>
      <c r="G12" s="23"/>
      <c r="H12" s="23"/>
      <c r="I12" s="23"/>
      <c r="J12" s="23">
        <f>J8*J10</f>
        <v>9.6070399912011855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2.5167924357026625E-2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30.128443185177748</v>
      </c>
      <c r="C26" s="249">
        <f>B26*'GWP N2O_CH4'!B5</f>
        <v>632.69730688873267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6.8457095497418869</v>
      </c>
      <c r="C27" s="249">
        <f>B27*'GWP N2O_CH4'!B5</f>
        <v>143.75990054457964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0.41011678034221583</v>
      </c>
      <c r="C28" s="249">
        <f>B28*'GWP N2O_CH4'!B4</f>
        <v>127.13620190608691</v>
      </c>
      <c r="D28" s="50"/>
    </row>
    <row r="29" spans="1:4">
      <c r="A29" s="41" t="s">
        <v>276</v>
      </c>
      <c r="B29" s="249">
        <f>B34*'ha_N2O bodem landbouw'!B4</f>
        <v>2.2873436757805394</v>
      </c>
      <c r="C29" s="249">
        <f>B29*'GWP N2O_CH4'!B4</f>
        <v>709.0765394919672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5.7112686006648269E-4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8.0920179280189494E-6</v>
      </c>
      <c r="C5" s="444" t="s">
        <v>210</v>
      </c>
      <c r="D5" s="429">
        <f>SUM(D6:D11)</f>
        <v>1.3565309450412211E-5</v>
      </c>
      <c r="E5" s="429">
        <f>SUM(E6:E11)</f>
        <v>4.7839204306264265E-4</v>
      </c>
      <c r="F5" s="442" t="s">
        <v>210</v>
      </c>
      <c r="G5" s="429">
        <f>SUM(G6:G11)</f>
        <v>0.12754820262599353</v>
      </c>
      <c r="H5" s="429">
        <f>SUM(H6:H11)</f>
        <v>2.4704558405633396E-2</v>
      </c>
      <c r="I5" s="444" t="s">
        <v>210</v>
      </c>
      <c r="J5" s="444" t="s">
        <v>210</v>
      </c>
      <c r="K5" s="444" t="s">
        <v>210</v>
      </c>
      <c r="L5" s="444" t="s">
        <v>210</v>
      </c>
      <c r="M5" s="429">
        <f>SUM(M6:M11)</f>
        <v>6.8850873628127918E-3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6.5690509908279499E-6</v>
      </c>
      <c r="C6" s="883"/>
      <c r="D6" s="883">
        <f>vkm_GW_PW*SUMIFS(TableVerdeelsleutelVkm[CNG],TableVerdeelsleutelVkm[Voertuigtype],"Lichte voertuigen")*SUMIFS(TableECFTransport[EnergieConsumptieFactor (PJ per km)],TableECFTransport[Index],CONCATENATE($A6,"_CNG_CNG"))</f>
        <v>9.7351379051248052E-6</v>
      </c>
      <c r="E6" s="883">
        <f>vkm_GW_PW*SUMIFS(TableVerdeelsleutelVkm[LPG],TableVerdeelsleutelVkm[Voertuigtype],"Lichte voertuigen")*SUMIFS(TableECFTransport[EnergieConsumptieFactor (PJ per km)],TableECFTransport[Index],CONCATENATE($A6,"_LPG_LPG"))</f>
        <v>3.4867706719824619E-4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7.0172308691185556E-2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1.7926519259933858E-2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3.9855422931994663E-3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3.1956053516707654E-2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7.424779802080559E-7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1.4428656955485259E-3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1.5229669371909999E-6</v>
      </c>
      <c r="C8" s="883"/>
      <c r="D8" s="432">
        <f>vkm_NGW_PW*SUMIFS(TableVerdeelsleutelVkm[CNG],TableVerdeelsleutelVkm[Voertuigtype],"Lichte voertuigen")*SUMIFS(TableECFTransport[EnergieConsumptieFactor (PJ per km)],TableECFTransport[Index],CONCATENATE($A8,"_CNG_CNG"))</f>
        <v>3.8301715452874057E-6</v>
      </c>
      <c r="E8" s="432">
        <f>vkm_NGW_PW*SUMIFS(TableVerdeelsleutelVkm[LPG],TableVerdeelsleutelVkm[Voertuigtype],"Lichte voertuigen")*SUMIFS(TableECFTransport[EnergieConsumptieFactor (PJ per km)],TableECFTransport[Index],CONCATENATE($A8,"_LPG_LPG"))</f>
        <v>1.2971497586439646E-4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2.4798139226770533E-2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6.7772799248594735E-3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1.428608490118893E-3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6.2170119132978947E-4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1.6742859855005007E-8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2.8070883945906604E-5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2.2477827577830416</v>
      </c>
      <c r="C14" s="21"/>
      <c r="D14" s="21">
        <f t="shared" ref="D14:M14" si="0">((D5)*10^9/3600)+D12</f>
        <v>3.7681415140033918</v>
      </c>
      <c r="E14" s="21">
        <f t="shared" si="0"/>
        <v>132.88667862851185</v>
      </c>
      <c r="F14" s="21"/>
      <c r="G14" s="21">
        <f t="shared" si="0"/>
        <v>35430.056284998202</v>
      </c>
      <c r="H14" s="21">
        <f t="shared" si="0"/>
        <v>6862.3773348981658</v>
      </c>
      <c r="I14" s="21"/>
      <c r="J14" s="21"/>
      <c r="K14" s="21"/>
      <c r="L14" s="21"/>
      <c r="M14" s="21">
        <f t="shared" si="0"/>
        <v>1912.5242674479978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0.19029151505864522</v>
      </c>
      <c r="C16" s="56">
        <f ca="1">'EF ele_warmte'!B22</f>
        <v>8.0807346122374769E-3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0.42773398650123473</v>
      </c>
      <c r="C18" s="23"/>
      <c r="D18" s="23">
        <f t="shared" ref="D18:M18" si="1">D14*D16</f>
        <v>0.76116458582868518</v>
      </c>
      <c r="E18" s="23">
        <f t="shared" si="1"/>
        <v>30.16527604867219</v>
      </c>
      <c r="F18" s="23"/>
      <c r="G18" s="23">
        <f t="shared" si="1"/>
        <v>9459.8250280945213</v>
      </c>
      <c r="H18" s="23">
        <f t="shared" si="1"/>
        <v>1708.7319563896433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3.7001382642088466E-3</v>
      </c>
      <c r="H50" s="321">
        <f t="shared" si="2"/>
        <v>0</v>
      </c>
      <c r="I50" s="321">
        <f t="shared" si="2"/>
        <v>0</v>
      </c>
      <c r="J50" s="321">
        <f t="shared" si="2"/>
        <v>0</v>
      </c>
      <c r="K50" s="321">
        <f t="shared" si="2"/>
        <v>0</v>
      </c>
      <c r="L50" s="321">
        <f t="shared" si="2"/>
        <v>0</v>
      </c>
      <c r="M50" s="321">
        <f t="shared" si="2"/>
        <v>1.6469621523540159E-4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3.7001382642088466E-3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1.6469621523540159E-4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1027.8161845024574</v>
      </c>
      <c r="H54" s="21">
        <f t="shared" si="3"/>
        <v>0</v>
      </c>
      <c r="I54" s="21">
        <f t="shared" si="3"/>
        <v>0</v>
      </c>
      <c r="J54" s="21">
        <f t="shared" si="3"/>
        <v>0</v>
      </c>
      <c r="K54" s="21">
        <f t="shared" si="3"/>
        <v>0</v>
      </c>
      <c r="L54" s="21">
        <f t="shared" si="3"/>
        <v>0</v>
      </c>
      <c r="M54" s="21">
        <f t="shared" si="3"/>
        <v>45.74894867650044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0.19029151505864522</v>
      </c>
      <c r="C56" s="56">
        <f ca="1">'EF ele_warmte'!B22</f>
        <v>8.0807346122374769E-3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274.42692126215616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7216.4900000000007</v>
      </c>
      <c r="D10" s="686">
        <f ca="1">tertiair!C16</f>
        <v>56.571428571428577</v>
      </c>
      <c r="E10" s="686">
        <f ca="1">tertiair!D16</f>
        <v>3539.1489508571431</v>
      </c>
      <c r="F10" s="686">
        <f>tertiair!E16</f>
        <v>68.012361026754931</v>
      </c>
      <c r="G10" s="686">
        <f ca="1">tertiair!F16</f>
        <v>1445.0612884219831</v>
      </c>
      <c r="H10" s="686">
        <f>tertiair!G16</f>
        <v>0</v>
      </c>
      <c r="I10" s="686">
        <f>tertiair!H16</f>
        <v>0</v>
      </c>
      <c r="J10" s="686">
        <f>tertiair!I16</f>
        <v>0</v>
      </c>
      <c r="K10" s="686">
        <f>tertiair!J16</f>
        <v>0</v>
      </c>
      <c r="L10" s="686">
        <f>tertiair!K16</f>
        <v>0</v>
      </c>
      <c r="M10" s="686">
        <f ca="1">tertiair!L16</f>
        <v>0</v>
      </c>
      <c r="N10" s="686">
        <f>tertiair!M16</f>
        <v>0</v>
      </c>
      <c r="O10" s="686">
        <f ca="1">tertiair!N16</f>
        <v>1492.1795434338471</v>
      </c>
      <c r="P10" s="686">
        <f>tertiair!O16</f>
        <v>0</v>
      </c>
      <c r="Q10" s="687">
        <f>tertiair!P16</f>
        <v>0</v>
      </c>
      <c r="R10" s="689">
        <f ca="1">SUM(C10:Q10)</f>
        <v>13817.463572311157</v>
      </c>
      <c r="S10" s="67"/>
    </row>
    <row r="11" spans="1:19" s="454" customFormat="1">
      <c r="A11" s="801" t="s">
        <v>224</v>
      </c>
      <c r="B11" s="806"/>
      <c r="C11" s="686">
        <f>huishoudens!B8</f>
        <v>16580.452137253946</v>
      </c>
      <c r="D11" s="686">
        <f>huishoudens!C8</f>
        <v>0</v>
      </c>
      <c r="E11" s="686">
        <f>huishoudens!D8</f>
        <v>24653.931236</v>
      </c>
      <c r="F11" s="686">
        <f>huishoudens!E8</f>
        <v>695.44367630867862</v>
      </c>
      <c r="G11" s="686">
        <f>huishoudens!F8</f>
        <v>21887.109011637578</v>
      </c>
      <c r="H11" s="686">
        <f>huishoudens!G8</f>
        <v>0</v>
      </c>
      <c r="I11" s="686">
        <f>huishoudens!H8</f>
        <v>0</v>
      </c>
      <c r="J11" s="686">
        <f>huishoudens!I8</f>
        <v>0</v>
      </c>
      <c r="K11" s="686">
        <f>huishoudens!J8</f>
        <v>0</v>
      </c>
      <c r="L11" s="686">
        <f>huishoudens!K8</f>
        <v>0</v>
      </c>
      <c r="M11" s="686">
        <f>huishoudens!L8</f>
        <v>0</v>
      </c>
      <c r="N11" s="686">
        <f>huishoudens!M8</f>
        <v>0</v>
      </c>
      <c r="O11" s="686">
        <f>huishoudens!N8</f>
        <v>5752.8428544023245</v>
      </c>
      <c r="P11" s="686">
        <f>huishoudens!O8</f>
        <v>110.99666666666667</v>
      </c>
      <c r="Q11" s="687">
        <f>huishoudens!P8</f>
        <v>305.06666666666666</v>
      </c>
      <c r="R11" s="689">
        <f>SUM(C11:Q11)</f>
        <v>69985.842248935864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1715.9660000000001</v>
      </c>
      <c r="D13" s="686">
        <f>industrie!C18</f>
        <v>1607.1428571428571</v>
      </c>
      <c r="E13" s="686">
        <f>industrie!D18</f>
        <v>583.28461399999992</v>
      </c>
      <c r="F13" s="686">
        <f>industrie!E18</f>
        <v>82.405279113716858</v>
      </c>
      <c r="G13" s="686">
        <f>industrie!F18</f>
        <v>450.9955418203528</v>
      </c>
      <c r="H13" s="686">
        <f>industrie!G18</f>
        <v>0</v>
      </c>
      <c r="I13" s="686">
        <f>industrie!H18</f>
        <v>0</v>
      </c>
      <c r="J13" s="686">
        <f>industrie!I18</f>
        <v>0</v>
      </c>
      <c r="K13" s="686">
        <f>industrie!J18</f>
        <v>0.258961013601608</v>
      </c>
      <c r="L13" s="686">
        <f>industrie!K18</f>
        <v>0</v>
      </c>
      <c r="M13" s="686">
        <f>industrie!L18</f>
        <v>0</v>
      </c>
      <c r="N13" s="686">
        <f>industrie!M18</f>
        <v>0</v>
      </c>
      <c r="O13" s="686">
        <f>industrie!N18</f>
        <v>0</v>
      </c>
      <c r="P13" s="686">
        <f>industrie!O18</f>
        <v>0</v>
      </c>
      <c r="Q13" s="687">
        <f>industrie!P18</f>
        <v>0</v>
      </c>
      <c r="R13" s="689">
        <f>SUM(C13:Q13)</f>
        <v>4440.0532530905293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25512.908137253948</v>
      </c>
      <c r="D16" s="721">
        <f t="shared" ref="D16:R16" ca="1" si="0">SUM(D9:D15)</f>
        <v>1663.7142857142858</v>
      </c>
      <c r="E16" s="721">
        <f t="shared" ca="1" si="0"/>
        <v>28776.364800857144</v>
      </c>
      <c r="F16" s="721">
        <f t="shared" si="0"/>
        <v>845.86131644915031</v>
      </c>
      <c r="G16" s="721">
        <f t="shared" ca="1" si="0"/>
        <v>23783.165841879916</v>
      </c>
      <c r="H16" s="721">
        <f t="shared" si="0"/>
        <v>0</v>
      </c>
      <c r="I16" s="721">
        <f t="shared" si="0"/>
        <v>0</v>
      </c>
      <c r="J16" s="721">
        <f t="shared" si="0"/>
        <v>0</v>
      </c>
      <c r="K16" s="721">
        <f t="shared" si="0"/>
        <v>0.258961013601608</v>
      </c>
      <c r="L16" s="721">
        <f t="shared" si="0"/>
        <v>0</v>
      </c>
      <c r="M16" s="721">
        <f t="shared" ca="1" si="0"/>
        <v>0</v>
      </c>
      <c r="N16" s="721">
        <f t="shared" si="0"/>
        <v>0</v>
      </c>
      <c r="O16" s="721">
        <f t="shared" ca="1" si="0"/>
        <v>7245.0223978361719</v>
      </c>
      <c r="P16" s="721">
        <f t="shared" si="0"/>
        <v>110.99666666666667</v>
      </c>
      <c r="Q16" s="721">
        <f t="shared" si="0"/>
        <v>305.06666666666666</v>
      </c>
      <c r="R16" s="721">
        <f t="shared" ca="1" si="0"/>
        <v>88243.359074337553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1027.8161845024574</v>
      </c>
      <c r="I19" s="686">
        <f>transport!H54</f>
        <v>0</v>
      </c>
      <c r="J19" s="686">
        <f>transport!I54</f>
        <v>0</v>
      </c>
      <c r="K19" s="686">
        <f>transport!J54</f>
        <v>0</v>
      </c>
      <c r="L19" s="686">
        <f>transport!K54</f>
        <v>0</v>
      </c>
      <c r="M19" s="686">
        <f>transport!L54</f>
        <v>0</v>
      </c>
      <c r="N19" s="686">
        <f>transport!M54</f>
        <v>45.74894867650044</v>
      </c>
      <c r="O19" s="686">
        <f>transport!N54</f>
        <v>0</v>
      </c>
      <c r="P19" s="686">
        <f>transport!O54</f>
        <v>0</v>
      </c>
      <c r="Q19" s="687">
        <f>transport!P54</f>
        <v>0</v>
      </c>
      <c r="R19" s="689">
        <f>SUM(C19:Q19)</f>
        <v>1073.5651331789579</v>
      </c>
      <c r="S19" s="67"/>
    </row>
    <row r="20" spans="1:19" s="454" customFormat="1">
      <c r="A20" s="801" t="s">
        <v>306</v>
      </c>
      <c r="B20" s="806"/>
      <c r="C20" s="686">
        <f>transport!B14</f>
        <v>2.2477827577830416</v>
      </c>
      <c r="D20" s="686">
        <f>transport!C14</f>
        <v>0</v>
      </c>
      <c r="E20" s="686">
        <f>transport!D14</f>
        <v>3.7681415140033918</v>
      </c>
      <c r="F20" s="686">
        <f>transport!E14</f>
        <v>132.88667862851185</v>
      </c>
      <c r="G20" s="686">
        <f>transport!F14</f>
        <v>0</v>
      </c>
      <c r="H20" s="686">
        <f>transport!G14</f>
        <v>35430.056284998202</v>
      </c>
      <c r="I20" s="686">
        <f>transport!H14</f>
        <v>6862.3773348981658</v>
      </c>
      <c r="J20" s="686">
        <f>transport!I14</f>
        <v>0</v>
      </c>
      <c r="K20" s="686">
        <f>transport!J14</f>
        <v>0</v>
      </c>
      <c r="L20" s="686">
        <f>transport!K14</f>
        <v>0</v>
      </c>
      <c r="M20" s="686">
        <f>transport!L14</f>
        <v>0</v>
      </c>
      <c r="N20" s="686">
        <f>transport!M14</f>
        <v>1912.5242674479978</v>
      </c>
      <c r="O20" s="686">
        <f>transport!N14</f>
        <v>0</v>
      </c>
      <c r="P20" s="686">
        <f>transport!O14</f>
        <v>0</v>
      </c>
      <c r="Q20" s="687">
        <f>transport!P14</f>
        <v>0</v>
      </c>
      <c r="R20" s="689">
        <f>SUM(C20:Q20)</f>
        <v>44343.86049024466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2.2477827577830416</v>
      </c>
      <c r="D22" s="804">
        <f t="shared" ref="D22:R22" si="1">SUM(D18:D21)</f>
        <v>0</v>
      </c>
      <c r="E22" s="804">
        <f t="shared" si="1"/>
        <v>3.7681415140033918</v>
      </c>
      <c r="F22" s="804">
        <f t="shared" si="1"/>
        <v>132.88667862851185</v>
      </c>
      <c r="G22" s="804">
        <f t="shared" si="1"/>
        <v>0</v>
      </c>
      <c r="H22" s="804">
        <f t="shared" si="1"/>
        <v>36457.87246950066</v>
      </c>
      <c r="I22" s="804">
        <f t="shared" si="1"/>
        <v>6862.3773348981658</v>
      </c>
      <c r="J22" s="804">
        <f t="shared" si="1"/>
        <v>0</v>
      </c>
      <c r="K22" s="804">
        <f t="shared" si="1"/>
        <v>0</v>
      </c>
      <c r="L22" s="804">
        <f t="shared" si="1"/>
        <v>0</v>
      </c>
      <c r="M22" s="804">
        <f t="shared" si="1"/>
        <v>0</v>
      </c>
      <c r="N22" s="804">
        <f t="shared" si="1"/>
        <v>1958.2732161244983</v>
      </c>
      <c r="O22" s="804">
        <f t="shared" si="1"/>
        <v>0</v>
      </c>
      <c r="P22" s="804">
        <f t="shared" si="1"/>
        <v>0</v>
      </c>
      <c r="Q22" s="804">
        <f t="shared" si="1"/>
        <v>0</v>
      </c>
      <c r="R22" s="804">
        <f t="shared" si="1"/>
        <v>45417.425623423616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180.45599999999999</v>
      </c>
      <c r="D24" s="686">
        <f>+landbouw!C8</f>
        <v>0</v>
      </c>
      <c r="E24" s="686">
        <f>+landbouw!D8</f>
        <v>0</v>
      </c>
      <c r="F24" s="686">
        <f>+landbouw!E8</f>
        <v>2.2739780745948681</v>
      </c>
      <c r="G24" s="686">
        <f>+landbouw!F8</f>
        <v>622.61840692922465</v>
      </c>
      <c r="H24" s="686">
        <f>+landbouw!G8</f>
        <v>0</v>
      </c>
      <c r="I24" s="686">
        <f>+landbouw!H8</f>
        <v>0</v>
      </c>
      <c r="J24" s="686">
        <f>+landbouw!I8</f>
        <v>0</v>
      </c>
      <c r="K24" s="686">
        <f>+landbouw!J8</f>
        <v>27.13853104859092</v>
      </c>
      <c r="L24" s="686">
        <f>+landbouw!K8</f>
        <v>0</v>
      </c>
      <c r="M24" s="686">
        <f>+landbouw!L8</f>
        <v>0</v>
      </c>
      <c r="N24" s="686">
        <f>+landbouw!M8</f>
        <v>0</v>
      </c>
      <c r="O24" s="686">
        <f>+landbouw!N8</f>
        <v>0</v>
      </c>
      <c r="P24" s="686">
        <f>+landbouw!O8</f>
        <v>0</v>
      </c>
      <c r="Q24" s="687">
        <f>+landbouw!P8</f>
        <v>0</v>
      </c>
      <c r="R24" s="689">
        <f>SUM(C24:Q24)</f>
        <v>832.48691605241049</v>
      </c>
      <c r="S24" s="67"/>
    </row>
    <row r="25" spans="1:19" s="454" customFormat="1" ht="15" thickBot="1">
      <c r="A25" s="823" t="s">
        <v>856</v>
      </c>
      <c r="B25" s="991"/>
      <c r="C25" s="992">
        <f>IF(Onbekend_ele_kWh="---",0,Onbekend_ele_kWh)/1000+IF(REST_rest_ele_kWh="---",0,REST_rest_ele_kWh)/1000</f>
        <v>322.41000000000003</v>
      </c>
      <c r="D25" s="992"/>
      <c r="E25" s="992">
        <f>IF(onbekend_gas_kWh="---",0,onbekend_gas_kWh)/1000+IF(REST_rest_gas_kWh="---",0,REST_rest_gas_kWh)/1000</f>
        <v>2194.1570000000002</v>
      </c>
      <c r="F25" s="992"/>
      <c r="G25" s="992"/>
      <c r="H25" s="992"/>
      <c r="I25" s="992"/>
      <c r="J25" s="992"/>
      <c r="K25" s="992"/>
      <c r="L25" s="992"/>
      <c r="M25" s="992"/>
      <c r="N25" s="992"/>
      <c r="O25" s="992"/>
      <c r="P25" s="992"/>
      <c r="Q25" s="993"/>
      <c r="R25" s="689">
        <f>SUM(C25:Q25)</f>
        <v>2516.567</v>
      </c>
      <c r="S25" s="67"/>
    </row>
    <row r="26" spans="1:19" s="454" customFormat="1" ht="15.75" thickBot="1">
      <c r="A26" s="694" t="s">
        <v>857</v>
      </c>
      <c r="B26" s="809"/>
      <c r="C26" s="804">
        <f>SUM(C24:C25)</f>
        <v>502.86599999999999</v>
      </c>
      <c r="D26" s="804">
        <f t="shared" ref="D26:R26" si="2">SUM(D24:D25)</f>
        <v>0</v>
      </c>
      <c r="E26" s="804">
        <f t="shared" si="2"/>
        <v>2194.1570000000002</v>
      </c>
      <c r="F26" s="804">
        <f t="shared" si="2"/>
        <v>2.2739780745948681</v>
      </c>
      <c r="G26" s="804">
        <f t="shared" si="2"/>
        <v>622.61840692922465</v>
      </c>
      <c r="H26" s="804">
        <f t="shared" si="2"/>
        <v>0</v>
      </c>
      <c r="I26" s="804">
        <f t="shared" si="2"/>
        <v>0</v>
      </c>
      <c r="J26" s="804">
        <f t="shared" si="2"/>
        <v>0</v>
      </c>
      <c r="K26" s="804">
        <f t="shared" si="2"/>
        <v>27.13853104859092</v>
      </c>
      <c r="L26" s="804">
        <f t="shared" si="2"/>
        <v>0</v>
      </c>
      <c r="M26" s="804">
        <f t="shared" si="2"/>
        <v>0</v>
      </c>
      <c r="N26" s="804">
        <f t="shared" si="2"/>
        <v>0</v>
      </c>
      <c r="O26" s="804">
        <f t="shared" si="2"/>
        <v>0</v>
      </c>
      <c r="P26" s="804">
        <f t="shared" si="2"/>
        <v>0</v>
      </c>
      <c r="Q26" s="804">
        <f t="shared" si="2"/>
        <v>0</v>
      </c>
      <c r="R26" s="804">
        <f t="shared" si="2"/>
        <v>3349.0539160524104</v>
      </c>
      <c r="S26" s="67"/>
    </row>
    <row r="27" spans="1:19" s="454" customFormat="1" ht="17.25" thickTop="1" thickBot="1">
      <c r="A27" s="695" t="s">
        <v>115</v>
      </c>
      <c r="B27" s="796"/>
      <c r="C27" s="696">
        <f ca="1">C22+C16+C26</f>
        <v>26018.021920011728</v>
      </c>
      <c r="D27" s="696">
        <f t="shared" ref="D27:R27" ca="1" si="3">D22+D16+D26</f>
        <v>1663.7142857142858</v>
      </c>
      <c r="E27" s="696">
        <f t="shared" ca="1" si="3"/>
        <v>30974.289942371146</v>
      </c>
      <c r="F27" s="696">
        <f t="shared" si="3"/>
        <v>981.02197315225703</v>
      </c>
      <c r="G27" s="696">
        <f t="shared" ca="1" si="3"/>
        <v>24405.784248809141</v>
      </c>
      <c r="H27" s="696">
        <f t="shared" si="3"/>
        <v>36457.87246950066</v>
      </c>
      <c r="I27" s="696">
        <f t="shared" si="3"/>
        <v>6862.3773348981658</v>
      </c>
      <c r="J27" s="696">
        <f t="shared" si="3"/>
        <v>0</v>
      </c>
      <c r="K27" s="696">
        <f t="shared" si="3"/>
        <v>27.397492062192526</v>
      </c>
      <c r="L27" s="696">
        <f t="shared" si="3"/>
        <v>0</v>
      </c>
      <c r="M27" s="696">
        <f t="shared" ca="1" si="3"/>
        <v>0</v>
      </c>
      <c r="N27" s="696">
        <f t="shared" si="3"/>
        <v>1958.2732161244983</v>
      </c>
      <c r="O27" s="696">
        <f t="shared" ca="1" si="3"/>
        <v>7245.0223978361719</v>
      </c>
      <c r="P27" s="696">
        <f t="shared" si="3"/>
        <v>110.99666666666667</v>
      </c>
      <c r="Q27" s="696">
        <f t="shared" si="3"/>
        <v>305.06666666666666</v>
      </c>
      <c r="R27" s="696">
        <f t="shared" ca="1" si="3"/>
        <v>137009.8386138136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1373.2368155055628</v>
      </c>
      <c r="D40" s="686">
        <f ca="1">tertiair!C20</f>
        <v>0.45713870092086301</v>
      </c>
      <c r="E40" s="686">
        <f ca="1">tertiair!D20</f>
        <v>714.90808807314295</v>
      </c>
      <c r="F40" s="686">
        <f>tertiair!E20</f>
        <v>15.43880595307337</v>
      </c>
      <c r="G40" s="686">
        <f ca="1">tertiair!F20</f>
        <v>385.83136400866954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2489.8722122413697</v>
      </c>
    </row>
    <row r="41" spans="1:18">
      <c r="A41" s="814" t="s">
        <v>224</v>
      </c>
      <c r="B41" s="821"/>
      <c r="C41" s="686">
        <f ca="1">huishoudens!B12</f>
        <v>3155.1193575554057</v>
      </c>
      <c r="D41" s="686">
        <f ca="1">huishoudens!C12</f>
        <v>0</v>
      </c>
      <c r="E41" s="686">
        <f>huishoudens!D12</f>
        <v>4980.0941096720007</v>
      </c>
      <c r="F41" s="686">
        <f>huishoudens!E12</f>
        <v>157.86571452207005</v>
      </c>
      <c r="G41" s="686">
        <f>huishoudens!F12</f>
        <v>5843.8581061072337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14136.937287856708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326.53376992912325</v>
      </c>
      <c r="D43" s="686">
        <f ca="1">industrie!C22</f>
        <v>12.986894912524516</v>
      </c>
      <c r="E43" s="686">
        <f>industrie!D22</f>
        <v>117.82349202799999</v>
      </c>
      <c r="F43" s="686">
        <f>industrie!E22</f>
        <v>18.705998358813726</v>
      </c>
      <c r="G43" s="686">
        <f>industrie!F22</f>
        <v>120.41580966603421</v>
      </c>
      <c r="H43" s="686">
        <f>industrie!G22</f>
        <v>0</v>
      </c>
      <c r="I43" s="686">
        <f>industrie!H22</f>
        <v>0</v>
      </c>
      <c r="J43" s="686">
        <f>industrie!I22</f>
        <v>0</v>
      </c>
      <c r="K43" s="686">
        <f>industrie!J22</f>
        <v>9.1672198814969227E-2</v>
      </c>
      <c r="L43" s="686">
        <f>industrie!K22</f>
        <v>0</v>
      </c>
      <c r="M43" s="686">
        <f>industrie!L22</f>
        <v>0</v>
      </c>
      <c r="N43" s="686">
        <f>industrie!M22</f>
        <v>0</v>
      </c>
      <c r="O43" s="686">
        <f>industrie!N22</f>
        <v>0</v>
      </c>
      <c r="P43" s="686">
        <f>industrie!O22</f>
        <v>0</v>
      </c>
      <c r="Q43" s="763">
        <f>industrie!P22</f>
        <v>0</v>
      </c>
      <c r="R43" s="841">
        <f t="shared" ca="1" si="4"/>
        <v>596.55763709331063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4854.8899429900921</v>
      </c>
      <c r="D46" s="721">
        <f t="shared" ref="D46:Q46" ca="1" si="5">SUM(D39:D45)</f>
        <v>13.444033613445379</v>
      </c>
      <c r="E46" s="721">
        <f t="shared" ca="1" si="5"/>
        <v>5812.8256897731435</v>
      </c>
      <c r="F46" s="721">
        <f t="shared" si="5"/>
        <v>192.01051883395715</v>
      </c>
      <c r="G46" s="721">
        <f t="shared" ca="1" si="5"/>
        <v>6350.1052797819375</v>
      </c>
      <c r="H46" s="721">
        <f t="shared" si="5"/>
        <v>0</v>
      </c>
      <c r="I46" s="721">
        <f t="shared" si="5"/>
        <v>0</v>
      </c>
      <c r="J46" s="721">
        <f t="shared" si="5"/>
        <v>0</v>
      </c>
      <c r="K46" s="721">
        <f t="shared" si="5"/>
        <v>9.1672198814969227E-2</v>
      </c>
      <c r="L46" s="721">
        <f t="shared" si="5"/>
        <v>0</v>
      </c>
      <c r="M46" s="721">
        <f t="shared" ca="1" si="5"/>
        <v>0</v>
      </c>
      <c r="N46" s="721">
        <f t="shared" si="5"/>
        <v>0</v>
      </c>
      <c r="O46" s="721">
        <f t="shared" ca="1" si="5"/>
        <v>0</v>
      </c>
      <c r="P46" s="721">
        <f t="shared" si="5"/>
        <v>0</v>
      </c>
      <c r="Q46" s="721">
        <f t="shared" si="5"/>
        <v>0</v>
      </c>
      <c r="R46" s="721">
        <f ca="1">SUM(R39:R45)</f>
        <v>17223.367137191392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274.42692126215616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274.42692126215616</v>
      </c>
    </row>
    <row r="50" spans="1:18">
      <c r="A50" s="817" t="s">
        <v>306</v>
      </c>
      <c r="B50" s="827"/>
      <c r="C50" s="692">
        <f ca="1">transport!B18</f>
        <v>0.42773398650123473</v>
      </c>
      <c r="D50" s="692">
        <f>transport!C18</f>
        <v>0</v>
      </c>
      <c r="E50" s="692">
        <f>transport!D18</f>
        <v>0.76116458582868518</v>
      </c>
      <c r="F50" s="692">
        <f>transport!E18</f>
        <v>30.16527604867219</v>
      </c>
      <c r="G50" s="692">
        <f>transport!F18</f>
        <v>0</v>
      </c>
      <c r="H50" s="692">
        <f>transport!G18</f>
        <v>9459.8250280945213</v>
      </c>
      <c r="I50" s="692">
        <f>transport!H18</f>
        <v>1708.7319563896433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11199.911159105166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0.42773398650123473</v>
      </c>
      <c r="D52" s="721">
        <f t="shared" ref="D52:Q52" ca="1" si="6">SUM(D48:D51)</f>
        <v>0</v>
      </c>
      <c r="E52" s="721">
        <f t="shared" si="6"/>
        <v>0.76116458582868518</v>
      </c>
      <c r="F52" s="721">
        <f t="shared" si="6"/>
        <v>30.16527604867219</v>
      </c>
      <c r="G52" s="721">
        <f t="shared" si="6"/>
        <v>0</v>
      </c>
      <c r="H52" s="721">
        <f t="shared" si="6"/>
        <v>9734.2519493566779</v>
      </c>
      <c r="I52" s="721">
        <f t="shared" si="6"/>
        <v>1708.7319563896433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11474.338080367323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34.339245641422877</v>
      </c>
      <c r="D54" s="692">
        <f ca="1">+landbouw!C12</f>
        <v>0</v>
      </c>
      <c r="E54" s="692">
        <f>+landbouw!D12</f>
        <v>0</v>
      </c>
      <c r="F54" s="692">
        <f>+landbouw!E12</f>
        <v>0.51619302293303504</v>
      </c>
      <c r="G54" s="692">
        <f>+landbouw!F12</f>
        <v>166.23911465010298</v>
      </c>
      <c r="H54" s="692">
        <f>+landbouw!G12</f>
        <v>0</v>
      </c>
      <c r="I54" s="692">
        <f>+landbouw!H12</f>
        <v>0</v>
      </c>
      <c r="J54" s="692">
        <f>+landbouw!I12</f>
        <v>0</v>
      </c>
      <c r="K54" s="692">
        <f>+landbouw!J12</f>
        <v>9.6070399912011855</v>
      </c>
      <c r="L54" s="692">
        <f>+landbouw!K12</f>
        <v>0</v>
      </c>
      <c r="M54" s="692">
        <f>+landbouw!L12</f>
        <v>0</v>
      </c>
      <c r="N54" s="692">
        <f>+landbouw!M12</f>
        <v>0</v>
      </c>
      <c r="O54" s="692">
        <f>+landbouw!N12</f>
        <v>0</v>
      </c>
      <c r="P54" s="692">
        <f>+landbouw!O12</f>
        <v>0</v>
      </c>
      <c r="Q54" s="693">
        <f>+landbouw!P12</f>
        <v>0</v>
      </c>
      <c r="R54" s="720">
        <f ca="1">SUM(C54:Q54)</f>
        <v>210.70159330566008</v>
      </c>
    </row>
    <row r="55" spans="1:18" ht="15" thickBot="1">
      <c r="A55" s="817" t="s">
        <v>856</v>
      </c>
      <c r="B55" s="827"/>
      <c r="C55" s="692">
        <f ca="1">C25*'EF ele_warmte'!B12</f>
        <v>61.35188737005781</v>
      </c>
      <c r="D55" s="692"/>
      <c r="E55" s="692">
        <f>E25*EF_CO2_aardgas</f>
        <v>443.21971400000007</v>
      </c>
      <c r="F55" s="692"/>
      <c r="G55" s="692"/>
      <c r="H55" s="692"/>
      <c r="I55" s="692"/>
      <c r="J55" s="692"/>
      <c r="K55" s="692"/>
      <c r="L55" s="692"/>
      <c r="M55" s="692"/>
      <c r="N55" s="692"/>
      <c r="O55" s="692"/>
      <c r="P55" s="692"/>
      <c r="Q55" s="693"/>
      <c r="R55" s="720">
        <f ca="1">SUM(C55:Q55)</f>
        <v>504.57160137005786</v>
      </c>
    </row>
    <row r="56" spans="1:18" ht="15.75" thickBot="1">
      <c r="A56" s="815" t="s">
        <v>857</v>
      </c>
      <c r="B56" s="828"/>
      <c r="C56" s="721">
        <f ca="1">SUM(C54:C55)</f>
        <v>95.691133011480687</v>
      </c>
      <c r="D56" s="721">
        <f t="shared" ref="D56:Q56" ca="1" si="7">SUM(D54:D55)</f>
        <v>0</v>
      </c>
      <c r="E56" s="721">
        <f t="shared" si="7"/>
        <v>443.21971400000007</v>
      </c>
      <c r="F56" s="721">
        <f t="shared" si="7"/>
        <v>0.51619302293303504</v>
      </c>
      <c r="G56" s="721">
        <f t="shared" si="7"/>
        <v>166.23911465010298</v>
      </c>
      <c r="H56" s="721">
        <f t="shared" si="7"/>
        <v>0</v>
      </c>
      <c r="I56" s="721">
        <f t="shared" si="7"/>
        <v>0</v>
      </c>
      <c r="J56" s="721">
        <f t="shared" si="7"/>
        <v>0</v>
      </c>
      <c r="K56" s="721">
        <f t="shared" si="7"/>
        <v>9.6070399912011855</v>
      </c>
      <c r="L56" s="721">
        <f t="shared" si="7"/>
        <v>0</v>
      </c>
      <c r="M56" s="721">
        <f t="shared" si="7"/>
        <v>0</v>
      </c>
      <c r="N56" s="721">
        <f t="shared" si="7"/>
        <v>0</v>
      </c>
      <c r="O56" s="721">
        <f t="shared" si="7"/>
        <v>0</v>
      </c>
      <c r="P56" s="721">
        <f t="shared" si="7"/>
        <v>0</v>
      </c>
      <c r="Q56" s="722">
        <f t="shared" si="7"/>
        <v>0</v>
      </c>
      <c r="R56" s="723">
        <f ca="1">SUM(R54:R55)</f>
        <v>715.27319467571795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4951.0088099880741</v>
      </c>
      <c r="D61" s="729">
        <f t="shared" ref="D61:Q61" ca="1" si="8">D46+D52+D56</f>
        <v>13.444033613445379</v>
      </c>
      <c r="E61" s="729">
        <f t="shared" ca="1" si="8"/>
        <v>6256.8065683589721</v>
      </c>
      <c r="F61" s="729">
        <f t="shared" si="8"/>
        <v>222.69198790556237</v>
      </c>
      <c r="G61" s="729">
        <f t="shared" ca="1" si="8"/>
        <v>6516.3443944320406</v>
      </c>
      <c r="H61" s="729">
        <f t="shared" si="8"/>
        <v>9734.2519493566779</v>
      </c>
      <c r="I61" s="729">
        <f t="shared" si="8"/>
        <v>1708.7319563896433</v>
      </c>
      <c r="J61" s="729">
        <f t="shared" si="8"/>
        <v>0</v>
      </c>
      <c r="K61" s="729">
        <f t="shared" si="8"/>
        <v>9.6987121900161544</v>
      </c>
      <c r="L61" s="729">
        <f t="shared" si="8"/>
        <v>0</v>
      </c>
      <c r="M61" s="729">
        <f t="shared" ca="1" si="8"/>
        <v>0</v>
      </c>
      <c r="N61" s="729">
        <f t="shared" si="8"/>
        <v>0</v>
      </c>
      <c r="O61" s="729">
        <f t="shared" ca="1" si="8"/>
        <v>0</v>
      </c>
      <c r="P61" s="729">
        <f t="shared" si="8"/>
        <v>0</v>
      </c>
      <c r="Q61" s="729">
        <f t="shared" si="8"/>
        <v>0</v>
      </c>
      <c r="R61" s="729">
        <f ca="1">R46+R52+R56</f>
        <v>29412.978412234435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0.19029151505864525</v>
      </c>
      <c r="D63" s="772">
        <f t="shared" ca="1" si="9"/>
        <v>8.0807346122374769E-3</v>
      </c>
      <c r="E63" s="998">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2493.2500355833981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1125</v>
      </c>
      <c r="C76" s="739">
        <f>'lokale energieproductie'!B8*IFERROR(SUM(D76:H76)/SUM(D76:O76),0)</f>
        <v>39.599999999999994</v>
      </c>
      <c r="D76" s="1008">
        <f>'lokale energieproductie'!C8</f>
        <v>46.588235294117652</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1323.5294117647061</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9.4108235294117666</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3618.2500355833981</v>
      </c>
      <c r="C78" s="744">
        <f>SUM(C72:C77)</f>
        <v>39.599999999999994</v>
      </c>
      <c r="D78" s="745">
        <f t="shared" ref="D78:H78" si="10">SUM(D76:D77)</f>
        <v>46.588235294117652</v>
      </c>
      <c r="E78" s="745">
        <f t="shared" si="10"/>
        <v>0</v>
      </c>
      <c r="F78" s="745">
        <f t="shared" si="10"/>
        <v>0</v>
      </c>
      <c r="G78" s="745">
        <f t="shared" si="10"/>
        <v>0</v>
      </c>
      <c r="H78" s="745">
        <f t="shared" si="10"/>
        <v>0</v>
      </c>
      <c r="I78" s="745">
        <f>SUM(I76:I77)</f>
        <v>0</v>
      </c>
      <c r="J78" s="745">
        <f>SUM(J76:J77)</f>
        <v>1323.5294117647061</v>
      </c>
      <c r="K78" s="745">
        <f t="shared" ref="K78:L78" si="11">SUM(K76:K77)</f>
        <v>0</v>
      </c>
      <c r="L78" s="745">
        <f t="shared" si="11"/>
        <v>0</v>
      </c>
      <c r="M78" s="745">
        <f>SUM(M76:M77)</f>
        <v>0</v>
      </c>
      <c r="N78" s="745">
        <f>SUM(N76:N77)</f>
        <v>0</v>
      </c>
      <c r="O78" s="852">
        <f>SUM(O76:O77)</f>
        <v>0</v>
      </c>
      <c r="P78" s="746">
        <v>0</v>
      </c>
      <c r="Q78" s="746">
        <f>SUM(Q76:Q77)</f>
        <v>9.4108235294117666</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1607.1428571428571</v>
      </c>
      <c r="C87" s="755">
        <f>'lokale energieproductie'!B17*IFERROR(SUM(D87:H87)/SUM(D87:O87),0)</f>
        <v>56.571428571428577</v>
      </c>
      <c r="D87" s="766">
        <f>'lokale energieproductie'!C17</f>
        <v>66.554621848739501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1890.7563025210086</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13.444033613445381</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1607.1428571428571</v>
      </c>
      <c r="C90" s="744">
        <f>SUM(C87:C89)</f>
        <v>56.571428571428577</v>
      </c>
      <c r="D90" s="744">
        <f t="shared" ref="D90:H90" si="12">SUM(D87:D89)</f>
        <v>66.554621848739501</v>
      </c>
      <c r="E90" s="744">
        <f t="shared" si="12"/>
        <v>0</v>
      </c>
      <c r="F90" s="744">
        <f t="shared" si="12"/>
        <v>0</v>
      </c>
      <c r="G90" s="744">
        <f t="shared" si="12"/>
        <v>0</v>
      </c>
      <c r="H90" s="744">
        <f t="shared" si="12"/>
        <v>0</v>
      </c>
      <c r="I90" s="744">
        <f>SUM(I87:I89)</f>
        <v>0</v>
      </c>
      <c r="J90" s="744">
        <f>SUM(J87:J89)</f>
        <v>1890.7563025210086</v>
      </c>
      <c r="K90" s="744">
        <f t="shared" ref="K90:L90" si="13">SUM(K87:K89)</f>
        <v>0</v>
      </c>
      <c r="L90" s="744">
        <f t="shared" si="13"/>
        <v>0</v>
      </c>
      <c r="M90" s="744">
        <f>SUM(M87:M89)</f>
        <v>0</v>
      </c>
      <c r="N90" s="744">
        <f>SUM(N87:N89)</f>
        <v>0</v>
      </c>
      <c r="O90" s="744">
        <f>SUM(O87:O89)</f>
        <v>0</v>
      </c>
      <c r="P90" s="744">
        <v>0</v>
      </c>
      <c r="Q90" s="744">
        <f>SUM(Q87:Q89)</f>
        <v>13.444033613445381</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2493.2500355833981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1164.5999999999999</v>
      </c>
      <c r="C8" s="556">
        <f>B49</f>
        <v>46.588235294117652</v>
      </c>
      <c r="D8" s="1015"/>
      <c r="E8" s="1015">
        <f>E49</f>
        <v>0</v>
      </c>
      <c r="F8" s="1016"/>
      <c r="G8" s="557"/>
      <c r="H8" s="1015">
        <f>I49</f>
        <v>0</v>
      </c>
      <c r="I8" s="1015">
        <f>G49+F49</f>
        <v>0</v>
      </c>
      <c r="J8" s="1015">
        <f>H49+D49+C49</f>
        <v>1323.5294117647061</v>
      </c>
      <c r="K8" s="1015"/>
      <c r="L8" s="1015"/>
      <c r="M8" s="1015"/>
      <c r="N8" s="558"/>
      <c r="O8" s="559">
        <f>C8*$C$12+D8*$D$12+E8*$E$12+F8*$F$12+G8*$G$12+H8*$H$12+I8*$I$12+J8*$J$12</f>
        <v>9.4108235294117666</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3657.850035583398</v>
      </c>
      <c r="C10" s="569">
        <f t="shared" ref="C10:L10" si="0">SUM(C8:C9)</f>
        <v>46.588235294117652</v>
      </c>
      <c r="D10" s="569">
        <f t="shared" si="0"/>
        <v>0</v>
      </c>
      <c r="E10" s="569">
        <f t="shared" si="0"/>
        <v>0</v>
      </c>
      <c r="F10" s="569">
        <f t="shared" si="0"/>
        <v>0</v>
      </c>
      <c r="G10" s="569">
        <f t="shared" si="0"/>
        <v>0</v>
      </c>
      <c r="H10" s="569">
        <f t="shared" si="0"/>
        <v>0</v>
      </c>
      <c r="I10" s="569">
        <f t="shared" si="0"/>
        <v>0</v>
      </c>
      <c r="J10" s="569">
        <f t="shared" si="0"/>
        <v>1323.5294117647061</v>
      </c>
      <c r="K10" s="569">
        <f t="shared" si="0"/>
        <v>0</v>
      </c>
      <c r="L10" s="569">
        <f t="shared" si="0"/>
        <v>0</v>
      </c>
      <c r="M10" s="1018"/>
      <c r="N10" s="1018"/>
      <c r="O10" s="570">
        <f>SUM(O4:O9)</f>
        <v>9.4108235294117666</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1663.7142857142858</v>
      </c>
      <c r="C17" s="581">
        <f>B50</f>
        <v>66.554621848739501</v>
      </c>
      <c r="D17" s="582"/>
      <c r="E17" s="582">
        <f>E50</f>
        <v>0</v>
      </c>
      <c r="F17" s="1021"/>
      <c r="G17" s="583"/>
      <c r="H17" s="581">
        <f>I50</f>
        <v>0</v>
      </c>
      <c r="I17" s="582">
        <f>G50+F50</f>
        <v>0</v>
      </c>
      <c r="J17" s="582">
        <f>H50+D50+C50</f>
        <v>1890.7563025210086</v>
      </c>
      <c r="K17" s="582"/>
      <c r="L17" s="582"/>
      <c r="M17" s="582"/>
      <c r="N17" s="1022"/>
      <c r="O17" s="584">
        <f>C17*$C$22+E17*$E$22+H17*$H$22+I17*$I$22+J17*$J$22+D17*$D$22+F17*$F$22+G17*$G$22+K17*$K$22+L17*$L$22</f>
        <v>13.444033613445381</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1663.7142857142858</v>
      </c>
      <c r="C20" s="568">
        <f>SUM(C17:C19)</f>
        <v>66.554621848739501</v>
      </c>
      <c r="D20" s="568">
        <f t="shared" ref="D20:L20" si="1">SUM(D17:D19)</f>
        <v>0</v>
      </c>
      <c r="E20" s="568">
        <f t="shared" si="1"/>
        <v>0</v>
      </c>
      <c r="F20" s="568">
        <f t="shared" si="1"/>
        <v>0</v>
      </c>
      <c r="G20" s="568">
        <f t="shared" si="1"/>
        <v>0</v>
      </c>
      <c r="H20" s="568">
        <f t="shared" si="1"/>
        <v>0</v>
      </c>
      <c r="I20" s="568">
        <f t="shared" si="1"/>
        <v>0</v>
      </c>
      <c r="J20" s="568">
        <f t="shared" si="1"/>
        <v>1890.7563025210086</v>
      </c>
      <c r="K20" s="568">
        <f t="shared" si="1"/>
        <v>0</v>
      </c>
      <c r="L20" s="568">
        <f t="shared" si="1"/>
        <v>0</v>
      </c>
      <c r="M20" s="568"/>
      <c r="N20" s="568"/>
      <c r="O20" s="588">
        <f>SUM(O17:O19)</f>
        <v>13.444033613445381</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87">
        <v>71002</v>
      </c>
      <c r="C28" s="787">
        <v>3570</v>
      </c>
      <c r="D28" s="640" t="s">
        <v>920</v>
      </c>
      <c r="E28" s="639" t="s">
        <v>921</v>
      </c>
      <c r="F28" s="639" t="s">
        <v>922</v>
      </c>
      <c r="G28" s="639" t="s">
        <v>923</v>
      </c>
      <c r="H28" s="639" t="s">
        <v>924</v>
      </c>
      <c r="I28" s="639" t="s">
        <v>925</v>
      </c>
      <c r="J28" s="786">
        <v>40284</v>
      </c>
      <c r="K28" s="786">
        <v>40284</v>
      </c>
      <c r="L28" s="639" t="s">
        <v>926</v>
      </c>
      <c r="M28" s="639">
        <v>250</v>
      </c>
      <c r="N28" s="639">
        <v>1125</v>
      </c>
      <c r="O28" s="639">
        <v>1607.1428571428571</v>
      </c>
      <c r="P28" s="639">
        <v>0</v>
      </c>
      <c r="Q28" s="639">
        <v>3214.2857142857147</v>
      </c>
      <c r="R28" s="639">
        <v>0</v>
      </c>
      <c r="S28" s="639">
        <v>0</v>
      </c>
      <c r="T28" s="639">
        <v>0</v>
      </c>
      <c r="U28" s="639">
        <v>0</v>
      </c>
      <c r="V28" s="639">
        <v>0</v>
      </c>
      <c r="W28" s="639">
        <v>0</v>
      </c>
      <c r="X28" s="639">
        <v>500</v>
      </c>
      <c r="Y28" s="639" t="s">
        <v>40</v>
      </c>
      <c r="Z28" s="641" t="s">
        <v>389</v>
      </c>
    </row>
    <row r="29" spans="1:26" s="593" customFormat="1" ht="25.5">
      <c r="A29" s="592"/>
      <c r="B29" s="787">
        <v>71002</v>
      </c>
      <c r="C29" s="787">
        <v>3570</v>
      </c>
      <c r="D29" s="640" t="s">
        <v>927</v>
      </c>
      <c r="E29" s="639" t="s">
        <v>928</v>
      </c>
      <c r="F29" s="639" t="s">
        <v>929</v>
      </c>
      <c r="G29" s="639" t="s">
        <v>923</v>
      </c>
      <c r="H29" s="639" t="s">
        <v>924</v>
      </c>
      <c r="I29" s="639" t="s">
        <v>928</v>
      </c>
      <c r="J29" s="786">
        <v>40731</v>
      </c>
      <c r="K29" s="786">
        <v>41153</v>
      </c>
      <c r="L29" s="639" t="s">
        <v>926</v>
      </c>
      <c r="M29" s="639">
        <v>8.8000000000000007</v>
      </c>
      <c r="N29" s="639">
        <v>39.6</v>
      </c>
      <c r="O29" s="639">
        <v>56.571428571428577</v>
      </c>
      <c r="P29" s="639">
        <v>113.14285714285715</v>
      </c>
      <c r="Q29" s="639">
        <v>0</v>
      </c>
      <c r="R29" s="639">
        <v>0</v>
      </c>
      <c r="S29" s="639">
        <v>0</v>
      </c>
      <c r="T29" s="639">
        <v>0</v>
      </c>
      <c r="U29" s="639">
        <v>0</v>
      </c>
      <c r="V29" s="639">
        <v>0</v>
      </c>
      <c r="W29" s="639">
        <v>0</v>
      </c>
      <c r="X29" s="639">
        <v>1300</v>
      </c>
      <c r="Y29" s="639" t="s">
        <v>53</v>
      </c>
      <c r="Z29" s="641" t="s">
        <v>155</v>
      </c>
    </row>
    <row r="30" spans="1:26" s="576" customFormat="1">
      <c r="A30" s="595" t="s">
        <v>279</v>
      </c>
      <c r="B30" s="596"/>
      <c r="C30" s="596"/>
      <c r="D30" s="596"/>
      <c r="E30" s="596"/>
      <c r="F30" s="596"/>
      <c r="G30" s="596"/>
      <c r="H30" s="596"/>
      <c r="I30" s="596"/>
      <c r="J30" s="596"/>
      <c r="K30" s="596"/>
      <c r="L30" s="597"/>
      <c r="M30" s="597">
        <f>SUM(M28:M29)</f>
        <v>258.8</v>
      </c>
      <c r="N30" s="597">
        <f>SUM(N28:N29)</f>
        <v>1164.5999999999999</v>
      </c>
      <c r="O30" s="597">
        <f>SUM(O28:O29)</f>
        <v>1663.7142857142858</v>
      </c>
      <c r="P30" s="597">
        <f>SUM(P28:P29)</f>
        <v>113.14285714285715</v>
      </c>
      <c r="Q30" s="597">
        <f>SUM(Q28:Q29)</f>
        <v>3214.2857142857147</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250</v>
      </c>
      <c r="N31" s="597">
        <f>SUMIF($Z$28:$Z$29,"industrie",N28:N29)</f>
        <v>1125</v>
      </c>
      <c r="O31" s="597">
        <f>SUMIF($Z$28:$Z$29,"industrie",O28:O29)</f>
        <v>1607.1428571428571</v>
      </c>
      <c r="P31" s="597">
        <f>SUMIF($Z$28:$Z$29,"industrie",P28:P29)</f>
        <v>0</v>
      </c>
      <c r="Q31" s="597">
        <f>SUMIF($Z$28:$Z$29,"industrie",Q28:Q29)</f>
        <v>3214.2857142857147</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8.8000000000000007</v>
      </c>
      <c r="N32" s="597">
        <f ca="1">SUMIF($Z$28:AD29,"tertiair",N28:N29)</f>
        <v>39.6</v>
      </c>
      <c r="O32" s="597">
        <f ca="1">SUMIF($Z$28:AE29,"tertiair",O28:O29)</f>
        <v>56.571428571428577</v>
      </c>
      <c r="P32" s="597">
        <f ca="1">SUMIF($Z$28:AF29,"tertiair",P28:P29)</f>
        <v>113.14285714285715</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0</v>
      </c>
      <c r="N33" s="602">
        <f>SUMIF($Z$28:$Z$29,"landbouw",N28:N29)</f>
        <v>0</v>
      </c>
      <c r="O33" s="602">
        <f>SUMIF($Z$28:$Z$29,"landbouw",O28:O29)</f>
        <v>0</v>
      </c>
      <c r="P33" s="602">
        <f>SUMIF($Z$28:$Z$29,"landbouw",P28:P29)</f>
        <v>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46.588235294117652</v>
      </c>
      <c r="C49" s="631">
        <f t="shared" si="2"/>
        <v>1323.5294117647061</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66.554621848739501</v>
      </c>
      <c r="C50" s="634">
        <f t="shared" si="3"/>
        <v>1890.7563025210086</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16580.452137253946</v>
      </c>
      <c r="C4" s="458">
        <f>huishoudens!C8</f>
        <v>0</v>
      </c>
      <c r="D4" s="458">
        <f>huishoudens!D8</f>
        <v>24653.931236</v>
      </c>
      <c r="E4" s="458">
        <f>huishoudens!E8</f>
        <v>695.44367630867862</v>
      </c>
      <c r="F4" s="458">
        <f>huishoudens!F8</f>
        <v>21887.109011637578</v>
      </c>
      <c r="G4" s="458">
        <f>huishoudens!G8</f>
        <v>0</v>
      </c>
      <c r="H4" s="458">
        <f>huishoudens!H8</f>
        <v>0</v>
      </c>
      <c r="I4" s="458">
        <f>huishoudens!I8</f>
        <v>0</v>
      </c>
      <c r="J4" s="458">
        <f>huishoudens!J8</f>
        <v>0</v>
      </c>
      <c r="K4" s="458">
        <f>huishoudens!K8</f>
        <v>0</v>
      </c>
      <c r="L4" s="458">
        <f>huishoudens!L8</f>
        <v>0</v>
      </c>
      <c r="M4" s="458">
        <f>huishoudens!M8</f>
        <v>0</v>
      </c>
      <c r="N4" s="458">
        <f>huishoudens!N8</f>
        <v>5752.8428544023245</v>
      </c>
      <c r="O4" s="458">
        <f>huishoudens!O8</f>
        <v>110.99666666666667</v>
      </c>
      <c r="P4" s="459">
        <f>huishoudens!P8</f>
        <v>305.06666666666666</v>
      </c>
      <c r="Q4" s="460">
        <f>SUM(B4:P4)</f>
        <v>69985.842248935864</v>
      </c>
    </row>
    <row r="5" spans="1:17">
      <c r="A5" s="457" t="s">
        <v>155</v>
      </c>
      <c r="B5" s="458">
        <f ca="1">tertiair!B16</f>
        <v>6742.5290000000005</v>
      </c>
      <c r="C5" s="458">
        <f ca="1">tertiair!C16</f>
        <v>56.571428571428577</v>
      </c>
      <c r="D5" s="458">
        <f ca="1">tertiair!D16</f>
        <v>3539.1489508571431</v>
      </c>
      <c r="E5" s="458">
        <f>tertiair!E16</f>
        <v>68.012361026754931</v>
      </c>
      <c r="F5" s="458">
        <f ca="1">tertiair!F16</f>
        <v>1445.0612884219831</v>
      </c>
      <c r="G5" s="458">
        <f>tertiair!G16</f>
        <v>0</v>
      </c>
      <c r="H5" s="458">
        <f>tertiair!H16</f>
        <v>0</v>
      </c>
      <c r="I5" s="458">
        <f>tertiair!I16</f>
        <v>0</v>
      </c>
      <c r="J5" s="458">
        <f>tertiair!J16</f>
        <v>0</v>
      </c>
      <c r="K5" s="458">
        <f>tertiair!K16</f>
        <v>0</v>
      </c>
      <c r="L5" s="458">
        <f ca="1">tertiair!L16</f>
        <v>0</v>
      </c>
      <c r="M5" s="458">
        <f>tertiair!M16</f>
        <v>0</v>
      </c>
      <c r="N5" s="458">
        <f ca="1">tertiair!N16</f>
        <v>1492.1795434338471</v>
      </c>
      <c r="O5" s="458">
        <f>tertiair!O16</f>
        <v>0</v>
      </c>
      <c r="P5" s="459">
        <f>tertiair!P16</f>
        <v>0</v>
      </c>
      <c r="Q5" s="457">
        <f t="shared" ref="Q5:Q14" ca="1" si="0">SUM(B5:P5)</f>
        <v>13343.502572311158</v>
      </c>
    </row>
    <row r="6" spans="1:17">
      <c r="A6" s="457" t="s">
        <v>193</v>
      </c>
      <c r="B6" s="458">
        <f>'openbare verlichting'!B8</f>
        <v>473.96100000000001</v>
      </c>
      <c r="C6" s="458"/>
      <c r="D6" s="458"/>
      <c r="E6" s="458"/>
      <c r="F6" s="458"/>
      <c r="G6" s="458"/>
      <c r="H6" s="458"/>
      <c r="I6" s="458"/>
      <c r="J6" s="458"/>
      <c r="K6" s="458"/>
      <c r="L6" s="458"/>
      <c r="M6" s="458"/>
      <c r="N6" s="458"/>
      <c r="O6" s="458"/>
      <c r="P6" s="459"/>
      <c r="Q6" s="457">
        <f t="shared" si="0"/>
        <v>473.96100000000001</v>
      </c>
    </row>
    <row r="7" spans="1:17">
      <c r="A7" s="457" t="s">
        <v>111</v>
      </c>
      <c r="B7" s="458">
        <f>landbouw!B8</f>
        <v>180.45599999999999</v>
      </c>
      <c r="C7" s="458">
        <f>landbouw!C8</f>
        <v>0</v>
      </c>
      <c r="D7" s="458">
        <f>landbouw!D8</f>
        <v>0</v>
      </c>
      <c r="E7" s="458">
        <f>landbouw!E8</f>
        <v>2.2739780745948681</v>
      </c>
      <c r="F7" s="458">
        <f>landbouw!F8</f>
        <v>622.61840692922465</v>
      </c>
      <c r="G7" s="458">
        <f>landbouw!G8</f>
        <v>0</v>
      </c>
      <c r="H7" s="458">
        <f>landbouw!H8</f>
        <v>0</v>
      </c>
      <c r="I7" s="458">
        <f>landbouw!I8</f>
        <v>0</v>
      </c>
      <c r="J7" s="458">
        <f>landbouw!J8</f>
        <v>27.13853104859092</v>
      </c>
      <c r="K7" s="458">
        <f>landbouw!K8</f>
        <v>0</v>
      </c>
      <c r="L7" s="458">
        <f>landbouw!L8</f>
        <v>0</v>
      </c>
      <c r="M7" s="458">
        <f>landbouw!M8</f>
        <v>0</v>
      </c>
      <c r="N7" s="458">
        <f>landbouw!N8</f>
        <v>0</v>
      </c>
      <c r="O7" s="458">
        <f>landbouw!O8</f>
        <v>0</v>
      </c>
      <c r="P7" s="459">
        <f>landbouw!P8</f>
        <v>0</v>
      </c>
      <c r="Q7" s="457">
        <f t="shared" si="0"/>
        <v>832.48691605241049</v>
      </c>
    </row>
    <row r="8" spans="1:17">
      <c r="A8" s="457" t="s">
        <v>655</v>
      </c>
      <c r="B8" s="458">
        <f>industrie!B18</f>
        <v>1715.9660000000001</v>
      </c>
      <c r="C8" s="458">
        <f>industrie!C18</f>
        <v>1607.1428571428571</v>
      </c>
      <c r="D8" s="458">
        <f>industrie!D18</f>
        <v>583.28461399999992</v>
      </c>
      <c r="E8" s="458">
        <f>industrie!E18</f>
        <v>82.405279113716858</v>
      </c>
      <c r="F8" s="458">
        <f>industrie!F18</f>
        <v>450.9955418203528</v>
      </c>
      <c r="G8" s="458">
        <f>industrie!G18</f>
        <v>0</v>
      </c>
      <c r="H8" s="458">
        <f>industrie!H18</f>
        <v>0</v>
      </c>
      <c r="I8" s="458">
        <f>industrie!I18</f>
        <v>0</v>
      </c>
      <c r="J8" s="458">
        <f>industrie!J18</f>
        <v>0.258961013601608</v>
      </c>
      <c r="K8" s="458">
        <f>industrie!K18</f>
        <v>0</v>
      </c>
      <c r="L8" s="458">
        <f>industrie!L18</f>
        <v>0</v>
      </c>
      <c r="M8" s="458">
        <f>industrie!M18</f>
        <v>0</v>
      </c>
      <c r="N8" s="458">
        <f>industrie!N18</f>
        <v>0</v>
      </c>
      <c r="O8" s="458">
        <f>industrie!O18</f>
        <v>0</v>
      </c>
      <c r="P8" s="459">
        <f>industrie!P18</f>
        <v>0</v>
      </c>
      <c r="Q8" s="457">
        <f t="shared" si="0"/>
        <v>4440.0532530905293</v>
      </c>
    </row>
    <row r="9" spans="1:17" s="463" customFormat="1">
      <c r="A9" s="461" t="s">
        <v>573</v>
      </c>
      <c r="B9" s="462">
        <f>transport!B14</f>
        <v>2.2477827577830416</v>
      </c>
      <c r="C9" s="462">
        <f>transport!C14</f>
        <v>0</v>
      </c>
      <c r="D9" s="462">
        <f>transport!D14</f>
        <v>3.7681415140033918</v>
      </c>
      <c r="E9" s="462">
        <f>transport!E14</f>
        <v>132.88667862851185</v>
      </c>
      <c r="F9" s="462">
        <f>transport!F14</f>
        <v>0</v>
      </c>
      <c r="G9" s="462">
        <f>transport!G14</f>
        <v>35430.056284998202</v>
      </c>
      <c r="H9" s="462">
        <f>transport!H14</f>
        <v>6862.3773348981658</v>
      </c>
      <c r="I9" s="462">
        <f>transport!I14</f>
        <v>0</v>
      </c>
      <c r="J9" s="462">
        <f>transport!J14</f>
        <v>0</v>
      </c>
      <c r="K9" s="462">
        <f>transport!K14</f>
        <v>0</v>
      </c>
      <c r="L9" s="462">
        <f>transport!L14</f>
        <v>0</v>
      </c>
      <c r="M9" s="462">
        <f>transport!M14</f>
        <v>1912.5242674479978</v>
      </c>
      <c r="N9" s="462">
        <f>transport!N14</f>
        <v>0</v>
      </c>
      <c r="O9" s="462">
        <f>transport!O14</f>
        <v>0</v>
      </c>
      <c r="P9" s="462">
        <f>transport!P14</f>
        <v>0</v>
      </c>
      <c r="Q9" s="461">
        <f>SUM(B9:P9)</f>
        <v>44343.86049024466</v>
      </c>
    </row>
    <row r="10" spans="1:17">
      <c r="A10" s="457" t="s">
        <v>563</v>
      </c>
      <c r="B10" s="458">
        <f>transport!B54</f>
        <v>0</v>
      </c>
      <c r="C10" s="458">
        <f>transport!C54</f>
        <v>0</v>
      </c>
      <c r="D10" s="458">
        <f>transport!D54</f>
        <v>0</v>
      </c>
      <c r="E10" s="458">
        <f>transport!E54</f>
        <v>0</v>
      </c>
      <c r="F10" s="458">
        <f>transport!F54</f>
        <v>0</v>
      </c>
      <c r="G10" s="458">
        <f>transport!G54</f>
        <v>1027.8161845024574</v>
      </c>
      <c r="H10" s="458">
        <f>transport!H54</f>
        <v>0</v>
      </c>
      <c r="I10" s="458">
        <f>transport!I54</f>
        <v>0</v>
      </c>
      <c r="J10" s="458">
        <f>transport!J54</f>
        <v>0</v>
      </c>
      <c r="K10" s="458">
        <f>transport!K54</f>
        <v>0</v>
      </c>
      <c r="L10" s="458">
        <f>transport!L54</f>
        <v>0</v>
      </c>
      <c r="M10" s="458">
        <f>transport!M54</f>
        <v>45.74894867650044</v>
      </c>
      <c r="N10" s="458">
        <f>transport!N54</f>
        <v>0</v>
      </c>
      <c r="O10" s="458">
        <f>transport!O54</f>
        <v>0</v>
      </c>
      <c r="P10" s="459">
        <f>transport!P54</f>
        <v>0</v>
      </c>
      <c r="Q10" s="457">
        <f t="shared" si="0"/>
        <v>1073.5651331789579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322.41000000000003</v>
      </c>
      <c r="C14" s="465"/>
      <c r="D14" s="465">
        <f>'SEAP template'!E25</f>
        <v>2194.1570000000002</v>
      </c>
      <c r="E14" s="465"/>
      <c r="F14" s="465"/>
      <c r="G14" s="465"/>
      <c r="H14" s="465"/>
      <c r="I14" s="465"/>
      <c r="J14" s="465"/>
      <c r="K14" s="465"/>
      <c r="L14" s="465"/>
      <c r="M14" s="465"/>
      <c r="N14" s="465"/>
      <c r="O14" s="465"/>
      <c r="P14" s="466"/>
      <c r="Q14" s="457">
        <f t="shared" si="0"/>
        <v>2516.567</v>
      </c>
    </row>
    <row r="15" spans="1:17" s="470" customFormat="1">
      <c r="A15" s="467" t="s">
        <v>567</v>
      </c>
      <c r="B15" s="468">
        <f ca="1">SUM(B4:B14)</f>
        <v>26018.021920011728</v>
      </c>
      <c r="C15" s="468">
        <f t="shared" ref="C15:Q15" ca="1" si="1">SUM(C4:C14)</f>
        <v>1663.7142857142858</v>
      </c>
      <c r="D15" s="468">
        <f t="shared" ca="1" si="1"/>
        <v>30974.289942371146</v>
      </c>
      <c r="E15" s="468">
        <f t="shared" si="1"/>
        <v>981.02197315225703</v>
      </c>
      <c r="F15" s="468">
        <f t="shared" ca="1" si="1"/>
        <v>24405.784248809141</v>
      </c>
      <c r="G15" s="468">
        <f t="shared" si="1"/>
        <v>36457.87246950066</v>
      </c>
      <c r="H15" s="468">
        <f t="shared" si="1"/>
        <v>6862.3773348981658</v>
      </c>
      <c r="I15" s="468">
        <f t="shared" si="1"/>
        <v>0</v>
      </c>
      <c r="J15" s="468">
        <f t="shared" si="1"/>
        <v>27.397492062192526</v>
      </c>
      <c r="K15" s="468">
        <f t="shared" si="1"/>
        <v>0</v>
      </c>
      <c r="L15" s="468">
        <f t="shared" ca="1" si="1"/>
        <v>0</v>
      </c>
      <c r="M15" s="468">
        <f t="shared" si="1"/>
        <v>1958.2732161244983</v>
      </c>
      <c r="N15" s="468">
        <f t="shared" ca="1" si="1"/>
        <v>7245.0223978361719</v>
      </c>
      <c r="O15" s="468">
        <f t="shared" si="1"/>
        <v>110.99666666666667</v>
      </c>
      <c r="P15" s="468">
        <f t="shared" si="1"/>
        <v>305.06666666666666</v>
      </c>
      <c r="Q15" s="468">
        <f t="shared" ca="1" si="1"/>
        <v>137009.8386138136</v>
      </c>
    </row>
    <row r="17" spans="1:17">
      <c r="A17" s="471" t="s">
        <v>568</v>
      </c>
      <c r="B17" s="777">
        <f ca="1">huishoudens!B10</f>
        <v>0.19029151505864522</v>
      </c>
      <c r="C17" s="777">
        <f ca="1">huishoudens!C10</f>
        <v>8.0807346122374769E-3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3155.1193575554057</v>
      </c>
      <c r="C22" s="458">
        <f t="shared" ref="C22:C32" ca="1" si="3">C4*$C$17</f>
        <v>0</v>
      </c>
      <c r="D22" s="458">
        <f t="shared" ref="D22:D32" si="4">D4*$D$17</f>
        <v>4980.0941096720007</v>
      </c>
      <c r="E22" s="458">
        <f t="shared" ref="E22:E32" si="5">E4*$E$17</f>
        <v>157.86571452207005</v>
      </c>
      <c r="F22" s="458">
        <f t="shared" ref="F22:F32" si="6">F4*$F$17</f>
        <v>5843.8581061072337</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14136.937287856708</v>
      </c>
    </row>
    <row r="23" spans="1:17">
      <c r="A23" s="457" t="s">
        <v>155</v>
      </c>
      <c r="B23" s="458">
        <f t="shared" ca="1" si="2"/>
        <v>1283.0460587368523</v>
      </c>
      <c r="C23" s="458">
        <f t="shared" ca="1" si="3"/>
        <v>0.45713870092086301</v>
      </c>
      <c r="D23" s="458">
        <f t="shared" ca="1" si="4"/>
        <v>714.90808807314295</v>
      </c>
      <c r="E23" s="458">
        <f t="shared" si="5"/>
        <v>15.43880595307337</v>
      </c>
      <c r="F23" s="458">
        <f t="shared" ca="1" si="6"/>
        <v>385.83136400866954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2399.6814554726589</v>
      </c>
    </row>
    <row r="24" spans="1:17">
      <c r="A24" s="457" t="s">
        <v>193</v>
      </c>
      <c r="B24" s="458">
        <f t="shared" ca="1" si="2"/>
        <v>90.190756768710557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90.190756768710557</v>
      </c>
    </row>
    <row r="25" spans="1:17">
      <c r="A25" s="457" t="s">
        <v>111</v>
      </c>
      <c r="B25" s="458">
        <f t="shared" ca="1" si="2"/>
        <v>34.339245641422877</v>
      </c>
      <c r="C25" s="458">
        <f t="shared" ca="1" si="3"/>
        <v>0</v>
      </c>
      <c r="D25" s="458">
        <f t="shared" si="4"/>
        <v>0</v>
      </c>
      <c r="E25" s="458">
        <f t="shared" si="5"/>
        <v>0.51619302293303504</v>
      </c>
      <c r="F25" s="458">
        <f t="shared" si="6"/>
        <v>166.23911465010298</v>
      </c>
      <c r="G25" s="458">
        <f t="shared" si="7"/>
        <v>0</v>
      </c>
      <c r="H25" s="458">
        <f t="shared" si="8"/>
        <v>0</v>
      </c>
      <c r="I25" s="458">
        <f t="shared" si="9"/>
        <v>0</v>
      </c>
      <c r="J25" s="458">
        <f t="shared" si="10"/>
        <v>9.6070399912011855</v>
      </c>
      <c r="K25" s="458">
        <f t="shared" si="11"/>
        <v>0</v>
      </c>
      <c r="L25" s="458">
        <f t="shared" si="12"/>
        <v>0</v>
      </c>
      <c r="M25" s="458">
        <f t="shared" si="13"/>
        <v>0</v>
      </c>
      <c r="N25" s="458">
        <f t="shared" si="14"/>
        <v>0</v>
      </c>
      <c r="O25" s="458">
        <f t="shared" si="15"/>
        <v>0</v>
      </c>
      <c r="P25" s="459">
        <f t="shared" si="16"/>
        <v>0</v>
      </c>
      <c r="Q25" s="457">
        <f t="shared" ca="1" si="17"/>
        <v>210.70159330566008</v>
      </c>
    </row>
    <row r="26" spans="1:17">
      <c r="A26" s="457" t="s">
        <v>655</v>
      </c>
      <c r="B26" s="458">
        <f t="shared" ca="1" si="2"/>
        <v>326.53376992912325</v>
      </c>
      <c r="C26" s="458">
        <f t="shared" ca="1" si="3"/>
        <v>12.986894912524516</v>
      </c>
      <c r="D26" s="458">
        <f t="shared" si="4"/>
        <v>117.82349202799999</v>
      </c>
      <c r="E26" s="458">
        <f t="shared" si="5"/>
        <v>18.705998358813726</v>
      </c>
      <c r="F26" s="458">
        <f t="shared" si="6"/>
        <v>120.41580966603421</v>
      </c>
      <c r="G26" s="458">
        <f t="shared" si="7"/>
        <v>0</v>
      </c>
      <c r="H26" s="458">
        <f t="shared" si="8"/>
        <v>0</v>
      </c>
      <c r="I26" s="458">
        <f t="shared" si="9"/>
        <v>0</v>
      </c>
      <c r="J26" s="458">
        <f t="shared" si="10"/>
        <v>9.1672198814969227E-2</v>
      </c>
      <c r="K26" s="458">
        <f t="shared" si="11"/>
        <v>0</v>
      </c>
      <c r="L26" s="458">
        <f t="shared" si="12"/>
        <v>0</v>
      </c>
      <c r="M26" s="458">
        <f t="shared" si="13"/>
        <v>0</v>
      </c>
      <c r="N26" s="458">
        <f t="shared" si="14"/>
        <v>0</v>
      </c>
      <c r="O26" s="458">
        <f t="shared" si="15"/>
        <v>0</v>
      </c>
      <c r="P26" s="459">
        <f t="shared" si="16"/>
        <v>0</v>
      </c>
      <c r="Q26" s="457">
        <f t="shared" ca="1" si="17"/>
        <v>596.55763709331063</v>
      </c>
    </row>
    <row r="27" spans="1:17" s="463" customFormat="1">
      <c r="A27" s="461" t="s">
        <v>573</v>
      </c>
      <c r="B27" s="771">
        <f t="shared" ca="1" si="2"/>
        <v>0.42773398650123473</v>
      </c>
      <c r="C27" s="462">
        <f t="shared" ca="1" si="3"/>
        <v>0</v>
      </c>
      <c r="D27" s="462">
        <f t="shared" si="4"/>
        <v>0.76116458582868518</v>
      </c>
      <c r="E27" s="462">
        <f t="shared" si="5"/>
        <v>30.16527604867219</v>
      </c>
      <c r="F27" s="462">
        <f t="shared" si="6"/>
        <v>0</v>
      </c>
      <c r="G27" s="462">
        <f t="shared" si="7"/>
        <v>9459.8250280945213</v>
      </c>
      <c r="H27" s="462">
        <f t="shared" si="8"/>
        <v>1708.7319563896433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11199.911159105166</v>
      </c>
    </row>
    <row r="28" spans="1:17">
      <c r="A28" s="457" t="s">
        <v>563</v>
      </c>
      <c r="B28" s="458">
        <f t="shared" ca="1" si="2"/>
        <v>0</v>
      </c>
      <c r="C28" s="458">
        <f t="shared" ca="1" si="3"/>
        <v>0</v>
      </c>
      <c r="D28" s="458">
        <f t="shared" si="4"/>
        <v>0</v>
      </c>
      <c r="E28" s="458">
        <f t="shared" si="5"/>
        <v>0</v>
      </c>
      <c r="F28" s="458">
        <f t="shared" si="6"/>
        <v>0</v>
      </c>
      <c r="G28" s="458">
        <f t="shared" si="7"/>
        <v>274.42692126215616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274.42692126215616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61.35188737005781</v>
      </c>
      <c r="C32" s="458">
        <f t="shared" ca="1" si="3"/>
        <v>0</v>
      </c>
      <c r="D32" s="458">
        <f t="shared" si="4"/>
        <v>443.21971400000007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504.57160137005786</v>
      </c>
    </row>
    <row r="33" spans="1:17" s="470" customFormat="1">
      <c r="A33" s="467" t="s">
        <v>567</v>
      </c>
      <c r="B33" s="468">
        <f ca="1">SUM(B22:B32)</f>
        <v>4951.0088099880732</v>
      </c>
      <c r="C33" s="468">
        <f t="shared" ref="C33:Q33" ca="1" si="18">SUM(C22:C32)</f>
        <v>13.444033613445379</v>
      </c>
      <c r="D33" s="468">
        <f t="shared" ca="1" si="18"/>
        <v>6256.8065683589721</v>
      </c>
      <c r="E33" s="468">
        <f t="shared" si="18"/>
        <v>222.69198790556237</v>
      </c>
      <c r="F33" s="468">
        <f t="shared" ca="1" si="18"/>
        <v>6516.3443944320406</v>
      </c>
      <c r="G33" s="468">
        <f t="shared" si="18"/>
        <v>9734.2519493566779</v>
      </c>
      <c r="H33" s="468">
        <f t="shared" si="18"/>
        <v>1708.7319563896433</v>
      </c>
      <c r="I33" s="468">
        <f t="shared" si="18"/>
        <v>0</v>
      </c>
      <c r="J33" s="468">
        <f t="shared" si="18"/>
        <v>9.6987121900161544</v>
      </c>
      <c r="K33" s="468">
        <f t="shared" si="18"/>
        <v>0</v>
      </c>
      <c r="L33" s="468">
        <f t="shared" ca="1" si="18"/>
        <v>0</v>
      </c>
      <c r="M33" s="468">
        <f t="shared" si="18"/>
        <v>0</v>
      </c>
      <c r="N33" s="468">
        <f t="shared" ca="1" si="18"/>
        <v>0</v>
      </c>
      <c r="O33" s="468">
        <f t="shared" si="18"/>
        <v>0</v>
      </c>
      <c r="P33" s="468">
        <f t="shared" si="18"/>
        <v>0</v>
      </c>
      <c r="Q33" s="468">
        <f t="shared" ca="1" si="18"/>
        <v>29412.978412234432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2493.2500355833981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1125</v>
      </c>
      <c r="C8" s="1034">
        <f>'SEAP template'!C76</f>
        <v>39.599999999999994</v>
      </c>
      <c r="D8" s="1034">
        <f>'SEAP template'!D76</f>
        <v>46.588235294117652</v>
      </c>
      <c r="E8" s="1034">
        <f>'SEAP template'!E76</f>
        <v>0</v>
      </c>
      <c r="F8" s="1034">
        <f>'SEAP template'!F76</f>
        <v>0</v>
      </c>
      <c r="G8" s="1034">
        <f>'SEAP template'!G76</f>
        <v>0</v>
      </c>
      <c r="H8" s="1034">
        <f>'SEAP template'!H76</f>
        <v>0</v>
      </c>
      <c r="I8" s="1034">
        <f>'SEAP template'!I76</f>
        <v>0</v>
      </c>
      <c r="J8" s="1034">
        <f>'SEAP template'!J76</f>
        <v>1323.5294117647061</v>
      </c>
      <c r="K8" s="1034">
        <f>'SEAP template'!K76</f>
        <v>0</v>
      </c>
      <c r="L8" s="1034">
        <f>'SEAP template'!L76</f>
        <v>0</v>
      </c>
      <c r="M8" s="1034">
        <f>'SEAP template'!M76</f>
        <v>0</v>
      </c>
      <c r="N8" s="1034">
        <f>'SEAP template'!N76</f>
        <v>0</v>
      </c>
      <c r="O8" s="1034">
        <f>'SEAP template'!O76</f>
        <v>0</v>
      </c>
      <c r="P8" s="1035">
        <f>'SEAP template'!Q76</f>
        <v>9.4108235294117666</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3618.2500355833981</v>
      </c>
      <c r="C10" s="1038">
        <f>SUM(C4:C9)</f>
        <v>39.599999999999994</v>
      </c>
      <c r="D10" s="1038">
        <f t="shared" ref="D10:H10" si="0">SUM(D8:D9)</f>
        <v>46.588235294117652</v>
      </c>
      <c r="E10" s="1038">
        <f t="shared" si="0"/>
        <v>0</v>
      </c>
      <c r="F10" s="1038">
        <f t="shared" si="0"/>
        <v>0</v>
      </c>
      <c r="G10" s="1038">
        <f t="shared" si="0"/>
        <v>0</v>
      </c>
      <c r="H10" s="1038">
        <f t="shared" si="0"/>
        <v>0</v>
      </c>
      <c r="I10" s="1038">
        <f>SUM(I8:I9)</f>
        <v>0</v>
      </c>
      <c r="J10" s="1038">
        <f>SUM(J8:J9)</f>
        <v>1323.5294117647061</v>
      </c>
      <c r="K10" s="1038">
        <f t="shared" ref="K10:L10" si="1">SUM(K8:K9)</f>
        <v>0</v>
      </c>
      <c r="L10" s="1038">
        <f t="shared" si="1"/>
        <v>0</v>
      </c>
      <c r="M10" s="1038">
        <f>SUM(M8:M9)</f>
        <v>0</v>
      </c>
      <c r="N10" s="1038">
        <f>SUM(N8:N9)</f>
        <v>0</v>
      </c>
      <c r="O10" s="1038">
        <f>SUM(O8:O9)</f>
        <v>0</v>
      </c>
      <c r="P10" s="1038">
        <f>SUM(P8:P9)</f>
        <v>9.4108235294117666</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0.19029151505864522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1607.1428571428571</v>
      </c>
      <c r="C17" s="1040">
        <f>'SEAP template'!C87</f>
        <v>56.571428571428577</v>
      </c>
      <c r="D17" s="1035">
        <f>'SEAP template'!D87</f>
        <v>66.554621848739501</v>
      </c>
      <c r="E17" s="1035">
        <f>'SEAP template'!E87</f>
        <v>0</v>
      </c>
      <c r="F17" s="1035">
        <f>'SEAP template'!F87</f>
        <v>0</v>
      </c>
      <c r="G17" s="1035">
        <f>'SEAP template'!G87</f>
        <v>0</v>
      </c>
      <c r="H17" s="1035">
        <f>'SEAP template'!H87</f>
        <v>0</v>
      </c>
      <c r="I17" s="1035">
        <f>'SEAP template'!I87</f>
        <v>0</v>
      </c>
      <c r="J17" s="1035">
        <f>'SEAP template'!J87</f>
        <v>1890.7563025210086</v>
      </c>
      <c r="K17" s="1035">
        <f>'SEAP template'!K87</f>
        <v>0</v>
      </c>
      <c r="L17" s="1035">
        <f>'SEAP template'!L87</f>
        <v>0</v>
      </c>
      <c r="M17" s="1035">
        <f>'SEAP template'!M87</f>
        <v>0</v>
      </c>
      <c r="N17" s="1035">
        <f>'SEAP template'!N87</f>
        <v>0</v>
      </c>
      <c r="O17" s="1035">
        <f>'SEAP template'!O87</f>
        <v>0</v>
      </c>
      <c r="P17" s="1035">
        <f>'SEAP template'!Q87</f>
        <v>13.444033613445381</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1607.1428571428571</v>
      </c>
      <c r="C20" s="1038">
        <f>SUM(C17:C19)</f>
        <v>56.571428571428577</v>
      </c>
      <c r="D20" s="1038">
        <f t="shared" ref="D20:H20" si="2">SUM(D17:D19)</f>
        <v>66.554621848739501</v>
      </c>
      <c r="E20" s="1038">
        <f t="shared" si="2"/>
        <v>0</v>
      </c>
      <c r="F20" s="1038">
        <f t="shared" si="2"/>
        <v>0</v>
      </c>
      <c r="G20" s="1038">
        <f t="shared" si="2"/>
        <v>0</v>
      </c>
      <c r="H20" s="1038">
        <f t="shared" si="2"/>
        <v>0</v>
      </c>
      <c r="I20" s="1038">
        <f>SUM(I17:I19)</f>
        <v>0</v>
      </c>
      <c r="J20" s="1038">
        <f>SUM(J17:J19)</f>
        <v>1890.7563025210086</v>
      </c>
      <c r="K20" s="1038">
        <f t="shared" ref="K20:L20" si="3">SUM(K17:K19)</f>
        <v>0</v>
      </c>
      <c r="L20" s="1038">
        <f t="shared" si="3"/>
        <v>0</v>
      </c>
      <c r="M20" s="1038">
        <f>SUM(M17:M19)</f>
        <v>0</v>
      </c>
      <c r="N20" s="1038">
        <f>SUM(N17:N19)</f>
        <v>0</v>
      </c>
      <c r="O20" s="1038">
        <f>SUM(O17:O19)</f>
        <v>0</v>
      </c>
      <c r="P20" s="1038">
        <f>SUM(P17:P19)</f>
        <v>13.444033613445381</v>
      </c>
    </row>
    <row r="22" spans="1:16">
      <c r="A22" s="471" t="s">
        <v>879</v>
      </c>
      <c r="B22" s="777" t="s">
        <v>873</v>
      </c>
      <c r="C22" s="777">
        <f ca="1">'EF ele_warmte'!B22</f>
        <v>8.0807346122374769E-3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0.19029151505864522</v>
      </c>
      <c r="C17" s="508">
        <f ca="1">'EF ele_warmte'!B22</f>
        <v>8.0807346122374769E-3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2020-06-20T16:22:48Z</dcterms:modified>
</cp:coreProperties>
</file>