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F20" i="18" s="1"/>
  <c r="E18" i="18"/>
  <c r="D18" i="18"/>
  <c r="C18" i="18"/>
  <c r="B18" i="18"/>
  <c r="L9" i="18"/>
  <c r="K9" i="18"/>
  <c r="H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C47" i="18" s="1"/>
  <c r="M31" i="18"/>
  <c r="G22" i="18"/>
  <c r="F22" i="18"/>
  <c r="E22" i="18"/>
  <c r="D22" i="18"/>
  <c r="C22" i="18"/>
  <c r="D20" i="18"/>
  <c r="B17" i="18"/>
  <c r="G12" i="18"/>
  <c r="F12" i="18"/>
  <c r="E12" i="18"/>
  <c r="D12" i="18"/>
  <c r="C12" i="18"/>
  <c r="L10" i="18"/>
  <c r="K10" i="18"/>
  <c r="G10" i="18"/>
  <c r="D10" i="18"/>
  <c r="B6" i="18"/>
  <c r="B5" i="18"/>
  <c r="B4" i="18"/>
  <c r="I50" i="18" l="1"/>
  <c r="H8" i="18" s="1"/>
  <c r="H10" i="18" s="1"/>
  <c r="G50" i="18"/>
  <c r="F50" i="18"/>
  <c r="D50" i="18"/>
  <c r="B50" i="18"/>
  <c r="C8" i="18" s="1"/>
  <c r="C10" i="18" s="1"/>
  <c r="C50" i="18"/>
  <c r="H50" i="18"/>
  <c r="J8" i="18" s="1"/>
  <c r="J10" i="18" s="1"/>
  <c r="I51" i="18"/>
  <c r="H17" i="18" s="1"/>
  <c r="H20" i="18" s="1"/>
  <c r="F51" i="18"/>
  <c r="C51" i="18"/>
  <c r="G51" i="18"/>
  <c r="I17" i="18" s="1"/>
  <c r="B51" i="18"/>
  <c r="C17" i="18" s="1"/>
  <c r="C20" i="18" s="1"/>
  <c r="B20" i="18"/>
  <c r="B8" i="18"/>
  <c r="B10" i="18" s="1"/>
  <c r="O18" i="18"/>
  <c r="G20" i="18"/>
  <c r="K20" i="18"/>
  <c r="O19" i="18"/>
  <c r="O9" i="18"/>
  <c r="I20" i="18"/>
  <c r="D51" i="18"/>
  <c r="H51" i="18"/>
  <c r="E50" i="18"/>
  <c r="E8" i="18" s="1"/>
  <c r="E10" i="18" s="1"/>
  <c r="E51" i="18"/>
  <c r="E17" i="18" s="1"/>
  <c r="E20" i="18" s="1"/>
  <c r="N6" i="17"/>
  <c r="I8" i="18" l="1"/>
  <c r="I10" i="18" s="1"/>
  <c r="J17" i="18"/>
  <c r="J20" i="18" s="1"/>
  <c r="L6" i="17"/>
  <c r="F6" i="17"/>
  <c r="D6" i="17"/>
  <c r="C6" i="17"/>
  <c r="N16" i="16"/>
  <c r="L16" i="16"/>
  <c r="F16" i="16"/>
  <c r="D16" i="16"/>
  <c r="C16" i="16"/>
  <c r="B16" i="16"/>
  <c r="B13" i="15"/>
  <c r="O8" i="18" l="1"/>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D4" i="48"/>
  <c r="D22" i="48" s="1"/>
  <c r="E11" i="14"/>
  <c r="B7" i="48"/>
  <c r="C24" i="14"/>
  <c r="C26" i="14"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6" i="14"/>
  <c r="P27" i="14" s="1"/>
  <c r="P13" i="14"/>
  <c r="O8" i="48"/>
  <c r="O26" i="48" s="1"/>
  <c r="O23" i="48"/>
  <c r="O33" i="48" s="1"/>
  <c r="O15" i="48"/>
  <c r="E12" i="13"/>
  <c r="F41" i="14" s="1"/>
  <c r="F11" i="14"/>
  <c r="E4" i="48"/>
  <c r="K11" i="14"/>
  <c r="J4" i="48"/>
  <c r="N4" i="48"/>
  <c r="N22" i="48" s="1"/>
  <c r="O11" i="14"/>
  <c r="R18" i="14"/>
  <c r="M14" i="22"/>
  <c r="N20" i="14" s="1"/>
  <c r="M10" i="48"/>
  <c r="M28" i="48" s="1"/>
  <c r="N19" i="14"/>
  <c r="G10" i="48"/>
  <c r="H19" i="14"/>
  <c r="Q13" i="48"/>
  <c r="G31" i="48"/>
  <c r="G9" i="48"/>
  <c r="H20" i="14"/>
  <c r="H22" i="14" s="1"/>
  <c r="H27" i="14" s="1"/>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M9" i="48"/>
  <c r="M27" i="48" s="1"/>
  <c r="M33" i="48" s="1"/>
  <c r="E20" i="15"/>
  <c r="F40" i="14" s="1"/>
  <c r="F10" i="14"/>
  <c r="E5" i="48"/>
  <c r="M18" i="22"/>
  <c r="N50" i="14" s="1"/>
  <c r="N52" i="14" s="1"/>
  <c r="N61" i="14" s="1"/>
  <c r="E22" i="48"/>
  <c r="Q4" i="48"/>
  <c r="R11" i="14"/>
  <c r="J22" i="48"/>
  <c r="N22" i="14"/>
  <c r="N27" i="14" s="1"/>
  <c r="N63" i="14" s="1"/>
  <c r="E61" i="14"/>
  <c r="R19" i="14"/>
  <c r="Q10" i="48"/>
  <c r="G28" i="48"/>
  <c r="H9" i="48"/>
  <c r="I20" i="14"/>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J22" i="16"/>
  <c r="K43" i="14" s="1"/>
  <c r="K46" i="14" s="1"/>
  <c r="K61" i="14" s="1"/>
  <c r="K13" i="14"/>
  <c r="K16" i="14" s="1"/>
  <c r="K27" i="14" s="1"/>
  <c r="J8" i="48"/>
  <c r="R10" i="14"/>
  <c r="Q5" i="48"/>
  <c r="E8" i="48"/>
  <c r="E26" i="48" s="1"/>
  <c r="F13" i="14"/>
  <c r="F16" i="14" s="1"/>
  <c r="F27" i="14" s="1"/>
  <c r="F63"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J26" i="48"/>
  <c r="J33" i="48" s="1"/>
  <c r="J15" i="48"/>
  <c r="E33"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<sst xmlns="http://schemas.openxmlformats.org/spreadsheetml/2006/main" count="2474" uniqueCount="934">
  <si>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</si>
  <si>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</si>
  <si>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</si>
  <si>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</si>
  <si>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</si>
  <si>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</si>
  <si>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</si>
  <si>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</si>
  <si>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</si>
  <si>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</si>
  <si>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</si>
  <si>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</si>
  <si>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</si>
  <si>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</si>
  <si>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</si>
  <si>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</si>
  <si>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</si>
  <si>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</si>
  <si>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</si>
  <si>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</si>
  <si>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</si>
  <si>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</si>
  <si>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</si>
  <si>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</si>
  <si>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</si>
  <si>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</si>
  <si>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</si>
  <si>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</si>
  <si>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</si>
  <si>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</si>
  <si>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</si>
  <si>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</si>
  <si>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</si>
  <si>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</si>
  <si>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</si>
  <si>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</si>
  <si>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</si>
  <si>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</si>
  <si>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</si>
  <si>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</si>
  <si>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</si>
  <si>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</si>
  <si>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</si>
  <si>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</si>
  <si>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</si>
  <si>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</si>
  <si>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</si>
  <si>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</si>
  <si>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</si>
  <si>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</si>
  <si>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</si>
  <si>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</si>
  <si>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</si>
  <si>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</si>
  <si>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</si>
  <si>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</si>
  <si>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</si>
  <si>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</si>
  <si>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</si>
  <si>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</si>
  <si>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</si>
  <si>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</si>
  <si>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</si>
  <si>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</si>
  <si>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</si>
  <si>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</si>
  <si>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</si>
  <si>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</si>
  <si>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</si>
  <si>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</si>
  <si>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</si>
  <si>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</si>
  <si>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</si>
  <si>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</si>
  <si>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</si>
  <si>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</si>
  <si>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</si>
  <si>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</si>
  <si>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</si>
  <si>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</si>
  <si>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</si>
  <si>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</si>
  <si>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</si>
  <si>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</si>
  <si>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</si>
  <si>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</si>
  <si>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</si>
  <si>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</si>
  <si>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</si>
  <si>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</si>
  <si>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</si>
  <si>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</si>
  <si>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</si>
  <si>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</si>
  <si>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</si>
  <si>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</si>
  <si>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</si>
  <si>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</si>
  <si>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</si>
  <si>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</si>
  <si>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</si>
  <si>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</si>
  <si>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</si>
  <si>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</si>
  <si>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</si>
  <si>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</si>
  <si>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</si>
  <si>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</si>
  <si>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</si>
  <si>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</si>
  <si>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</si>
  <si>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</si>
  <si>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</si>
  <si>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</si>
  <si>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</si>
  <si>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</si>
  <si>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</si>
  <si>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</si>
  <si>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</si>
  <si>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</si>
  <si>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</si>
  <si>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</si>
  <si>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</si>
  <si>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</si>
  <si>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</si>
  <si>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</si>
  <si>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</si>
  <si>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</si>
  <si>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</si>
  <si>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</si>
  <si>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</si>
  <si>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</si>
  <si>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</si>
  <si>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</si>
  <si>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</si>
  <si>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</si>
  <si>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</si>
  <si>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</si>
  <si>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</si>
  <si>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</si>
  <si>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</si>
  <si>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</si>
  <si>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</si>
  <si>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</si>
  <si>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</si>
  <si>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</si>
  <si>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</si>
  <si>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</si>
  <si>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</si>
  <si>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</si>
  <si>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</si>
  <si>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</si>
  <si>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</si>
  <si>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</si>
  <si>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</si>
  <si>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</si>
  <si>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</si>
  <si>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</si>
  <si>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</si>
  <si>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</si>
  <si>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</si>
  <si>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</si>
  <si>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</si>
  <si>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</si>
  <si>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</si>
  <si>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</si>
  <si>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</si>
  <si>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</si>
  <si>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</si>
  <si>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</si>
  <si>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</si>
  <si>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</si>
  <si>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</si>
  <si>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</si>
  <si>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</si>
  <si>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</si>
  <si>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</si>
  <si>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</si>
  <si>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</si>
  <si>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</si>
  <si>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</si>
  <si>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</si>
  <si>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</si>
  <si>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</si>
  <si>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</si>
  <si>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</si>
  <si>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</si>
  <si>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</si>
  <si>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</si>
  <si>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</si>
  <si>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</si>
  <si>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</si>
  <si>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</si>
  <si>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</si>
  <si>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</si>
  <si>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</si>
  <si>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</si>
  <si>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</si>
  <si>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</si>
  <si>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</si>
  <si>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</si>
  <si>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</si>
  <si>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</si>
  <si>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</si>
  <si>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</si>
  <si>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</si>
  <si>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</si>
  <si>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</si>
  <si>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</si>
  <si>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</si>
  <si>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</si>
  <si>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</si>
  <si>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</si>
  <si>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</si>
  <si>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</si>
  <si>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</si>
  <si>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</si>
  <si>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</si>
  <si>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</si>
  <si>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</si>
  <si>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</si>
  <si>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</si>
  <si>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</si>
  <si>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</si>
  <si>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</si>
  <si>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</si>
  <si>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</si>
  <si>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</si>
  <si>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</si>
  <si>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</si>
  <si>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</si>
  <si>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</si>
  <si>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</si>
  <si>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</si>
  <si>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</si>
  <si>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</si>
  <si>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</si>
  <si>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</si>
  <si>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</si>
  <si>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</si>
  <si>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</si>
  <si>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</si>
  <si>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</si>
  <si>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</si>
  <si>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</si>
  <si>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</si>
  <si>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</si>
  <si>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</si>
  <si>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</si>
  <si>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</si>
  <si>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</si>
  <si>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</si>
  <si>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</si>
  <si>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</si>
  <si>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</si>
  <si>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</si>
  <si>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</si>
  <si>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</si>
  <si>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</si>
  <si>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</si>
  <si>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</si>
  <si>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</si>
  <si>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</si>
  <si>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</si>
  <si>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</si>
  <si>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</si>
  <si>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</si>
  <si>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</si>
  <si>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</si>
  <si>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</si>
  <si>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</si>
  <si>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</si>
  <si>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</si>
  <si>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</si>
  <si>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</si>
  <si>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</si>
  <si>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</si>
  <si>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</si>
  <si>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</si>
  <si>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</si>
  <si>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</si>
  <si>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</si>
  <si>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</si>
  <si>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</si>
  <si>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</si>
  <si>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</si>
  <si>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</si>
  <si>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</si>
  <si>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</si>
  <si>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</si>
  <si>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</si>
  <si>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</si>
  <si>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</si>
  <si>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</si>
  <si>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</si>
  <si>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</si>
  <si>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</si>
  <si>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</si>
  <si>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</si>
  <si>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</si>
  <si>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</si>
  <si>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</si>
  <si>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</si>
  <si>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</si>
  <si>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</si>
  <si>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</si>
  <si>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</si>
  <si>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</si>
  <si>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</si>
  <si>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</si>
  <si>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</si>
  <si>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</si>
  <si>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</si>
  <si>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</si>
  <si>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</si>
  <si>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</si>
  <si>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</si>
  <si>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</si>
  <si>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</si>
  <si>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</si>
  <si>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</si>
  <si>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</si>
  <si>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</si>
  <si>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</si>
  <si>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</si>
  <si>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</si>
  <si>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</si>
  <si>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</si>
  <si>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</si>
  <si>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</si>
  <si>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</si>
  <si>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</si>
  <si>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</si>
  <si>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</si>
  <si>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</si>
  <si>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</si>
  <si>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</si>
  <si>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</si>
  <si>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</si>
  <si>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</si>
  <si>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</si>
  <si>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</si>
  <si>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</si>
  <si>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</si>
  <si>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</si>
  <si>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</si>
  <si>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</si>
  <si>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</si>
  <si>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</si>
  <si>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</si>
  <si>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</si>
  <si>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</si>
  <si>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</si>
  <si>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</si>
  <si>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</si>
  <si>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</si>
  <si>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</si>
  <si>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</si>
  <si>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</si>
  <si>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</si>
  <si>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</si>
  <si>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</si>
  <si>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</si>
  <si>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</si>
  <si>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</si>
  <si>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</si>
  <si>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</si>
  <si>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</si>
  <si>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</si>
  <si>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</si>
  <si>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</si>
  <si>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</si>
  <si>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</si>
  <si>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</si>
  <si>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</si>
  <si>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</si>
  <si>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</si>
  <si>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</si>
  <si>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</si>
  <si>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</si>
  <si>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</si>
  <si>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</si>
  <si>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</si>
  <si>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</si>
  <si>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</si>
  <si>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</si>
  <si>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</si>
  <si>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</si>
  <si>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</si>
  <si>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</si>
  <si>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</si>
  <si>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</si>
  <si>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</si>
  <si>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</si>
  <si>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</si>
  <si>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</si>
  <si>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</si>
  <si>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</si>
  <si>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</si>
  <si>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</si>
  <si>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</si>
  <si>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</si>
  <si>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</si>
  <si>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</si>
  <si>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</si>
  <si>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</si>
  <si>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</si>
  <si>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</si>
  <si>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</si>
  <si>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</si>
  <si>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</si>
  <si>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</si>
  <si>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</si>
  <si>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</si>
  <si>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</si>
  <si>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</si>
  <si>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</si>
  <si>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</si>
  <si>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</si>
  <si>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</si>
  <si>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</si>
  <si>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</si>
  <si>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</si>
  <si>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</si>
  <si>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</si>
  <si>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</si>
  <si>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</si>
  <si>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</si>
  <si>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</si>
  <si>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</si>
  <si>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</si>
  <si>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</si>
  <si>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</si>
  <si>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</si>
  <si>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</si>
  <si>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</si>
  <si>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</si>
  <si>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</si>
  <si>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</si>
  <si>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</si>
  <si>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</si>
  <si>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</si>
  <si>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</si>
  <si>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</si>
  <si>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</si>
  <si>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</si>
  <si>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</si>
  <si>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</si>
  <si>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</si>
  <si>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</si>
  <si>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</si>
  <si>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</si>
  <si>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</si>
  <si>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</si>
  <si>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</si>
  <si>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</si>
  <si>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</si>
  <si>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</si>
  <si>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</si>
  <si>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</si>
  <si>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</si>
  <si>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</si>
  <si>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</si>
  <si>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</si>
  <si>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</si>
  <si>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</si>
  <si>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</si>
  <si>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</si>
  <si>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</si>
  <si>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</si>
  <si>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</si>
  <si>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</si>
  <si>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</si>
  <si>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</si>
  <si>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</si>
  <si>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</si>
  <si>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</si>
  <si>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</si>
  <si>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</si>
  <si>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</si>
  <si>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</si>
  <si>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</si>
  <si>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</si>
  <si>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</si>
  <si>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</si>
  <si>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</si>
  <si>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</si>
  <si>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</si>
  <si>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</si>
  <si>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</si>
  <si>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</si>
  <si>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</si>
  <si>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</si>
  <si>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</si>
  <si>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</si>
  <si>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</si>
  <si>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</si>
  <si>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</si>
  <si>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</si>
  <si>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</si>
  <si>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</si>
  <si>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</si>
  <si>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</si>
  <si>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</si>
  <si>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</si>
  <si>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</si>
  <si>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</si>
  <si>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</si>
  <si>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</si>
  <si>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</si>
  <si>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</si>
  <si>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</si>
  <si>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</si>
  <si>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</si>
  <si>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</si>
  <si>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</si>
  <si>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</si>
  <si>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</si>
  <si>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</si>
  <si>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</si>
  <si>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</si>
  <si>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</si>
  <si>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</si>
  <si>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</si>
  <si>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</si>
  <si>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</si>
  <si>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</si>
  <si>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</si>
  <si>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</si>
  <si>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</si>
  <si>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</si>
  <si>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</si>
  <si>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</si>
  <si>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</si>
  <si>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</si>
  <si>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</si>
  <si>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</si>
  <si>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</si>
  <si>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</si>
  <si>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</si>
  <si>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</si>
  <si>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</si>
  <si>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</si>
  <si>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</si>
  <si>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</si>
  <si>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</si>
  <si>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</si>
  <si>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</si>
  <si>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</si>
  <si>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</si>
  <si>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</si>
  <si>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</si>
  <si>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</si>
  <si>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</si>
  <si>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</si>
  <si>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</si>
  <si>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</si>
  <si>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</si>
  <si>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</si>
  <si>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</si>
  <si>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</si>
  <si>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</si>
  <si>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</si>
  <si>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</si>
  <si>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</si>
  <si>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</si>
  <si>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</si>
  <si>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</si>
  <si>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</si>
  <si>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</si>
  <si>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</si>
  <si>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</si>
  <si>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</si>
  <si>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</si>
  <si>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</si>
  <si>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</si>
  <si>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</si>
  <si>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</si>
  <si>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</si>
  <si>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</si>
  <si>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</si>
  <si>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</si>
  <si>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</si>
  <si>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</si>
  <si>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</si>
  <si>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</si>
  <si>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</si>
  <si>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</si>
  <si>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</si>
  <si>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</si>
  <si>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</si>
  <si>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</si>
  <si>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</si>
  <si>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</si>
  <si>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</si>
  <si>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</si>
  <si>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</si>
  <si>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</si>
  <si>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</si>
  <si>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</si>
  <si>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</si>
  <si>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</si>
  <si>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</si>
  <si>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</si>
  <si>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</si>
  <si>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</si>
  <si>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</si>
  <si>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</si>
  <si>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</si>
  <si>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</si>
  <si>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</si>
  <si>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</si>
  <si>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</si>
  <si>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</si>
  <si>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</si>
  <si>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</si>
  <si>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</si>
  <si>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</si>
  <si>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</si>
  <si>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</si>
  <si>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</si>
  <si>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</si>
  <si>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</si>
  <si>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</si>
  <si>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</si>
  <si>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</si>
  <si>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</si>
  <si>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</si>
  <si>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</si>
  <si>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</si>
  <si>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</si>
  <si>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</si>
  <si>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</si>
  <si>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</si>
  <si>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</si>
  <si>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</si>
  <si>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</si>
  <si>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</si>
  <si>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</si>
  <si>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</si>
  <si>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</si>
  <si>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</si>
  <si>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</si>
  <si>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</si>
  <si>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</si>
  <si>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</si>
  <si>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</si>
  <si>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</si>
  <si>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</si>
  <si>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</si>
  <si>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</si>
  <si>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</si>
  <si>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</si>
  <si>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</si>
  <si>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</si>
  <si>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</si>
  <si>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</si>
  <si>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</si>
  <si>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</si>
  <si>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</si>
  <si>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</si>
  <si>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</si>
  <si>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</si>
  <si>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</si>
  <si>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</si>
  <si>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</si>
  <si>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</si>
  <si>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</si>
  <si>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</si>
  <si>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</si>
  <si>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</si>
  <si>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</si>
  <si>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</si>
  <si>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</si>
  <si>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</si>
  <si>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</si>
  <si>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</si>
  <si>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</si>
  <si>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</si>
  <si>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</si>
  <si>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</si>
  <si>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</si>
  <si>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</si>
  <si>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</si>
  <si>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</si>
  <si>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</si>
  <si>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</si>
  <si>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</si>
  <si>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</si>
  <si>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</si>
  <si>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</si>
  <si>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</si>
  <si>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</si>
  <si>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</si>
  <si>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</si>
  <si>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</si>
  <si>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</si>
  <si>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</si>
  <si>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</si>
  <si>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</si>
  <si>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</si>
  <si>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</si>
  <si>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</si>
  <si>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</si>
  <si>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</si>
  <si>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</si>
  <si>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</si>
  <si>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</si>
  <si>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</si>
  <si>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</si>
  <si>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</si>
  <si>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</si>
  <si>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</si>
  <si>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</si>
  <si>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</si>
  <si>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</si>
  <si>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</si>
  <si>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</si>
  <si>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</si>
  <si>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</si>
  <si>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</si>
  <si>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</si>
  <si>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</si>
  <si>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</si>
  <si>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</si>
  <si>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</si>
  <si>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</si>
  <si>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</si>
  <si>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</si>
  <si>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</si>
  <si>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</si>
  <si>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</si>
  <si>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</si>
  <si>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</si>
  <si>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</si>
  <si>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</si>
  <si>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</si>
  <si>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</si>
  <si>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</si>
  <si>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</si>
  <si>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</si>
  <si>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</si>
  <si>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</si>
  <si>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</si>
  <si>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</si>
  <si>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</si>
  <si>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</si>
  <si>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</si>
  <si>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</si>
  <si>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</si>
  <si>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</si>
  <si>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</si>
  <si>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</si>
  <si>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</si>
  <si>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</si>
  <si>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</si>
  <si>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</si>
  <si>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</si>
  <si>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</si>
  <si>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</si>
  <si>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</si>
  <si>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</si>
  <si>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</si>
  <si>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</si>
  <si>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</si>
  <si>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</si>
  <si>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</si>
  <si>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</si>
  <si>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</si>
  <si>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</si>
  <si>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</si>
  <si>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</si>
  <si>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</si>
  <si>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</si>
  <si>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</si>
  <si>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</si>
  <si>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</si>
  <si>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</si>
  <si>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</si>
  <si>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</si>
  <si>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</si>
  <si>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</si>
  <si>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</si>
  <si>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</si>
  <si>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</si>
  <si>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</si>
  <si>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</si>
  <si>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</si>
  <si>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</si>
  <si>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</si>
  <si>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</si>
  <si>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</si>
  <si>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</si>
  <si>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</si>
  <si>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</si>
  <si>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</si>
  <si>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</si>
  <si>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</si>
  <si>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</si>
  <si>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</si>
  <si>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</si>
  <si>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</si>
  <si>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</si>
  <si>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</si>
  <si>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</si>
  <si>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</si>
  <si>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</si>
  <si>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</si>
  <si>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</si>
  <si>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</si>
  <si>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</si>
  <si>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</si>
  <si>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</si>
  <si>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</si>
  <si>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</si>
  <si>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</si>
  <si>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</si>
  <si>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</si>
  <si>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</si>
  <si>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</si>
  <si>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</si>
  <si>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</si>
  <si>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</si>
  <si>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</si>
  <si>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</si>
  <si>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</si>
  <si>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</si>
  <si>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</si>
  <si>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</si>
  <si>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</si>
  <si>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</si>
  <si>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</si>
  <si>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</si>
  <si>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</si>
  <si>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</si>
  <si>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</si>
  <si>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</si>
  <si>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</si>
  <si>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</si>
  <si>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</si>
  <si>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</si>
  <si>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</si>
  <si>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</si>
  <si>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</si>
  <si>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</si>
  <si>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</si>
  <si>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</si>
  <si>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</si>
  <si>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</si>
  <si>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</si>
  <si>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</si>
  <si>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</si>
  <si>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</si>
  <si>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</si>
  <si>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</si>
  <si>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</si>
  <si>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</si>
  <si>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</si>
  <si>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</si>
  <si>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</si>
  <si>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</si>
  <si>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</si>
  <si>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</si>
  <si>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</si>
  <si>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</si>
  <si>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</si>
  <si>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</si>
  <si>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</si>
  <si>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</si>
  <si>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</si>
  <si>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</si>
  <si>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</si>
  <si>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</si>
  <si>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</si>
  <si>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</si>
  <si>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</si>
  <si>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</si>
  <si>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</si>
  <si>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</si>
  <si>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</si>
  <si>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</si>
  <si>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</si>
  <si>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</si>
  <si>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</si>
  <si>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</si>
  <si>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</si>
  <si>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</si>
  <si>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</si>
  <si>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</si>
  <si>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</si>
  <si>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</si>
  <si>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</si>
  <si>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</si>
  <si>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</si>
  <si>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</si>
  <si>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</si>
  <si>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</si>
  <si>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</si>
  <si>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</si>
  <si>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</si>
  <si>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</si>
  <si>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</si>
  <si>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</si>
  <si>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</si>
  <si>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</si>
  <si>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</si>
  <si>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</si>
  <si>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</si>
  <si>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</si>
  <si>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</si>
  <si>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</si>
  <si>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</si>
  <si>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</si>
  <si>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46024</t>
  </si>
  <si>
    <t>STEKENE</t>
  </si>
  <si>
    <t>Cultuurgrond (ha)</t>
  </si>
  <si>
    <t>Paarden&amp;pony's 200 - 600 kg</t>
  </si>
  <si>
    <t>Paarden&amp;pony's &lt; 200 kg</t>
  </si>
  <si>
    <t>Fluvius</t>
  </si>
  <si>
    <t>referentietaak LNE (2017); Jaarverslag De Lijn</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</si>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</sst>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160573.78827691745</c:v>
                </c:pt>
                <c:pt idx="1">
                  <c:v>37683.113550614995</c:v>
                </c:pt>
                <c:pt idx="2">
                  <c:v>1166.405</c:v>
                </c:pt>
                <c:pt idx="3">
                  <c:v>26971.100026360753</c:v>
                </c:pt>
                <c:pt idx="4">
                  <c:v>8917.2775411571674</c:v>
                </c:pt>
                <c:pt idx="5">
                  <c:v>157474.55786346184</c:v>
                </c:pt>
                <c:pt idx="6">
                  <c:v>1488.9201235483188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160573.78827691745</c:v>
                </c:pt>
                <c:pt idx="1">
                  <c:v>37683.113550614995</c:v>
                </c:pt>
                <c:pt idx="2">
                  <c:v>1166.405</c:v>
                </c:pt>
                <c:pt idx="3">
                  <c:v>26971.100026360753</c:v>
                </c:pt>
                <c:pt idx="4">
                  <c:v>8917.2775411571674</c:v>
                </c:pt>
                <c:pt idx="5">
                  <c:v>157474.55786346184</c:v>
                </c:pt>
                <c:pt idx="6">
                  <c:v>1488.9201235483188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26943.255842554503</c:v>
                </c:pt>
                <c:pt idx="2">
                  <c:v>7248.5921070160302</c:v>
                </c:pt>
                <c:pt idx="3">
                  <c:v>219.20743277022603</c:v>
                </c:pt>
                <c:pt idx="4">
                  <c:v>5134.9690590522887</c:v>
                </c:pt>
                <c:pt idx="5">
                  <c:v>1835.2094377242668</c:v>
                </c:pt>
                <c:pt idx="6">
                  <c:v>39893.005502902823</c:v>
                </c:pt>
                <c:pt idx="7">
                  <c:v>380.60081580771941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26943.255842554503</c:v>
                </c:pt>
                <c:pt idx="2">
                  <c:v>7248.5921070160302</c:v>
                </c:pt>
                <c:pt idx="3">
                  <c:v>219.20743277022603</c:v>
                </c:pt>
                <c:pt idx="4">
                  <c:v>5134.9690590522887</c:v>
                </c:pt>
                <c:pt idx="5">
                  <c:v>1835.2094377242668</c:v>
                </c:pt>
                <c:pt idx="6">
                  <c:v>39893.005502902823</c:v>
                </c:pt>
                <c:pt idx="7">
                  <c:v>380.60081580771941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46024</v>
      </c>
      <c r="B6" s="395"/>
      <c r="C6" s="396"/>
    </row>
    <row r="7" spans="1:7" s="393" customFormat="1" ht="15.75" customHeight="1">
      <c r="A7" s="397" t="str">
        <f>txtMunicipality</f>
        <v>STEKENE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0.18793423619602628</v>
      </c>
      <c r="C17" s="508">
        <f ca="1">'EF ele_warmte'!B22</f>
        <v>0.1599861688224159</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0.18793423619602628</v>
      </c>
      <c r="C29" s="509">
        <f ca="1">'EF ele_warmte'!B22</f>
        <v>0.1599861688224159</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7259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2048</v>
      </c>
      <c r="C14" s="332"/>
      <c r="D14" s="332"/>
      <c r="E14" s="332"/>
      <c r="F14" s="332"/>
    </row>
    <row r="15" spans="1:6">
      <c r="A15" s="1306" t="s">
        <v>183</v>
      </c>
      <c r="B15" s="1307">
        <v>13</v>
      </c>
      <c r="C15" s="332"/>
      <c r="D15" s="332"/>
      <c r="E15" s="332"/>
      <c r="F15" s="332"/>
    </row>
    <row r="16" spans="1:6">
      <c r="A16" s="1306" t="s">
        <v>6</v>
      </c>
      <c r="B16" s="1307">
        <v>497</v>
      </c>
      <c r="C16" s="332"/>
      <c r="D16" s="332"/>
      <c r="E16" s="332"/>
      <c r="F16" s="332"/>
    </row>
    <row r="17" spans="1:6">
      <c r="A17" s="1306" t="s">
        <v>7</v>
      </c>
      <c r="B17" s="1307">
        <v>745</v>
      </c>
      <c r="C17" s="332"/>
      <c r="D17" s="332"/>
      <c r="E17" s="332"/>
      <c r="F17" s="332"/>
    </row>
    <row r="18" spans="1:6">
      <c r="A18" s="1306" t="s">
        <v>8</v>
      </c>
      <c r="B18" s="1307">
        <v>1074</v>
      </c>
      <c r="C18" s="332"/>
      <c r="D18" s="332"/>
      <c r="E18" s="332"/>
      <c r="F18" s="332"/>
    </row>
    <row r="19" spans="1:6">
      <c r="A19" s="1306" t="s">
        <v>9</v>
      </c>
      <c r="B19" s="1307">
        <v>1014</v>
      </c>
      <c r="C19" s="332"/>
      <c r="D19" s="332"/>
      <c r="E19" s="332"/>
      <c r="F19" s="332"/>
    </row>
    <row r="20" spans="1:6">
      <c r="A20" s="1306" t="s">
        <v>10</v>
      </c>
      <c r="B20" s="1307">
        <v>562</v>
      </c>
      <c r="C20" s="332"/>
      <c r="D20" s="332"/>
      <c r="E20" s="332"/>
      <c r="F20" s="332"/>
    </row>
    <row r="21" spans="1:6">
      <c r="A21" s="1306" t="s">
        <v>11</v>
      </c>
      <c r="B21" s="1307">
        <v>5208</v>
      </c>
      <c r="C21" s="332"/>
      <c r="D21" s="332"/>
      <c r="E21" s="332"/>
      <c r="F21" s="332"/>
    </row>
    <row r="22" spans="1:6">
      <c r="A22" s="1306" t="s">
        <v>12</v>
      </c>
      <c r="B22" s="1307">
        <v>16797</v>
      </c>
      <c r="C22" s="332"/>
      <c r="D22" s="332"/>
      <c r="E22" s="332"/>
      <c r="F22" s="332"/>
    </row>
    <row r="23" spans="1:6">
      <c r="A23" s="1306" t="s">
        <v>13</v>
      </c>
      <c r="B23" s="1307">
        <v>179</v>
      </c>
      <c r="C23" s="332"/>
      <c r="D23" s="332"/>
      <c r="E23" s="332"/>
      <c r="F23" s="332"/>
    </row>
    <row r="24" spans="1:6">
      <c r="A24" s="1306" t="s">
        <v>14</v>
      </c>
      <c r="B24" s="1307">
        <v>9</v>
      </c>
      <c r="C24" s="332"/>
      <c r="D24" s="332"/>
      <c r="E24" s="332"/>
      <c r="F24" s="332"/>
    </row>
    <row r="25" spans="1:6">
      <c r="A25" s="1306" t="s">
        <v>15</v>
      </c>
      <c r="B25" s="1307">
        <v>1539</v>
      </c>
      <c r="C25" s="332"/>
      <c r="D25" s="332"/>
      <c r="E25" s="332"/>
      <c r="F25" s="332"/>
    </row>
    <row r="26" spans="1:6">
      <c r="A26" s="1306" t="s">
        <v>16</v>
      </c>
      <c r="B26" s="1307">
        <v>319</v>
      </c>
      <c r="C26" s="332"/>
      <c r="D26" s="332"/>
      <c r="E26" s="332"/>
      <c r="F26" s="332"/>
    </row>
    <row r="27" spans="1:6">
      <c r="A27" s="1306" t="s">
        <v>17</v>
      </c>
      <c r="B27" s="1307">
        <v>5</v>
      </c>
      <c r="C27" s="332"/>
      <c r="D27" s="332"/>
      <c r="E27" s="332"/>
      <c r="F27" s="332"/>
    </row>
    <row r="28" spans="1:6" s="43" customFormat="1">
      <c r="A28" s="1308" t="s">
        <v>18</v>
      </c>
      <c r="B28" s="1309">
        <v>161184</v>
      </c>
      <c r="C28" s="338"/>
      <c r="D28" s="338"/>
      <c r="E28" s="338"/>
      <c r="F28" s="338"/>
    </row>
    <row r="29" spans="1:6">
      <c r="A29" s="1308" t="s">
        <v>916</v>
      </c>
      <c r="B29" s="1309">
        <v>151</v>
      </c>
      <c r="C29" s="338"/>
      <c r="D29" s="338"/>
      <c r="E29" s="338"/>
      <c r="F29" s="338"/>
    </row>
    <row r="30" spans="1:6">
      <c r="A30" s="1301" t="s">
        <v>917</v>
      </c>
      <c r="B30" s="1310">
        <v>49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14021.914703673499</v>
      </c>
    </row>
    <row r="37" spans="1:6">
      <c r="A37" s="1306" t="s">
        <v>24</v>
      </c>
      <c r="B37" s="1306" t="s">
        <v>27</v>
      </c>
      <c r="C37" s="1307">
        <v>0</v>
      </c>
      <c r="D37" s="1307">
        <v>0</v>
      </c>
      <c r="E37" s="1307">
        <v>0</v>
      </c>
      <c r="F37" s="1307">
        <v>0</v>
      </c>
    </row>
    <row r="38" spans="1:6">
      <c r="A38" s="1306" t="s">
        <v>24</v>
      </c>
      <c r="B38" s="1306" t="s">
        <v>28</v>
      </c>
      <c r="C38" s="1307">
        <v>1</v>
      </c>
      <c r="D38" s="1307">
        <v>29200.844025205599</v>
      </c>
      <c r="E38" s="1307">
        <v>2</v>
      </c>
      <c r="F38" s="1307">
        <v>3948.7542451640002</v>
      </c>
    </row>
    <row r="39" spans="1:6">
      <c r="A39" s="1306" t="s">
        <v>29</v>
      </c>
      <c r="B39" s="1306" t="s">
        <v>30</v>
      </c>
      <c r="C39" s="1307">
        <v>5036</v>
      </c>
      <c r="D39" s="1307">
        <v>93323065.537714794</v>
      </c>
      <c r="E39" s="1307">
        <v>7484</v>
      </c>
      <c r="F39" s="1307">
        <v>29829602.792966198</v>
      </c>
    </row>
    <row r="40" spans="1:6">
      <c r="A40" s="1306" t="s">
        <v>29</v>
      </c>
      <c r="B40" s="1306" t="s">
        <v>28</v>
      </c>
      <c r="C40" s="1307">
        <v>0</v>
      </c>
      <c r="D40" s="1307">
        <v>0</v>
      </c>
      <c r="E40" s="1307">
        <v>0</v>
      </c>
      <c r="F40" s="1307">
        <v>0</v>
      </c>
    </row>
    <row r="41" spans="1:6">
      <c r="A41" s="1306" t="s">
        <v>31</v>
      </c>
      <c r="B41" s="1306" t="s">
        <v>32</v>
      </c>
      <c r="C41" s="1307">
        <v>78</v>
      </c>
      <c r="D41" s="1307">
        <v>1759124.6186456999</v>
      </c>
      <c r="E41" s="1307">
        <v>173</v>
      </c>
      <c r="F41" s="1307">
        <v>1443135.9491352299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5</v>
      </c>
      <c r="F44" s="1307">
        <v>71172.551855961996</v>
      </c>
    </row>
    <row r="45" spans="1:6">
      <c r="A45" s="1306" t="s">
        <v>31</v>
      </c>
      <c r="B45" s="1306" t="s">
        <v>36</v>
      </c>
      <c r="C45" s="1307">
        <v>0</v>
      </c>
      <c r="D45" s="1307">
        <v>0</v>
      </c>
      <c r="E45" s="1307">
        <v>5</v>
      </c>
      <c r="F45" s="1307">
        <v>64461.953472127199</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26</v>
      </c>
      <c r="D48" s="1307">
        <v>848136.21300147404</v>
      </c>
      <c r="E48" s="1307">
        <v>34</v>
      </c>
      <c r="F48" s="1307">
        <v>996150.36674595205</v>
      </c>
    </row>
    <row r="49" spans="1:6">
      <c r="A49" s="1306" t="s">
        <v>31</v>
      </c>
      <c r="B49" s="1306" t="s">
        <v>39</v>
      </c>
      <c r="C49" s="1307">
        <v>0</v>
      </c>
      <c r="D49" s="1307">
        <v>0</v>
      </c>
      <c r="E49" s="1307">
        <v>0</v>
      </c>
      <c r="F49" s="1307">
        <v>0</v>
      </c>
    </row>
    <row r="50" spans="1:6">
      <c r="A50" s="1306" t="s">
        <v>31</v>
      </c>
      <c r="B50" s="1306" t="s">
        <v>40</v>
      </c>
      <c r="C50" s="1307">
        <v>6</v>
      </c>
      <c r="D50" s="1307">
        <v>822776.21347567404</v>
      </c>
      <c r="E50" s="1307">
        <v>14</v>
      </c>
      <c r="F50" s="1307">
        <v>484442.74053312</v>
      </c>
    </row>
    <row r="51" spans="1:6">
      <c r="A51" s="1306" t="s">
        <v>41</v>
      </c>
      <c r="B51" s="1306" t="s">
        <v>42</v>
      </c>
      <c r="C51" s="1307">
        <v>23</v>
      </c>
      <c r="D51" s="1307">
        <v>28085350.830656201</v>
      </c>
      <c r="E51" s="1307">
        <v>70</v>
      </c>
      <c r="F51" s="1307">
        <v>1437382.6311358099</v>
      </c>
    </row>
    <row r="52" spans="1:6">
      <c r="A52" s="1306" t="s">
        <v>41</v>
      </c>
      <c r="B52" s="1306" t="s">
        <v>28</v>
      </c>
      <c r="C52" s="1307">
        <v>1</v>
      </c>
      <c r="D52" s="1307">
        <v>22550.848367180599</v>
      </c>
      <c r="E52" s="1307">
        <v>7</v>
      </c>
      <c r="F52" s="1307">
        <v>124601.51573647</v>
      </c>
    </row>
    <row r="53" spans="1:6">
      <c r="A53" s="1306" t="s">
        <v>43</v>
      </c>
      <c r="B53" s="1306" t="s">
        <v>44</v>
      </c>
      <c r="C53" s="1307">
        <v>139</v>
      </c>
      <c r="D53" s="1307">
        <v>3036764.3185955598</v>
      </c>
      <c r="E53" s="1307">
        <v>316</v>
      </c>
      <c r="F53" s="1307">
        <v>1242790.5903469</v>
      </c>
    </row>
    <row r="54" spans="1:6">
      <c r="A54" s="1306" t="s">
        <v>45</v>
      </c>
      <c r="B54" s="1306" t="s">
        <v>46</v>
      </c>
      <c r="C54" s="1307">
        <v>0</v>
      </c>
      <c r="D54" s="1307">
        <v>0</v>
      </c>
      <c r="E54" s="1307">
        <v>1</v>
      </c>
      <c r="F54" s="1307">
        <v>1166405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38</v>
      </c>
      <c r="D57" s="1307">
        <v>943659.78217518202</v>
      </c>
      <c r="E57" s="1307">
        <v>127</v>
      </c>
      <c r="F57" s="1307">
        <v>2215438.6004717899</v>
      </c>
    </row>
    <row r="58" spans="1:6">
      <c r="A58" s="1306" t="s">
        <v>48</v>
      </c>
      <c r="B58" s="1306" t="s">
        <v>50</v>
      </c>
      <c r="C58" s="1307">
        <v>13</v>
      </c>
      <c r="D58" s="1307">
        <v>735108.69608358596</v>
      </c>
      <c r="E58" s="1307">
        <v>17</v>
      </c>
      <c r="F58" s="1307">
        <v>266488.945025191</v>
      </c>
    </row>
    <row r="59" spans="1:6">
      <c r="A59" s="1306" t="s">
        <v>48</v>
      </c>
      <c r="B59" s="1306" t="s">
        <v>51</v>
      </c>
      <c r="C59" s="1307">
        <v>88</v>
      </c>
      <c r="D59" s="1307">
        <v>3914239.8975715698</v>
      </c>
      <c r="E59" s="1307">
        <v>161</v>
      </c>
      <c r="F59" s="1307">
        <v>4477237.8125136402</v>
      </c>
    </row>
    <row r="60" spans="1:6">
      <c r="A60" s="1306" t="s">
        <v>48</v>
      </c>
      <c r="B60" s="1306" t="s">
        <v>52</v>
      </c>
      <c r="C60" s="1307">
        <v>54</v>
      </c>
      <c r="D60" s="1307">
        <v>2857485.1963976799</v>
      </c>
      <c r="E60" s="1307">
        <v>63</v>
      </c>
      <c r="F60" s="1307">
        <v>1696244.7433218299</v>
      </c>
    </row>
    <row r="61" spans="1:6">
      <c r="A61" s="1306" t="s">
        <v>48</v>
      </c>
      <c r="B61" s="1306" t="s">
        <v>53</v>
      </c>
      <c r="C61" s="1307">
        <v>126</v>
      </c>
      <c r="D61" s="1307">
        <v>6584814.6022582697</v>
      </c>
      <c r="E61" s="1307">
        <v>228</v>
      </c>
      <c r="F61" s="1307">
        <v>3034455.52308557</v>
      </c>
    </row>
    <row r="62" spans="1:6">
      <c r="A62" s="1306" t="s">
        <v>48</v>
      </c>
      <c r="B62" s="1306" t="s">
        <v>54</v>
      </c>
      <c r="C62" s="1307">
        <v>7</v>
      </c>
      <c r="D62" s="1307">
        <v>1170596.22016417</v>
      </c>
      <c r="E62" s="1307">
        <v>10</v>
      </c>
      <c r="F62" s="1307">
        <v>172401.66956062801</v>
      </c>
    </row>
    <row r="63" spans="1:6">
      <c r="A63" s="1306" t="s">
        <v>48</v>
      </c>
      <c r="B63" s="1306" t="s">
        <v>28</v>
      </c>
      <c r="C63" s="1307">
        <v>95</v>
      </c>
      <c r="D63" s="1307">
        <v>3703333.6636314671</v>
      </c>
      <c r="E63" s="1307">
        <v>120</v>
      </c>
      <c r="F63" s="1307">
        <v>2807692.2181377104</v>
      </c>
    </row>
    <row r="64" spans="1:6">
      <c r="A64" s="1306" t="s">
        <v>55</v>
      </c>
      <c r="B64" s="1306" t="s">
        <v>56</v>
      </c>
      <c r="C64" s="1307">
        <v>0</v>
      </c>
      <c r="D64" s="1307">
        <v>0</v>
      </c>
      <c r="E64" s="1307">
        <v>0</v>
      </c>
      <c r="F64" s="1307">
        <v>0</v>
      </c>
    </row>
    <row r="65" spans="1:6">
      <c r="A65" s="1306" t="s">
        <v>55</v>
      </c>
      <c r="B65" s="1306" t="s">
        <v>28</v>
      </c>
      <c r="C65" s="1307">
        <v>4</v>
      </c>
      <c r="D65" s="1307">
        <v>78756.836019360795</v>
      </c>
      <c r="E65" s="1307">
        <v>4</v>
      </c>
      <c r="F65" s="1307">
        <v>50878.007419214999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326404.55273745401</v>
      </c>
      <c r="E68" s="1310">
        <v>20</v>
      </c>
      <c r="F68" s="1310">
        <v>590397.58356540406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27283264</v>
      </c>
      <c r="E73" s="456"/>
      <c r="F73" s="332"/>
    </row>
    <row r="74" spans="1:6">
      <c r="A74" s="1306" t="s">
        <v>63</v>
      </c>
      <c r="B74" s="1306" t="s">
        <v>724</v>
      </c>
      <c r="C74" s="1320" t="s">
        <v>725</v>
      </c>
      <c r="D74" s="1321">
        <v>4821838.8125074059</v>
      </c>
      <c r="E74" s="456"/>
      <c r="F74" s="332"/>
    </row>
    <row r="75" spans="1:6">
      <c r="A75" s="1306" t="s">
        <v>64</v>
      </c>
      <c r="B75" s="1306" t="s">
        <v>722</v>
      </c>
      <c r="C75" s="1320" t="s">
        <v>726</v>
      </c>
      <c r="D75" s="1321">
        <v>36693994</v>
      </c>
      <c r="E75" s="456"/>
      <c r="F75" s="332"/>
    </row>
    <row r="76" spans="1:6">
      <c r="A76" s="1306" t="s">
        <v>64</v>
      </c>
      <c r="B76" s="1306" t="s">
        <v>724</v>
      </c>
      <c r="C76" s="1320" t="s">
        <v>727</v>
      </c>
      <c r="D76" s="1321">
        <v>3226905.8125074063</v>
      </c>
      <c r="E76" s="456"/>
      <c r="F76" s="332"/>
    </row>
    <row r="77" spans="1:6">
      <c r="A77" s="1306" t="s">
        <v>65</v>
      </c>
      <c r="B77" s="1306" t="s">
        <v>722</v>
      </c>
      <c r="C77" s="1320" t="s">
        <v>728</v>
      </c>
      <c r="D77" s="1321">
        <v>62227216</v>
      </c>
      <c r="E77" s="456"/>
      <c r="F77" s="332"/>
    </row>
    <row r="78" spans="1:6">
      <c r="A78" s="1301" t="s">
        <v>65</v>
      </c>
      <c r="B78" s="1301" t="s">
        <v>724</v>
      </c>
      <c r="C78" s="1301" t="s">
        <v>729</v>
      </c>
      <c r="D78" s="1322">
        <v>15107191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393978.37498518731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3690.3130205407142</v>
      </c>
      <c r="C91" s="332"/>
      <c r="D91" s="332"/>
      <c r="E91" s="332"/>
      <c r="F91" s="332"/>
    </row>
    <row r="92" spans="1:6">
      <c r="A92" s="1301" t="s">
        <v>68</v>
      </c>
      <c r="B92" s="1302">
        <v>1455.1176027267061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3370</v>
      </c>
      <c r="C97" s="332"/>
      <c r="D97" s="332"/>
      <c r="E97" s="332"/>
      <c r="F97" s="332"/>
    </row>
    <row r="98" spans="1:6">
      <c r="A98" s="1306" t="s">
        <v>71</v>
      </c>
      <c r="B98" s="1307">
        <v>1</v>
      </c>
      <c r="C98" s="332"/>
      <c r="D98" s="332"/>
      <c r="E98" s="332"/>
      <c r="F98" s="332"/>
    </row>
    <row r="99" spans="1:6">
      <c r="A99" s="1306" t="s">
        <v>72</v>
      </c>
      <c r="B99" s="1307">
        <v>134</v>
      </c>
      <c r="C99" s="332"/>
      <c r="D99" s="332"/>
      <c r="E99" s="332"/>
      <c r="F99" s="332"/>
    </row>
    <row r="100" spans="1:6">
      <c r="A100" s="1306" t="s">
        <v>73</v>
      </c>
      <c r="B100" s="1307">
        <v>520</v>
      </c>
      <c r="C100" s="332"/>
      <c r="D100" s="332"/>
      <c r="E100" s="332"/>
      <c r="F100" s="332"/>
    </row>
    <row r="101" spans="1:6">
      <c r="A101" s="1306" t="s">
        <v>74</v>
      </c>
      <c r="B101" s="1307">
        <v>149</v>
      </c>
      <c r="C101" s="332"/>
      <c r="D101" s="332"/>
      <c r="E101" s="332"/>
      <c r="F101" s="332"/>
    </row>
    <row r="102" spans="1:6">
      <c r="A102" s="1306" t="s">
        <v>75</v>
      </c>
      <c r="B102" s="1307">
        <v>177</v>
      </c>
      <c r="C102" s="332"/>
      <c r="D102" s="332"/>
      <c r="E102" s="332"/>
      <c r="F102" s="332"/>
    </row>
    <row r="103" spans="1:6">
      <c r="A103" s="1306" t="s">
        <v>76</v>
      </c>
      <c r="B103" s="1307">
        <v>199</v>
      </c>
      <c r="C103" s="332"/>
      <c r="D103" s="332"/>
      <c r="E103" s="332"/>
      <c r="F103" s="332"/>
    </row>
    <row r="104" spans="1:6">
      <c r="A104" s="1306" t="s">
        <v>77</v>
      </c>
      <c r="B104" s="1307">
        <v>1749</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11</v>
      </c>
      <c r="C123" s="1307">
        <v>13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77</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55225.86685244619</v>
      </c>
      <c r="C3" s="43" t="s">
        <v>169</v>
      </c>
      <c r="D3" s="43"/>
      <c r="E3" s="156"/>
      <c r="F3" s="43"/>
      <c r="G3" s="43"/>
      <c r="H3" s="43"/>
      <c r="I3" s="43"/>
      <c r="J3" s="43"/>
      <c r="K3" s="96"/>
    </row>
    <row r="4" spans="1:11">
      <c r="A4" s="363" t="s">
        <v>170</v>
      </c>
      <c r="B4" s="49">
        <f>IF(ISERROR('SEAP template'!B78+'SEAP template'!C78),0,'SEAP template'!B78+'SEAP template'!C78)</f>
        <v>16437.055623267421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1806.5038235294119</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0.18793423619602628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2580.7197478991602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16130.892857142859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0.1599861688224159</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1166.405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1166.405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0.18793423619602628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219.20743277022603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29829.602792966198</v>
      </c>
      <c r="C5" s="17">
        <f>IF(ISERROR('Eigen informatie GS &amp; warmtenet'!B57),0,'Eigen informatie GS &amp; warmtenet'!B57)</f>
        <v>0</v>
      </c>
      <c r="D5" s="30">
        <f>(SUM(HH_hh_gas_kWh,HH_rest_gas_kWh)/1000)*0.902</f>
        <v>84177.405115018744</v>
      </c>
      <c r="E5" s="17">
        <f>B46*B57</f>
        <v>7335.6731333900316</v>
      </c>
      <c r="F5" s="17">
        <f>B51*B62</f>
        <v>5874.2176444136967</v>
      </c>
      <c r="G5" s="18"/>
      <c r="H5" s="17"/>
      <c r="I5" s="17"/>
      <c r="J5" s="17">
        <f>B50*B61+C50*C61</f>
        <v>1147.6449751869859</v>
      </c>
      <c r="K5" s="17"/>
      <c r="L5" s="17"/>
      <c r="M5" s="17"/>
      <c r="N5" s="17">
        <f>B48*B59+C48*C59</f>
        <v>27920.631595401042</v>
      </c>
      <c r="O5" s="17">
        <f>B69*B70*B71</f>
        <v>140.70000000000002</v>
      </c>
      <c r="P5" s="17">
        <f>B77*B78*B79/1000-B77*B78*B79/1000/B80</f>
        <v>457.6</v>
      </c>
    </row>
    <row r="6" spans="1:16">
      <c r="A6" s="16" t="s">
        <v>633</v>
      </c>
      <c r="B6" s="779">
        <f>kWh_PV_kleiner_dan_10kW</f>
        <v>3690.3130205407142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33519.915813506916</v>
      </c>
      <c r="C8" s="21">
        <f>C5</f>
        <v>0</v>
      </c>
      <c r="D8" s="21">
        <f>D5</f>
        <v>84177.405115018744</v>
      </c>
      <c r="E8" s="21">
        <f>E5</f>
        <v>7335.6731333900316</v>
      </c>
      <c r="F8" s="21">
        <f>F5</f>
        <v>5874.2176444136967</v>
      </c>
      <c r="G8" s="21"/>
      <c r="H8" s="21"/>
      <c r="I8" s="21"/>
      <c r="J8" s="21">
        <f>J5</f>
        <v>1147.6449751869859</v>
      </c>
      <c r="K8" s="21"/>
      <c r="L8" s="21">
        <f>L5</f>
        <v>0</v>
      </c>
      <c r="M8" s="21">
        <f>M5</f>
        <v>0</v>
      </c>
      <c r="N8" s="21">
        <f>N5</f>
        <v>27920.631595401042</v>
      </c>
      <c r="O8" s="21">
        <f>O5</f>
        <v>140.70000000000002</v>
      </c>
      <c r="P8" s="21">
        <f>P5</f>
        <v>457.6</v>
      </c>
    </row>
    <row r="9" spans="1:16">
      <c r="B9" s="19"/>
      <c r="C9" s="19"/>
      <c r="D9" s="261"/>
      <c r="E9" s="19"/>
      <c r="F9" s="19"/>
      <c r="G9" s="19"/>
      <c r="H9" s="19"/>
      <c r="I9" s="19"/>
      <c r="J9" s="19"/>
      <c r="K9" s="19"/>
      <c r="L9" s="19"/>
      <c r="M9" s="19"/>
      <c r="N9" s="19"/>
      <c r="O9" s="19"/>
      <c r="P9" s="19"/>
    </row>
    <row r="10" spans="1:16">
      <c r="A10" s="24" t="s">
        <v>213</v>
      </c>
      <c r="B10" s="25">
        <f ca="1">'EF ele_warmte'!B12</f>
        <v>0.18793423619602628</v>
      </c>
      <c r="C10" s="25">
        <f ca="1">'EF ele_warmte'!B22</f>
        <v>0.1599861688224159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6299.5397757665251</v>
      </c>
      <c r="C12" s="23">
        <f ca="1">C10*C8</f>
        <v>0</v>
      </c>
      <c r="D12" s="23">
        <f>D8*D10</f>
        <v>17003.835833233788</v>
      </c>
      <c r="E12" s="23">
        <f>E10*E8</f>
        <v>1665.1978012795373</v>
      </c>
      <c r="F12" s="23">
        <f>F10*F8</f>
        <v>1568.4161110584571</v>
      </c>
      <c r="G12" s="23"/>
      <c r="H12" s="23"/>
      <c r="I12" s="23"/>
      <c r="J12" s="23">
        <f>J10*J8</f>
        <v>406.26632121619298</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3370</v>
      </c>
      <c r="C18" s="168" t="s">
        <v>110</v>
      </c>
      <c r="D18" s="230"/>
      <c r="E18" s="15"/>
    </row>
    <row r="19" spans="1:7">
      <c r="A19" s="173" t="s">
        <v>71</v>
      </c>
      <c r="B19" s="37">
        <f>aantalw2001_ander</f>
        <v>1</v>
      </c>
      <c r="C19" s="168" t="s">
        <v>110</v>
      </c>
      <c r="D19" s="231"/>
      <c r="E19" s="15"/>
    </row>
    <row r="20" spans="1:7">
      <c r="A20" s="173" t="s">
        <v>72</v>
      </c>
      <c r="B20" s="37">
        <f>aantalw2001_propaan</f>
        <v>134</v>
      </c>
      <c r="C20" s="169">
        <f>IF(ISERROR(B20/SUM($B$20,$B$21,$B$22)*100),0,B20/SUM($B$20,$B$21,$B$22)*100)</f>
        <v>16.687422166874221</v>
      </c>
      <c r="D20" s="231"/>
      <c r="E20" s="15"/>
    </row>
    <row r="21" spans="1:7">
      <c r="A21" s="173" t="s">
        <v>73</v>
      </c>
      <c r="B21" s="37">
        <f>aantalw2001_elektriciteit</f>
        <v>520</v>
      </c>
      <c r="C21" s="169">
        <f>IF(ISERROR(B21/SUM($B$20,$B$21,$B$22)*100),0,B21/SUM($B$20,$B$21,$B$22)*100)</f>
        <v>64.75716064757161</v>
      </c>
      <c r="D21" s="231"/>
      <c r="E21" s="15"/>
    </row>
    <row r="22" spans="1:7">
      <c r="A22" s="173" t="s">
        <v>74</v>
      </c>
      <c r="B22" s="37">
        <f>aantalw2001_hout</f>
        <v>149</v>
      </c>
      <c r="C22" s="169">
        <f>IF(ISERROR(B22/SUM($B$20,$B$21,$B$22)*100),0,B22/SUM($B$20,$B$21,$B$22)*100)</f>
        <v>18.55541718555417</v>
      </c>
      <c r="D22" s="231"/>
      <c r="E22" s="15"/>
    </row>
    <row r="23" spans="1:7">
      <c r="A23" s="173" t="s">
        <v>75</v>
      </c>
      <c r="B23" s="37">
        <f>aantalw2001_niet_gespec</f>
        <v>177</v>
      </c>
      <c r="C23" s="168" t="s">
        <v>110</v>
      </c>
      <c r="D23" s="230"/>
      <c r="E23" s="15"/>
    </row>
    <row r="24" spans="1:7">
      <c r="A24" s="173" t="s">
        <v>76</v>
      </c>
      <c r="B24" s="37">
        <f>aantalw2001_steenkool</f>
        <v>199</v>
      </c>
      <c r="C24" s="168" t="s">
        <v>110</v>
      </c>
      <c r="D24" s="231"/>
      <c r="E24" s="15"/>
    </row>
    <row r="25" spans="1:7">
      <c r="A25" s="173" t="s">
        <v>77</v>
      </c>
      <c r="B25" s="37">
        <f>aantalw2001_stookolie</f>
        <v>1749</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7259</v>
      </c>
      <c r="C28" s="36"/>
      <c r="D28" s="230"/>
    </row>
    <row r="29" spans="1:7" s="15" customFormat="1">
      <c r="A29" s="232" t="s">
        <v>743</v>
      </c>
      <c r="B29" s="37">
        <f>SUM(HH_hh_gas_aantal,HH_rest_gas_aantal)</f>
        <v>5036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5036</v>
      </c>
      <c r="C32" s="169">
        <f>IF(ISERROR(B32/SUM($B$32,$B$34,$B$35,$B$36,$B$38,$B$39)*100),0,B32/SUM($B$32,$B$34,$B$35,$B$36,$B$38,$B$39)*100)</f>
        <v>69.606081548030403</v>
      </c>
      <c r="D32" s="235"/>
      <c r="G32" s="15"/>
    </row>
    <row r="33" spans="1:7">
      <c r="A33" s="173" t="s">
        <v>71</v>
      </c>
      <c r="B33" s="34" t="s">
        <v>110</v>
      </c>
      <c r="C33" s="169"/>
      <c r="D33" s="235"/>
      <c r="G33" s="15"/>
    </row>
    <row r="34" spans="1:7">
      <c r="A34" s="173" t="s">
        <v>72</v>
      </c>
      <c r="B34" s="33">
        <f>IF((($B$28-$B$32-$B$39-$B$77-$B$38)*C20/100)&lt;0,0,($B$28-$B$32-$B$39-$B$77-$B$38)*C20/100)</f>
        <v>319.8978829389788</v>
      </c>
      <c r="C34" s="169">
        <f>IF(ISERROR(B34/SUM($B$32,$B$34,$B$35,$B$36,$B$38,$B$39)*100),0,B34/SUM($B$32,$B$34,$B$35,$B$36,$B$38,$B$39)*100)</f>
        <v>4.421532590725346</v>
      </c>
      <c r="D34" s="235"/>
      <c r="G34" s="15"/>
    </row>
    <row r="35" spans="1:7">
      <c r="A35" s="173" t="s">
        <v>73</v>
      </c>
      <c r="B35" s="33">
        <f>IF((($B$28-$B$32-$B$39-$B$77-$B$38)*C21/100)&lt;0,0,($B$28-$B$32-$B$39-$B$77-$B$38)*C21/100)</f>
        <v>1241.3947696139478</v>
      </c>
      <c r="C35" s="169">
        <f>IF(ISERROR(B35/SUM($B$32,$B$34,$B$35,$B$36,$B$38,$B$39)*100),0,B35/SUM($B$32,$B$34,$B$35,$B$36,$B$38,$B$39)*100)</f>
        <v>17.158186172964033</v>
      </c>
      <c r="D35" s="235"/>
      <c r="G35" s="15"/>
    </row>
    <row r="36" spans="1:7">
      <c r="A36" s="173" t="s">
        <v>74</v>
      </c>
      <c r="B36" s="33">
        <f>IF((($B$28-$B$32-$B$39-$B$77-$B$38)*C22/100)&lt;0,0,($B$28-$B$32-$B$39-$B$77-$B$38)*C22/100)</f>
        <v>355.7073474470734</v>
      </c>
      <c r="C36" s="169">
        <f>IF(ISERROR(B36/SUM($B$32,$B$34,$B$35,$B$36,$B$38,$B$39)*100),0,B36/SUM($B$32,$B$34,$B$35,$B$36,$B$38,$B$39)*100)</f>
        <v>4.9164802687916156</v>
      </c>
      <c r="D36" s="235"/>
      <c r="G36" s="15"/>
    </row>
    <row r="37" spans="1:7">
      <c r="A37" s="173" t="s">
        <v>75</v>
      </c>
      <c r="B37" s="34" t="s">
        <v>110</v>
      </c>
      <c r="C37" s="169"/>
      <c r="D37" s="175"/>
      <c r="G37" s="15"/>
    </row>
    <row r="38" spans="1:7">
      <c r="A38" s="173" t="s">
        <v>76</v>
      </c>
      <c r="B38" s="33">
        <f>IF((B24-(B29-B18)*0.1)&lt;0,0,B24-(B29-B18)*0.1)</f>
        <v>32.399999999999977</v>
      </c>
      <c r="C38" s="169">
        <f>IF(ISERROR(B38/SUM($B$32,$B$34,$B$35,$B$36,$B$38,$B$39)*100),0,B38/SUM($B$32,$B$34,$B$35,$B$36,$B$38,$B$39)*100)</f>
        <v>0.44782308223911504</v>
      </c>
      <c r="D38" s="236"/>
      <c r="G38" s="15"/>
    </row>
    <row r="39" spans="1:7">
      <c r="A39" s="173" t="s">
        <v>77</v>
      </c>
      <c r="B39" s="33">
        <f>IF((B25-(B29-B18))&lt;0,0,B25-(B29-B18)*0.9)</f>
        <v>249.59999999999991</v>
      </c>
      <c r="C39" s="169">
        <f>IF(ISERROR(B39/SUM($B$32,$B$34,$B$35,$B$36,$B$38,$B$39)*100),0,B39/SUM($B$32,$B$34,$B$35,$B$36,$B$38,$B$39)*100)</f>
        <v>3.4498963372494806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5036</v>
      </c>
      <c r="C44" s="34" t="s">
        <v>110</v>
      </c>
      <c r="D44" s="176"/>
    </row>
    <row r="45" spans="1:7">
      <c r="A45" s="173" t="s">
        <v>71</v>
      </c>
      <c r="B45" s="33" t="str">
        <f t="shared" si="0"/>
        <v>-</v>
      </c>
      <c r="C45" s="34" t="s">
        <v>110</v>
      </c>
      <c r="D45" s="176"/>
    </row>
    <row r="46" spans="1:7">
      <c r="A46" s="173" t="s">
        <v>72</v>
      </c>
      <c r="B46" s="33">
        <f t="shared" si="0"/>
        <v>319.8978829389788</v>
      </c>
      <c r="C46" s="34" t="s">
        <v>110</v>
      </c>
      <c r="D46" s="176"/>
    </row>
    <row r="47" spans="1:7">
      <c r="A47" s="173" t="s">
        <v>73</v>
      </c>
      <c r="B47" s="33">
        <f t="shared" si="0"/>
        <v>1241.3947696139478</v>
      </c>
      <c r="C47" s="34" t="s">
        <v>110</v>
      </c>
      <c r="D47" s="176"/>
    </row>
    <row r="48" spans="1:7">
      <c r="A48" s="173" t="s">
        <v>74</v>
      </c>
      <c r="B48" s="33">
        <f t="shared" si="0"/>
        <v>355.7073474470734</v>
      </c>
      <c r="C48" s="33">
        <f>B48*10</f>
        <v>3557.0734744707343</v>
      </c>
      <c r="D48" s="236"/>
    </row>
    <row r="49" spans="1:6">
      <c r="A49" s="173" t="s">
        <v>75</v>
      </c>
      <c r="B49" s="33" t="str">
        <f t="shared" si="0"/>
        <v>-</v>
      </c>
      <c r="C49" s="34" t="s">
        <v>110</v>
      </c>
      <c r="D49" s="236"/>
    </row>
    <row r="50" spans="1:6">
      <c r="A50" s="173" t="s">
        <v>76</v>
      </c>
      <c r="B50" s="33">
        <f t="shared" si="0"/>
        <v>32.399999999999977</v>
      </c>
      <c r="C50" s="33">
        <f>B50*2</f>
        <v>64.799999999999955</v>
      </c>
      <c r="D50" s="236"/>
    </row>
    <row r="51" spans="1:6">
      <c r="A51" s="173" t="s">
        <v>77</v>
      </c>
      <c r="B51" s="33">
        <f t="shared" si="0"/>
        <v>249.59999999999991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14669.959512116358</v>
      </c>
      <c r="C5" s="17">
        <f>IF(ISERROR('Eigen informatie GS &amp; warmtenet'!B58),0,'Eigen informatie GS &amp; warmtenet'!B58)</f>
        <v>0</v>
      </c>
      <c r="D5" s="30">
        <f>SUM(D6:D12)</f>
        <v>17958.132728570297</v>
      </c>
      <c r="E5" s="17">
        <f>SUM(E6:E12)</f>
        <v>216.56058905729398</v>
      </c>
      <c r="F5" s="17">
        <f>SUM(F6:F12)</f>
        <v>3052.0689370509576</v>
      </c>
      <c r="G5" s="18"/>
      <c r="H5" s="17"/>
      <c r="I5" s="17"/>
      <c r="J5" s="17">
        <f>SUM(J6:J12)</f>
        <v>0</v>
      </c>
      <c r="K5" s="17"/>
      <c r="L5" s="17"/>
      <c r="M5" s="17"/>
      <c r="N5" s="17">
        <f>SUM(N6:N12)</f>
        <v>1783.2651171534214</v>
      </c>
      <c r="O5" s="17">
        <f>B38*B39*B40</f>
        <v>3.1266666666666669</v>
      </c>
      <c r="P5" s="17">
        <f>B46*B47*B48/1000-B46*B47*B48/1000/B49</f>
        <v>0</v>
      </c>
      <c r="R5" s="32"/>
    </row>
    <row r="6" spans="1:18">
      <c r="A6" s="32" t="s">
        <v>53</v>
      </c>
      <c r="B6" s="37">
        <f>B26</f>
        <v>3034.4555230855699</v>
      </c>
      <c r="C6" s="33"/>
      <c r="D6" s="37">
        <f>IF(ISERROR(TER_kantoor_gas_kWh/1000),0,TER_kantoor_gas_kWh/1000)*0.902</f>
        <v>5939.5027712369592</v>
      </c>
      <c r="E6" s="33">
        <f>$C$26*'E Balans VL '!I12/100/3.6*1000000</f>
        <v>11.789502138852855</v>
      </c>
      <c r="F6" s="33">
        <f>$C$26*('E Balans VL '!L12+'E Balans VL '!N12)/100/3.6*1000000</f>
        <v>461.5130737174224</v>
      </c>
      <c r="G6" s="34"/>
      <c r="H6" s="33"/>
      <c r="I6" s="33"/>
      <c r="J6" s="33">
        <f>$C$26*('E Balans VL '!D12+'E Balans VL '!E12)/100/3.6*1000000</f>
        <v>0</v>
      </c>
      <c r="K6" s="33"/>
      <c r="L6" s="33"/>
      <c r="M6" s="33"/>
      <c r="N6" s="33">
        <f>$C$26*'E Balans VL '!Y12/100/3.6*1000000</f>
        <v>1.6723485120394577</v>
      </c>
      <c r="O6" s="33"/>
      <c r="P6" s="33"/>
      <c r="R6" s="32"/>
    </row>
    <row r="7" spans="1:18">
      <c r="A7" s="32" t="s">
        <v>52</v>
      </c>
      <c r="B7" s="37">
        <f t="shared" ref="B7:B12" si="0">B27</f>
        <v>1696.2447433218299</v>
      </c>
      <c r="C7" s="33"/>
      <c r="D7" s="37">
        <f>IF(ISERROR(TER_horeca_gas_kWh/1000),0,TER_horeca_gas_kWh/1000)*0.902</f>
        <v>2577.4516471507072</v>
      </c>
      <c r="E7" s="33">
        <f>$C$27*'E Balans VL '!I9/100/3.6*1000000</f>
        <v>95.549919892025912</v>
      </c>
      <c r="F7" s="33">
        <f>$C$27*('E Balans VL '!L9+'E Balans VL '!N9)/100/3.6*1000000</f>
        <v>489.0954318743174</v>
      </c>
      <c r="G7" s="34"/>
      <c r="H7" s="33"/>
      <c r="I7" s="33"/>
      <c r="J7" s="33">
        <f>$C$27*('E Balans VL '!D9+'E Balans VL '!E9)/100/3.6*1000000</f>
        <v>0</v>
      </c>
      <c r="K7" s="33"/>
      <c r="L7" s="33"/>
      <c r="M7" s="33"/>
      <c r="N7" s="33">
        <f>$C$27*'E Balans VL '!Y9/100/3.6*1000000</f>
        <v>0.46832435911414017</v>
      </c>
      <c r="O7" s="33"/>
      <c r="P7" s="33"/>
      <c r="R7" s="32"/>
    </row>
    <row r="8" spans="1:18">
      <c r="A8" s="6" t="s">
        <v>51</v>
      </c>
      <c r="B8" s="37">
        <f t="shared" si="0"/>
        <v>4477.2378125136402</v>
      </c>
      <c r="C8" s="33"/>
      <c r="D8" s="37">
        <f>IF(ISERROR(TER_handel_gas_kWh/1000),0,TER_handel_gas_kWh/1000)*0.902</f>
        <v>3530.6443876095559</v>
      </c>
      <c r="E8" s="33">
        <f>$C$28*'E Balans VL '!I13/100/3.6*1000000</f>
        <v>64.532186635208078</v>
      </c>
      <c r="F8" s="33">
        <f>$C$28*('E Balans VL '!L13+'E Balans VL '!N13)/100/3.6*1000000</f>
        <v>777.80047586639898</v>
      </c>
      <c r="G8" s="34"/>
      <c r="H8" s="33"/>
      <c r="I8" s="33"/>
      <c r="J8" s="33">
        <f>$C$28*('E Balans VL '!D13+'E Balans VL '!E13)/100/3.6*1000000</f>
        <v>0</v>
      </c>
      <c r="K8" s="33"/>
      <c r="L8" s="33"/>
      <c r="M8" s="33"/>
      <c r="N8" s="33">
        <f>$C$28*'E Balans VL '!Y13/100/3.6*1000000</f>
        <v>13.41430290267161</v>
      </c>
      <c r="O8" s="33"/>
      <c r="P8" s="33"/>
      <c r="R8" s="32"/>
    </row>
    <row r="9" spans="1:18">
      <c r="A9" s="32" t="s">
        <v>50</v>
      </c>
      <c r="B9" s="37">
        <f t="shared" si="0"/>
        <v>266.48894502519101</v>
      </c>
      <c r="C9" s="33"/>
      <c r="D9" s="37">
        <f>IF(ISERROR(TER_gezond_gas_kWh/1000),0,TER_gezond_gas_kWh/1000)*0.902</f>
        <v>663.06804386739452</v>
      </c>
      <c r="E9" s="33">
        <f>$C$29*'E Balans VL '!I10/100/3.6*1000000</f>
        <v>0.2846792646848878</v>
      </c>
      <c r="F9" s="33">
        <f>$C$29*('E Balans VL '!L10+'E Balans VL '!N10)/100/3.6*1000000</f>
        <v>43.472445836561242</v>
      </c>
      <c r="G9" s="34"/>
      <c r="H9" s="33"/>
      <c r="I9" s="33"/>
      <c r="J9" s="33">
        <f>$C$29*('E Balans VL '!D10+'E Balans VL '!E10)/100/3.6*1000000</f>
        <v>0</v>
      </c>
      <c r="K9" s="33"/>
      <c r="L9" s="33"/>
      <c r="M9" s="33"/>
      <c r="N9" s="33">
        <f>$C$29*'E Balans VL '!Y10/100/3.6*1000000</f>
        <v>2.7433516334758656</v>
      </c>
      <c r="O9" s="33"/>
      <c r="P9" s="33"/>
      <c r="R9" s="32"/>
    </row>
    <row r="10" spans="1:18">
      <c r="A10" s="32" t="s">
        <v>49</v>
      </c>
      <c r="B10" s="37">
        <f t="shared" si="0"/>
        <v>2215.4386004717899</v>
      </c>
      <c r="C10" s="33"/>
      <c r="D10" s="37">
        <f>IF(ISERROR(TER_ander_gas_kWh/1000),0,TER_ander_gas_kWh/1000)*0.902</f>
        <v>851.18112352201422</v>
      </c>
      <c r="E10" s="33">
        <f>$C$30*'E Balans VL '!I14/100/3.6*1000000</f>
        <v>10.188465130342397</v>
      </c>
      <c r="F10" s="33">
        <f>$C$30*('E Balans VL '!L14+'E Balans VL '!N14)/100/3.6*1000000</f>
        <v>664.0368297756587</v>
      </c>
      <c r="G10" s="34"/>
      <c r="H10" s="33"/>
      <c r="I10" s="33"/>
      <c r="J10" s="33">
        <f>$C$30*('E Balans VL '!D14+'E Balans VL '!E14)/100/3.6*1000000</f>
        <v>0</v>
      </c>
      <c r="K10" s="33"/>
      <c r="L10" s="33"/>
      <c r="M10" s="33"/>
      <c r="N10" s="33">
        <f>$C$30*'E Balans VL '!Y14/100/3.6*1000000</f>
        <v>1542.0915087333583</v>
      </c>
      <c r="O10" s="33"/>
      <c r="P10" s="33"/>
      <c r="R10" s="32"/>
    </row>
    <row r="11" spans="1:18">
      <c r="A11" s="32" t="s">
        <v>54</v>
      </c>
      <c r="B11" s="37">
        <f t="shared" si="0"/>
        <v>172.40166956062802</v>
      </c>
      <c r="C11" s="33"/>
      <c r="D11" s="37">
        <f>IF(ISERROR(TER_onderwijs_gas_kWh/1000),0,TER_onderwijs_gas_kWh/1000)*0.902</f>
        <v>1055.8777905880813</v>
      </c>
      <c r="E11" s="33">
        <f>$C$31*'E Balans VL '!I11/100/3.6*1000000</f>
        <v>0.15992522085041008</v>
      </c>
      <c r="F11" s="33">
        <f>$C$31*('E Balans VL '!L11+'E Balans VL '!N11)/100/3.6*1000000</f>
        <v>60.560744149152974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2807.6922181377104</v>
      </c>
      <c r="C12" s="33"/>
      <c r="D12" s="37">
        <f>IF(ISERROR(TER_rest_gas_kWh/1000),0,TER_rest_gas_kWh/1000)*0.902</f>
        <v>3340.4069645955833</v>
      </c>
      <c r="E12" s="33">
        <f>$C$32*'E Balans VL '!I8/100/3.6*1000000</f>
        <v>34.055910775329458</v>
      </c>
      <c r="F12" s="33">
        <f>$C$32*('E Balans VL '!L8+'E Balans VL '!N8)/100/3.6*1000000</f>
        <v>555.58993583144593</v>
      </c>
      <c r="G12" s="34"/>
      <c r="H12" s="33"/>
      <c r="I12" s="33"/>
      <c r="J12" s="33">
        <f>$C$32*('E Balans VL '!D8+'E Balans VL '!E8)/100/3.6*1000000</f>
        <v>0</v>
      </c>
      <c r="K12" s="33"/>
      <c r="L12" s="33"/>
      <c r="M12" s="33"/>
      <c r="N12" s="33">
        <f>$C$32*'E Balans VL '!Y8/100/3.6*1000000</f>
        <v>222.87528101276203</v>
      </c>
      <c r="O12" s="33"/>
      <c r="P12" s="33"/>
      <c r="R12" s="32"/>
    </row>
    <row r="13" spans="1:18">
      <c r="A13" s="16" t="s">
        <v>496</v>
      </c>
      <c r="B13" s="249">
        <f ca="1">'lokale energieproductie'!N40+'lokale energieproductie'!N33</f>
        <v>0</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14669.959512116358</v>
      </c>
      <c r="C16" s="21">
        <f t="shared" ca="1" si="1"/>
        <v>0</v>
      </c>
      <c r="D16" s="21">
        <f t="shared" ca="1" si="1"/>
        <v>17958.132728570297</v>
      </c>
      <c r="E16" s="21">
        <f t="shared" si="1"/>
        <v>216.56058905729398</v>
      </c>
      <c r="F16" s="21">
        <f t="shared" ca="1" si="1"/>
        <v>3052.0689370509576</v>
      </c>
      <c r="G16" s="21">
        <f t="shared" si="1"/>
        <v>0</v>
      </c>
      <c r="H16" s="21">
        <f t="shared" si="1"/>
        <v>0</v>
      </c>
      <c r="I16" s="21">
        <f t="shared" si="1"/>
        <v>0</v>
      </c>
      <c r="J16" s="21">
        <f t="shared" si="1"/>
        <v>0</v>
      </c>
      <c r="K16" s="21">
        <f t="shared" si="1"/>
        <v>0</v>
      </c>
      <c r="L16" s="21">
        <f t="shared" ca="1" si="1"/>
        <v>0</v>
      </c>
      <c r="M16" s="21">
        <f t="shared" si="1"/>
        <v>0</v>
      </c>
      <c r="N16" s="21">
        <f t="shared" ca="1" si="1"/>
        <v>1783.2651171534214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0.18793423619602628</v>
      </c>
      <c r="C18" s="25">
        <f ca="1">'EF ele_warmte'!B22</f>
        <v>0.1599861688224159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2756.9876359362183</v>
      </c>
      <c r="C20" s="23">
        <f t="shared" ref="C20:P20" ca="1" si="2">C16*C18</f>
        <v>0</v>
      </c>
      <c r="D20" s="23">
        <f t="shared" ca="1" si="2"/>
        <v>3627.5428111712004</v>
      </c>
      <c r="E20" s="23">
        <f t="shared" si="2"/>
        <v>49.159253716005736</v>
      </c>
      <c r="F20" s="23">
        <f t="shared" ca="1" si="2"/>
        <v>814.90240619260578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3034.4555230855699</v>
      </c>
      <c r="C26" s="39">
        <f>IF(ISERROR(B26*3.6/1000000/'E Balans VL '!Z12*100),0,B26*3.6/1000000/'E Balans VL '!Z12*100)</f>
        <v>6.4453338384206707E-2</v>
      </c>
      <c r="D26" s="239" t="s">
        <v>689</v>
      </c>
      <c r="F26" s="6"/>
    </row>
    <row r="27" spans="1:18">
      <c r="A27" s="233" t="s">
        <v>52</v>
      </c>
      <c r="B27" s="33">
        <f>IF(ISERROR(TER_horeca_ele_kWh/1000),0,TER_horeca_ele_kWh/1000)</f>
        <v>1696.2447433218299</v>
      </c>
      <c r="C27" s="39">
        <f>IF(ISERROR(B27*3.6/1000000/'E Balans VL '!Z9*100),0,B27*3.6/1000000/'E Balans VL '!Z9*100)</f>
        <v>0.13189335905656793</v>
      </c>
      <c r="D27" s="239" t="s">
        <v>689</v>
      </c>
      <c r="F27" s="6"/>
    </row>
    <row r="28" spans="1:18">
      <c r="A28" s="173" t="s">
        <v>51</v>
      </c>
      <c r="B28" s="33">
        <f>IF(ISERROR(TER_handel_ele_kWh/1000),0,TER_handel_ele_kWh/1000)</f>
        <v>4477.2378125136402</v>
      </c>
      <c r="C28" s="39">
        <f>IF(ISERROR(B28*3.6/1000000/'E Balans VL '!Z13*100),0,B28*3.6/1000000/'E Balans VL '!Z13*100)</f>
        <v>0.12809904299781755</v>
      </c>
      <c r="D28" s="239" t="s">
        <v>689</v>
      </c>
      <c r="F28" s="6"/>
    </row>
    <row r="29" spans="1:18">
      <c r="A29" s="233" t="s">
        <v>50</v>
      </c>
      <c r="B29" s="33">
        <f>IF(ISERROR(TER_gezond_ele_kWh/1000),0,TER_gezond_ele_kWh/1000)</f>
        <v>266.48894502519101</v>
      </c>
      <c r="C29" s="39">
        <f>IF(ISERROR(B29*3.6/1000000/'E Balans VL '!Z10*100),0,B29*3.6/1000000/'E Balans VL '!Z10*100)</f>
        <v>2.9053487468155125E-2</v>
      </c>
      <c r="D29" s="239" t="s">
        <v>689</v>
      </c>
      <c r="F29" s="6"/>
    </row>
    <row r="30" spans="1:18">
      <c r="A30" s="233" t="s">
        <v>49</v>
      </c>
      <c r="B30" s="33">
        <f>IF(ISERROR(TER_ander_ele_kWh/1000),0,TER_ander_ele_kWh/1000)</f>
        <v>2215.4386004717899</v>
      </c>
      <c r="C30" s="39">
        <f>IF(ISERROR(B30*3.6/1000000/'E Balans VL '!Z14*100),0,B30*3.6/1000000/'E Balans VL '!Z14*100)</f>
        <v>0.16212077117919457</v>
      </c>
      <c r="D30" s="239" t="s">
        <v>689</v>
      </c>
      <c r="F30" s="6"/>
    </row>
    <row r="31" spans="1:18">
      <c r="A31" s="233" t="s">
        <v>54</v>
      </c>
      <c r="B31" s="33">
        <f>IF(ISERROR(TER_onderwijs_ele_kWh/1000),0,TER_onderwijs_ele_kWh/1000)</f>
        <v>172.40166956062802</v>
      </c>
      <c r="C31" s="39">
        <f>IF(ISERROR(B31*3.6/1000000/'E Balans VL '!Z11*100),0,B31*3.6/1000000/'E Balans VL '!Z11*100)</f>
        <v>3.4627003353201756E-2</v>
      </c>
      <c r="D31" s="239" t="s">
        <v>689</v>
      </c>
    </row>
    <row r="32" spans="1:18">
      <c r="A32" s="233" t="s">
        <v>259</v>
      </c>
      <c r="B32" s="33">
        <f>IF(ISERROR(TER_rest_ele_kWh/1000),0,TER_rest_ele_kWh/1000)</f>
        <v>2807.6922181377104</v>
      </c>
      <c r="C32" s="39">
        <f>IF(ISERROR(B32*3.6/1000000/'E Balans VL '!Z8*100),0,B32*3.6/1000000/'E Balans VL '!Z8*100)</f>
        <v>2.2880987675989031E-2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3059.3635617423911</v>
      </c>
      <c r="C5" s="17">
        <f>IF(ISERROR('Eigen informatie GS &amp; warmtenet'!B59),0,'Eigen informatie GS &amp; warmtenet'!B59)</f>
        <v>0</v>
      </c>
      <c r="D5" s="30">
        <f>SUM(D6:D15)</f>
        <v>3093.8934147008085</v>
      </c>
      <c r="E5" s="17">
        <f>SUM(E6:E15)</f>
        <v>488.2535704140015</v>
      </c>
      <c r="F5" s="17">
        <f>SUM(F6:F15)</f>
        <v>1960.3694673548769</v>
      </c>
      <c r="G5" s="18"/>
      <c r="H5" s="17"/>
      <c r="I5" s="17"/>
      <c r="J5" s="17">
        <f>SUM(J6:J15)</f>
        <v>2.9141397315314466</v>
      </c>
      <c r="K5" s="17"/>
      <c r="L5" s="17"/>
      <c r="M5" s="17"/>
      <c r="N5" s="17">
        <f>SUM(N6:N15)</f>
        <v>312.4833872135585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71.172551855961999</v>
      </c>
      <c r="C8" s="33"/>
      <c r="D8" s="37">
        <f>IF( ISERROR(IND_metaal_Gas_kWH/1000),0,IND_metaal_Gas_kWH/1000)*0.902</f>
        <v>0</v>
      </c>
      <c r="E8" s="33">
        <f>C30*'E Balans VL '!I18/100/3.6*1000000</f>
        <v>2.0443428382894435</v>
      </c>
      <c r="F8" s="33">
        <f>C30*'E Balans VL '!L18/100/3.6*1000000+C30*'E Balans VL '!N18/100/3.6*1000000</f>
        <v>18.254390706163605</v>
      </c>
      <c r="G8" s="34"/>
      <c r="H8" s="33"/>
      <c r="I8" s="33"/>
      <c r="J8" s="40">
        <f>C30*'E Balans VL '!D18/100/3.6*1000000+C30*'E Balans VL '!E18/100/3.6*1000000</f>
        <v>0</v>
      </c>
      <c r="K8" s="33"/>
      <c r="L8" s="33"/>
      <c r="M8" s="33"/>
      <c r="N8" s="33">
        <f>C30*'E Balans VL '!Y18/100/3.6*1000000</f>
        <v>1.9324800666511786</v>
      </c>
      <c r="O8" s="33"/>
      <c r="P8" s="33"/>
      <c r="R8" s="32"/>
    </row>
    <row r="9" spans="1:18">
      <c r="A9" s="6" t="s">
        <v>32</v>
      </c>
      <c r="B9" s="37">
        <f t="shared" si="0"/>
        <v>1443.13594913523</v>
      </c>
      <c r="C9" s="33"/>
      <c r="D9" s="37">
        <f>IF( ISERROR(IND_andere_gas_kWh/1000),0,IND_andere_gas_kWh/1000)*0.902</f>
        <v>1586.7304060184213</v>
      </c>
      <c r="E9" s="33">
        <f>C31*'E Balans VL '!I19/100/3.6*1000000</f>
        <v>390.62141898895663</v>
      </c>
      <c r="F9" s="33">
        <f>C31*'E Balans VL '!L19/100/3.6*1000000+C31*'E Balans VL '!N19/100/3.6*1000000</f>
        <v>961.28125780829919</v>
      </c>
      <c r="G9" s="34"/>
      <c r="H9" s="33"/>
      <c r="I9" s="33"/>
      <c r="J9" s="40">
        <f>C31*'E Balans VL '!D19/100/3.6*1000000+C31*'E Balans VL '!E19/100/3.6*1000000</f>
        <v>0</v>
      </c>
      <c r="K9" s="33"/>
      <c r="L9" s="33"/>
      <c r="M9" s="33"/>
      <c r="N9" s="33">
        <f>C31*'E Balans VL '!Y19/100/3.6*1000000</f>
        <v>122.00758481537709</v>
      </c>
      <c r="O9" s="33"/>
      <c r="P9" s="33"/>
      <c r="R9" s="32"/>
    </row>
    <row r="10" spans="1:18">
      <c r="A10" s="6" t="s">
        <v>40</v>
      </c>
      <c r="B10" s="37">
        <f t="shared" si="0"/>
        <v>484.44274053312</v>
      </c>
      <c r="C10" s="33"/>
      <c r="D10" s="37">
        <f>IF( ISERROR(IND_voed_gas_kWh/1000),0,IND_voed_gas_kWh/1000)*0.902</f>
        <v>742.14414455505801</v>
      </c>
      <c r="E10" s="33">
        <f>C32*'E Balans VL '!I20/100/3.6*1000000</f>
        <v>39.512262896116439</v>
      </c>
      <c r="F10" s="33">
        <f>C32*'E Balans VL '!L20/100/3.6*1000000+C32*'E Balans VL '!N20/100/3.6*1000000</f>
        <v>722.34807863147751</v>
      </c>
      <c r="G10" s="34"/>
      <c r="H10" s="33"/>
      <c r="I10" s="33"/>
      <c r="J10" s="40">
        <f>C32*'E Balans VL '!D20/100/3.6*1000000+C32*'E Balans VL '!E20/100/3.6*1000000</f>
        <v>6.4085894226513715E-3</v>
      </c>
      <c r="K10" s="33"/>
      <c r="L10" s="33"/>
      <c r="M10" s="33"/>
      <c r="N10" s="33">
        <f>C32*'E Balans VL '!Y20/100/3.6*1000000</f>
        <v>142.31218302754186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64.461953472127206</v>
      </c>
      <c r="C12" s="33"/>
      <c r="D12" s="37">
        <f>IF( ISERROR(IND_min_gas_kWh/1000),0,IND_min_gas_kWh/1000)*0.902</f>
        <v>0</v>
      </c>
      <c r="E12" s="33">
        <f>C34*'E Balans VL '!I22/100/3.6*1000000</f>
        <v>0.50214457188607065</v>
      </c>
      <c r="F12" s="33">
        <f>C34*'E Balans VL '!L22/100/3.6*1000000+C34*'E Balans VL '!N22/100/3.6*1000000</f>
        <v>24.311087541658281</v>
      </c>
      <c r="G12" s="34"/>
      <c r="H12" s="33"/>
      <c r="I12" s="33"/>
      <c r="J12" s="40">
        <f>C34*'E Balans VL '!D22/100/3.6*1000000+C34*'E Balans VL '!E22/100/3.6*1000000</f>
        <v>0.35453510799939936</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996.15036674595206</v>
      </c>
      <c r="C15" s="33"/>
      <c r="D15" s="37">
        <f>IF( ISERROR(IND_rest_gas_kWh/1000),0,IND_rest_gas_kWh/1000)*0.902</f>
        <v>765.01886412732961</v>
      </c>
      <c r="E15" s="33">
        <f>C37*'E Balans VL '!I15/100/3.6*1000000</f>
        <v>55.573401118752926</v>
      </c>
      <c r="F15" s="33">
        <f>C37*'E Balans VL '!L15/100/3.6*1000000+C37*'E Balans VL '!N15/100/3.6*1000000</f>
        <v>234.17465266727845</v>
      </c>
      <c r="G15" s="34"/>
      <c r="H15" s="33"/>
      <c r="I15" s="33"/>
      <c r="J15" s="40">
        <f>C37*'E Balans VL '!D15/100/3.6*1000000+C37*'E Balans VL '!E15/100/3.6*1000000</f>
        <v>2.553196034109396</v>
      </c>
      <c r="K15" s="33"/>
      <c r="L15" s="33"/>
      <c r="M15" s="33"/>
      <c r="N15" s="33">
        <f>C37*'E Balans VL '!Y15/100/3.6*1000000</f>
        <v>46.231139303988343</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3059.3635617423911</v>
      </c>
      <c r="C18" s="21">
        <f>C5+C16</f>
        <v>0</v>
      </c>
      <c r="D18" s="21">
        <f>MAX((D5+D16),0)</f>
        <v>3093.8934147008085</v>
      </c>
      <c r="E18" s="21">
        <f>MAX((E5+E16),0)</f>
        <v>488.2535704140015</v>
      </c>
      <c r="F18" s="21">
        <f>MAX((F5+F16),0)</f>
        <v>1960.3694673548769</v>
      </c>
      <c r="G18" s="21"/>
      <c r="H18" s="21"/>
      <c r="I18" s="21"/>
      <c r="J18" s="21">
        <f>MAX((J5+J16),0)</f>
        <v>2.9141397315314466</v>
      </c>
      <c r="K18" s="21"/>
      <c r="L18" s="21">
        <f>MAX((L5+L16),0)</f>
        <v>0</v>
      </c>
      <c r="M18" s="21"/>
      <c r="N18" s="21">
        <f>MAX((N5+N16),0)</f>
        <v>312.4833872135585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0.18793423619602628</v>
      </c>
      <c r="C20" s="25">
        <f ca="1">'EF ele_warmte'!B22</f>
        <v>0.1599861688224159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574.95915422201074</v>
      </c>
      <c r="C22" s="23">
        <f ca="1">C18*C20</f>
        <v>0</v>
      </c>
      <c r="D22" s="23">
        <f>D18*D20</f>
        <v>624.96646976956333</v>
      </c>
      <c r="E22" s="23">
        <f>E18*E20</f>
        <v>110.83356048397835</v>
      </c>
      <c r="F22" s="23">
        <f>F18*F20</f>
        <v>523.41864778375214</v>
      </c>
      <c r="G22" s="23"/>
      <c r="H22" s="23"/>
      <c r="I22" s="23"/>
      <c r="J22" s="23">
        <f>J18*J20</f>
        <v>1.031605464962132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71.172551855961999</v>
      </c>
      <c r="C30" s="39">
        <f>IF(ISERROR(B30*3.6/1000000/'E Balans VL '!Z18*100),0,B30*3.6/1000000/'E Balans VL '!Z18*100)</f>
        <v>7.0031974184556894E-3</v>
      </c>
      <c r="D30" s="239" t="s">
        <v>689</v>
      </c>
    </row>
    <row r="31" spans="1:18">
      <c r="A31" s="6" t="s">
        <v>32</v>
      </c>
      <c r="B31" s="37">
        <f>IF( ISERROR(IND_ander_ele_kWh/1000),0,IND_ander_ele_kWh/1000)</f>
        <v>1443.13594913523</v>
      </c>
      <c r="C31" s="39">
        <f>IF(ISERROR(B31*3.6/1000000/'E Balans VL '!Z19*100),0,B31*3.6/1000000/'E Balans VL '!Z19*100)</f>
        <v>6.2847419406632493E-2</v>
      </c>
      <c r="D31" s="239" t="s">
        <v>689</v>
      </c>
    </row>
    <row r="32" spans="1:18">
      <c r="A32" s="173" t="s">
        <v>40</v>
      </c>
      <c r="B32" s="37">
        <f>IF( ISERROR(IND_voed_ele_kWh/1000),0,IND_voed_ele_kWh/1000)</f>
        <v>484.44274053312</v>
      </c>
      <c r="C32" s="39">
        <f>IF(ISERROR(B32*3.6/1000000/'E Balans VL '!Z20*100),0,B32*3.6/1000000/'E Balans VL '!Z20*100)</f>
        <v>9.1916023591808879E-2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64.461953472127206</v>
      </c>
      <c r="C34" s="39">
        <f>IF(ISERROR(B34*3.6/1000000/'E Balans VL '!Z22*100),0,B34*3.6/1000000/'E Balans VL '!Z22*100)</f>
        <v>9.0639979649415389E-3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996.15036674595206</v>
      </c>
      <c r="C37" s="39">
        <f>IF(ISERROR(B37*3.6/1000000/'E Balans VL '!Z15*100),0,B37*3.6/1000000/'E Balans VL '!Z15*100)</f>
        <v>7.6765621006313241E-3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1561.98414687228</v>
      </c>
      <c r="C5" s="17">
        <f>'Eigen informatie GS &amp; warmtenet'!B60</f>
        <v>0</v>
      </c>
      <c r="D5" s="30">
        <f>IF(ISERROR(SUM(LB_lb_gas_kWh,LB_rest_gas_kWh)/1000),0,SUM(LB_lb_gas_kWh,LB_rest_gas_kWh)/1000)*0.902</f>
        <v>25353.327314479091</v>
      </c>
      <c r="E5" s="17">
        <f>B17*'E Balans VL '!I25/3.6*1000000/100</f>
        <v>19.683012495302652</v>
      </c>
      <c r="F5" s="17">
        <f>B17*('E Balans VL '!L25/3.6*1000000+'E Balans VL '!N25/3.6*1000000)/100</f>
        <v>5389.2366071193164</v>
      </c>
      <c r="G5" s="18"/>
      <c r="H5" s="17"/>
      <c r="I5" s="17"/>
      <c r="J5" s="17">
        <f>('E Balans VL '!D25+'E Balans VL '!E25)/3.6*1000000*landbouw!B17/100</f>
        <v>234.90465968047715</v>
      </c>
      <c r="K5" s="17"/>
      <c r="L5" s="17">
        <f>L6*(-1)</f>
        <v>0</v>
      </c>
      <c r="M5" s="17"/>
      <c r="N5" s="17">
        <f>N6*(-1)</f>
        <v>10542.857142857143</v>
      </c>
      <c r="O5" s="17"/>
      <c r="P5" s="17"/>
      <c r="R5" s="32"/>
    </row>
    <row r="6" spans="1:18">
      <c r="A6" s="16" t="s">
        <v>496</v>
      </c>
      <c r="B6" s="17" t="s">
        <v>210</v>
      </c>
      <c r="C6" s="17">
        <f>'lokale energieproductie'!O41+'lokale energieproductie'!O34</f>
        <v>16130.892857142859</v>
      </c>
      <c r="D6" s="310">
        <f>('lokale energieproductie'!P34+'lokale energieproductie'!P41)*(-1)</f>
        <v>-21718.928571428572</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-10542.857142857143</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1561.98414687228</v>
      </c>
      <c r="C8" s="21">
        <f>C5+C6</f>
        <v>16130.892857142859</v>
      </c>
      <c r="D8" s="21">
        <f>MAX((D5+D6),0)</f>
        <v>3634.3987430505185</v>
      </c>
      <c r="E8" s="21">
        <f>MAX((E5+E6),0)</f>
        <v>19.683012495302652</v>
      </c>
      <c r="F8" s="21">
        <f>MAX((F5+F6),0)</f>
        <v>5389.2366071193164</v>
      </c>
      <c r="G8" s="21"/>
      <c r="H8" s="21"/>
      <c r="I8" s="21"/>
      <c r="J8" s="21">
        <f>MAX((J5+J6),0)</f>
        <v>234.90465968047715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0.18793423619602628</v>
      </c>
      <c r="C10" s="31">
        <f ca="1">'EF ele_warmte'!B22</f>
        <v>0.1599861688224159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293.55029759274368</v>
      </c>
      <c r="C12" s="23">
        <f ca="1">C8*C10</f>
        <v>2580.7197478991602</v>
      </c>
      <c r="D12" s="23">
        <f>D8*D10</f>
        <v>734.14854609620477</v>
      </c>
      <c r="E12" s="23">
        <f>E8*E10</f>
        <v>4.4680438364337025</v>
      </c>
      <c r="F12" s="23">
        <f>F8*F10</f>
        <v>1438.9261741008577</v>
      </c>
      <c r="G12" s="23"/>
      <c r="H12" s="23"/>
      <c r="I12" s="23"/>
      <c r="J12" s="23">
        <f>J8*J10</f>
        <v>83.156249526888914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0.21784755760604424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290.35699057242954</v>
      </c>
      <c r="C26" s="249">
        <f>B26*'GWP N2O_CH4'!B5</f>
        <v>6097.4968020210199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147.04386490658169</v>
      </c>
      <c r="C27" s="249">
        <f>B27*'GWP N2O_CH4'!B5</f>
        <v>3087.9211630382156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4.5397543714982138</v>
      </c>
      <c r="C28" s="249">
        <f>B28*'GWP N2O_CH4'!B4</f>
        <v>1407.3238551644463</v>
      </c>
      <c r="D28" s="50"/>
    </row>
    <row r="29" spans="1:4">
      <c r="A29" s="41" t="s">
        <v>276</v>
      </c>
      <c r="B29" s="249">
        <f>B34*'ha_N2O bodem landbouw'!B4</f>
        <v>12.199166270829545</v>
      </c>
      <c r="C29" s="249">
        <f>B29*'GWP N2O_CH4'!B4</f>
        <v>3781.7415439571591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3.0460099203545748E-3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1.9613620300827301E-5</v>
      </c>
      <c r="C5" s="444" t="s">
        <v>210</v>
      </c>
      <c r="D5" s="429">
        <f>SUM(D6:D11)</f>
        <v>3.4931379753275614E-5</v>
      </c>
      <c r="E5" s="429">
        <f>SUM(E6:E11)</f>
        <v>1.3504186402127825E-3</v>
      </c>
      <c r="F5" s="442" t="s">
        <v>210</v>
      </c>
      <c r="G5" s="429">
        <f>SUM(G6:G11)</f>
        <v>0.47649470994092347</v>
      </c>
      <c r="H5" s="429">
        <f>SUM(H6:H11)</f>
        <v>6.4551988013794512E-2</v>
      </c>
      <c r="I5" s="444" t="s">
        <v>210</v>
      </c>
      <c r="J5" s="444" t="s">
        <v>210</v>
      </c>
      <c r="K5" s="444" t="s">
        <v>210</v>
      </c>
      <c r="L5" s="444" t="s">
        <v>210</v>
      </c>
      <c r="M5" s="429">
        <f>SUM(M6:M11)</f>
        <v>2.4456746713477761E-2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4.2401316189728E-6</v>
      </c>
      <c r="C6" s="883"/>
      <c r="D6" s="883">
        <f>vkm_GW_PW*SUMIFS(TableVerdeelsleutelVkm[CNG],TableVerdeelsleutelVkm[Voertuigtype],"Lichte voertuigen")*SUMIFS(TableECFTransport[EnergieConsumptieFactor (PJ per km)],TableECFTransport[Index],CONCATENATE($A6,"_CNG_CNG"))</f>
        <v>6.2837487643519862E-6</v>
      </c>
      <c r="E6" s="883">
        <f>vkm_GW_PW*SUMIFS(TableVerdeelsleutelVkm[LPG],TableVerdeelsleutelVkm[Voertuigtype],"Lichte voertuigen")*SUMIFS(TableECFTransport[EnergieConsumptieFactor (PJ per km)],TableECFTransport[Index],CONCATENATE($A6,"_LPG_LPG"))</f>
        <v>2.2506091968265392E-4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4.5294187131939799E-2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1.1571047513301486E-2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2.5725517916886311E-3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4.5654108517948738E-2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1.0607433193489756E-6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2.061354259747925E-3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5.7026668138312996E-6</v>
      </c>
      <c r="C8" s="883"/>
      <c r="D8" s="432">
        <f>vkm_NGW_PW*SUMIFS(TableVerdeelsleutelVkm[CNG],TableVerdeelsleutelVkm[Voertuigtype],"Lichte voertuigen")*SUMIFS(TableECFTransport[EnergieConsumptieFactor (PJ per km)],TableECFTransport[Index],CONCATENATE($A8,"_CNG_CNG"))</f>
        <v>1.4341868906804864E-5</v>
      </c>
      <c r="E8" s="432">
        <f>vkm_NGW_PW*SUMIFS(TableVerdeelsleutelVkm[LPG],TableVerdeelsleutelVkm[Voertuigtype],"Lichte voertuigen")*SUMIFS(TableECFTransport[EnergieConsumptieFactor (PJ per km)],TableECFTransport[Index],CONCATENATE($A8,"_LPG_LPG"))</f>
        <v>4.8571066781212134E-4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9.2855282777249901E-2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2.5377155847405089E-2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5.3493467439187934E-3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3.9464611063101278E-2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1.0628103363425617E-6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1.7818954387928904E-3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9.670821868023201E-6</v>
      </c>
      <c r="C10" s="883"/>
      <c r="D10" s="432">
        <f>vkm_SW_PW*SUMIFS(TableVerdeelsleutelVkm[CNG],TableVerdeelsleutelVkm[Voertuigtype],"Lichte voertuigen")*SUMIFS(TableECFTransport[EnergieConsumptieFactor (PJ per km)],TableECFTransport[Index],CONCATENATE($A10,"_CNG_CNG"))</f>
        <v>1.4305762082118761E-5</v>
      </c>
      <c r="E10" s="432">
        <f>vkm_SW_PW*SUMIFS(TableVerdeelsleutelVkm[LPG],TableVerdeelsleutelVkm[Voertuigtype],"Lichte voertuigen")*SUMIFS(TableECFTransport[EnergieConsumptieFactor (PJ per km)],TableECFTransport[Index],CONCATENATE($A10,"_LPG_LPG"))</f>
        <v>6.3964705271800728E-4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0.11669865336297733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2.7598277458848623E-2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6.5271425359566025E-3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0.13652786708770637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3.3836405836180986E-6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6.1644559433729198E-3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5.448227861340917</v>
      </c>
      <c r="C14" s="21"/>
      <c r="D14" s="21">
        <f t="shared" ref="D14:M14" si="0">((D5)*10^9/3600)+D12</f>
        <v>9.7031610425765589</v>
      </c>
      <c r="E14" s="21">
        <f t="shared" si="0"/>
        <v>375.11628894799514</v>
      </c>
      <c r="F14" s="21"/>
      <c r="G14" s="21">
        <f t="shared" si="0"/>
        <v>132359.64165025653</v>
      </c>
      <c r="H14" s="21">
        <f t="shared" si="0"/>
        <v>17931.107781609586</v>
      </c>
      <c r="I14" s="21"/>
      <c r="J14" s="21"/>
      <c r="K14" s="21"/>
      <c r="L14" s="21"/>
      <c r="M14" s="21">
        <f t="shared" si="0"/>
        <v>6793.5407537438223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0.18793423619602628</v>
      </c>
      <c r="C16" s="56">
        <f ca="1">'EF ele_warmte'!B22</f>
        <v>0.1599861688224159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1.0239085417430149</v>
      </c>
      <c r="C18" s="23"/>
      <c r="D18" s="23">
        <f t="shared" ref="D18:M18" si="1">D14*D16</f>
        <v>1.9600385306004651</v>
      </c>
      <c r="E18" s="23">
        <f t="shared" si="1"/>
        <v>85.151397591194907</v>
      </c>
      <c r="F18" s="23"/>
      <c r="G18" s="23">
        <f t="shared" si="1"/>
        <v>35340.024320618497</v>
      </c>
      <c r="H18" s="23">
        <f t="shared" si="1"/>
        <v>4464.8458376207873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5.1316963929130708E-3</v>
      </c>
      <c r="H50" s="321">
        <f t="shared" si="2"/>
        <v>0</v>
      </c>
      <c r="I50" s="321">
        <f t="shared" si="2"/>
        <v>0</v>
      </c>
      <c r="J50" s="321">
        <f t="shared" si="2"/>
        <v>0</v>
      </c>
      <c r="K50" s="321">
        <f t="shared" si="2"/>
        <v>0</v>
      </c>
      <c r="L50" s="321">
        <f t="shared" si="2"/>
        <v>0</v>
      </c>
      <c r="M50" s="321">
        <f t="shared" si="2"/>
        <v>2.2841605186087744E-4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5.1316963929130708E-3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2.2841605186087744E-4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1425.4712202536307</v>
      </c>
      <c r="H54" s="21">
        <f t="shared" si="3"/>
        <v>0</v>
      </c>
      <c r="I54" s="21">
        <f t="shared" si="3"/>
        <v>0</v>
      </c>
      <c r="J54" s="21">
        <f t="shared" si="3"/>
        <v>0</v>
      </c>
      <c r="K54" s="21">
        <f t="shared" si="3"/>
        <v>0</v>
      </c>
      <c r="L54" s="21">
        <f t="shared" si="3"/>
        <v>0</v>
      </c>
      <c r="M54" s="21">
        <f t="shared" si="3"/>
        <v>63.448903294688172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0.18793423619602628</v>
      </c>
      <c r="C56" s="56">
        <f ca="1">'EF ele_warmte'!B22</f>
        <v>0.1599861688224159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380.60081580771941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15836.364512116359</v>
      </c>
      <c r="D10" s="686">
        <f ca="1">tertiair!C16</f>
        <v>0</v>
      </c>
      <c r="E10" s="686">
        <f ca="1">tertiair!D16</f>
        <v>17958.132728570297</v>
      </c>
      <c r="F10" s="686">
        <f>tertiair!E16</f>
        <v>216.56058905729398</v>
      </c>
      <c r="G10" s="686">
        <f ca="1">tertiair!F16</f>
        <v>3052.0689370509576</v>
      </c>
      <c r="H10" s="686">
        <f>tertiair!G16</f>
        <v>0</v>
      </c>
      <c r="I10" s="686">
        <f>tertiair!H16</f>
        <v>0</v>
      </c>
      <c r="J10" s="686">
        <f>tertiair!I16</f>
        <v>0</v>
      </c>
      <c r="K10" s="686">
        <f>tertiair!J16</f>
        <v>0</v>
      </c>
      <c r="L10" s="686">
        <f>tertiair!K16</f>
        <v>0</v>
      </c>
      <c r="M10" s="686">
        <f ca="1">tertiair!L16</f>
        <v>0</v>
      </c>
      <c r="N10" s="686">
        <f>tertiair!M16</f>
        <v>0</v>
      </c>
      <c r="O10" s="686">
        <f ca="1">tertiair!N16</f>
        <v>1783.2651171534214</v>
      </c>
      <c r="P10" s="686">
        <f>tertiair!O16</f>
        <v>3.1266666666666669</v>
      </c>
      <c r="Q10" s="687">
        <f>tertiair!P16</f>
        <v>0</v>
      </c>
      <c r="R10" s="689">
        <f ca="1">SUM(C10:Q10)</f>
        <v>38849.518550614994</v>
      </c>
      <c r="S10" s="67"/>
    </row>
    <row r="11" spans="1:19" s="454" customFormat="1">
      <c r="A11" s="801" t="s">
        <v>224</v>
      </c>
      <c r="B11" s="806"/>
      <c r="C11" s="686">
        <f>huishoudens!B8</f>
        <v>33519.915813506916</v>
      </c>
      <c r="D11" s="686">
        <f>huishoudens!C8</f>
        <v>0</v>
      </c>
      <c r="E11" s="686">
        <f>huishoudens!D8</f>
        <v>84177.405115018744</v>
      </c>
      <c r="F11" s="686">
        <f>huishoudens!E8</f>
        <v>7335.6731333900316</v>
      </c>
      <c r="G11" s="686">
        <f>huishoudens!F8</f>
        <v>5874.2176444136967</v>
      </c>
      <c r="H11" s="686">
        <f>huishoudens!G8</f>
        <v>0</v>
      </c>
      <c r="I11" s="686">
        <f>huishoudens!H8</f>
        <v>0</v>
      </c>
      <c r="J11" s="686">
        <f>huishoudens!I8</f>
        <v>0</v>
      </c>
      <c r="K11" s="686">
        <f>huishoudens!J8</f>
        <v>1147.6449751869859</v>
      </c>
      <c r="L11" s="686">
        <f>huishoudens!K8</f>
        <v>0</v>
      </c>
      <c r="M11" s="686">
        <f>huishoudens!L8</f>
        <v>0</v>
      </c>
      <c r="N11" s="686">
        <f>huishoudens!M8</f>
        <v>0</v>
      </c>
      <c r="O11" s="686">
        <f>huishoudens!N8</f>
        <v>27920.631595401042</v>
      </c>
      <c r="P11" s="686">
        <f>huishoudens!O8</f>
        <v>140.70000000000002</v>
      </c>
      <c r="Q11" s="687">
        <f>huishoudens!P8</f>
        <v>457.6</v>
      </c>
      <c r="R11" s="689">
        <f>SUM(C11:Q11)</f>
        <v>160573.78827691745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3059.3635617423911</v>
      </c>
      <c r="D13" s="686">
        <f>industrie!C18</f>
        <v>0</v>
      </c>
      <c r="E13" s="686">
        <f>industrie!D18</f>
        <v>3093.8934147008085</v>
      </c>
      <c r="F13" s="686">
        <f>industrie!E18</f>
        <v>488.2535704140015</v>
      </c>
      <c r="G13" s="686">
        <f>industrie!F18</f>
        <v>1960.3694673548769</v>
      </c>
      <c r="H13" s="686">
        <f>industrie!G18</f>
        <v>0</v>
      </c>
      <c r="I13" s="686">
        <f>industrie!H18</f>
        <v>0</v>
      </c>
      <c r="J13" s="686">
        <f>industrie!I18</f>
        <v>0</v>
      </c>
      <c r="K13" s="686">
        <f>industrie!J18</f>
        <v>2.9141397315314466</v>
      </c>
      <c r="L13" s="686">
        <f>industrie!K18</f>
        <v>0</v>
      </c>
      <c r="M13" s="686">
        <f>industrie!L18</f>
        <v>0</v>
      </c>
      <c r="N13" s="686">
        <f>industrie!M18</f>
        <v>0</v>
      </c>
      <c r="O13" s="686">
        <f>industrie!N18</f>
        <v>312.4833872135585</v>
      </c>
      <c r="P13" s="686">
        <f>industrie!O18</f>
        <v>0</v>
      </c>
      <c r="Q13" s="687">
        <f>industrie!P18</f>
        <v>0</v>
      </c>
      <c r="R13" s="689">
        <f>SUM(C13:Q13)</f>
        <v>8917.2775411571674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52415.643887365666</v>
      </c>
      <c r="D16" s="721">
        <f t="shared" ref="D16:R16" ca="1" si="0">SUM(D9:D15)</f>
        <v>0</v>
      </c>
      <c r="E16" s="721">
        <f t="shared" ca="1" si="0"/>
        <v>105229.43125828986</v>
      </c>
      <c r="F16" s="721">
        <f t="shared" si="0"/>
        <v>8040.4872928613277</v>
      </c>
      <c r="G16" s="721">
        <f t="shared" ca="1" si="0"/>
        <v>10886.65604881953</v>
      </c>
      <c r="H16" s="721">
        <f t="shared" si="0"/>
        <v>0</v>
      </c>
      <c r="I16" s="721">
        <f t="shared" si="0"/>
        <v>0</v>
      </c>
      <c r="J16" s="721">
        <f t="shared" si="0"/>
        <v>0</v>
      </c>
      <c r="K16" s="721">
        <f t="shared" si="0"/>
        <v>1150.5591149185173</v>
      </c>
      <c r="L16" s="721">
        <f t="shared" si="0"/>
        <v>0</v>
      </c>
      <c r="M16" s="721">
        <f t="shared" ca="1" si="0"/>
        <v>0</v>
      </c>
      <c r="N16" s="721">
        <f t="shared" si="0"/>
        <v>0</v>
      </c>
      <c r="O16" s="721">
        <f t="shared" ca="1" si="0"/>
        <v>30016.380099768019</v>
      </c>
      <c r="P16" s="721">
        <f t="shared" si="0"/>
        <v>143.82666666666668</v>
      </c>
      <c r="Q16" s="721">
        <f t="shared" si="0"/>
        <v>457.6</v>
      </c>
      <c r="R16" s="721">
        <f t="shared" ca="1" si="0"/>
        <v>208340.58436868963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1425.4712202536307</v>
      </c>
      <c r="I19" s="686">
        <f>transport!H54</f>
        <v>0</v>
      </c>
      <c r="J19" s="686">
        <f>transport!I54</f>
        <v>0</v>
      </c>
      <c r="K19" s="686">
        <f>transport!J54</f>
        <v>0</v>
      </c>
      <c r="L19" s="686">
        <f>transport!K54</f>
        <v>0</v>
      </c>
      <c r="M19" s="686">
        <f>transport!L54</f>
        <v>0</v>
      </c>
      <c r="N19" s="686">
        <f>transport!M54</f>
        <v>63.448903294688172</v>
      </c>
      <c r="O19" s="686">
        <f>transport!N54</f>
        <v>0</v>
      </c>
      <c r="P19" s="686">
        <f>transport!O54</f>
        <v>0</v>
      </c>
      <c r="Q19" s="687">
        <f>transport!P54</f>
        <v>0</v>
      </c>
      <c r="R19" s="689">
        <f>SUM(C19:Q19)</f>
        <v>1488.9201235483188</v>
      </c>
      <c r="S19" s="67"/>
    </row>
    <row r="20" spans="1:19" s="454" customFormat="1">
      <c r="A20" s="801" t="s">
        <v>306</v>
      </c>
      <c r="B20" s="806"/>
      <c r="C20" s="686">
        <f>transport!B14</f>
        <v>5.448227861340917</v>
      </c>
      <c r="D20" s="686">
        <f>transport!C14</f>
        <v>0</v>
      </c>
      <c r="E20" s="686">
        <f>transport!D14</f>
        <v>9.7031610425765589</v>
      </c>
      <c r="F20" s="686">
        <f>transport!E14</f>
        <v>375.11628894799514</v>
      </c>
      <c r="G20" s="686">
        <f>transport!F14</f>
        <v>0</v>
      </c>
      <c r="H20" s="686">
        <f>transport!G14</f>
        <v>132359.64165025653</v>
      </c>
      <c r="I20" s="686">
        <f>transport!H14</f>
        <v>17931.107781609586</v>
      </c>
      <c r="J20" s="686">
        <f>transport!I14</f>
        <v>0</v>
      </c>
      <c r="K20" s="686">
        <f>transport!J14</f>
        <v>0</v>
      </c>
      <c r="L20" s="686">
        <f>transport!K14</f>
        <v>0</v>
      </c>
      <c r="M20" s="686">
        <f>transport!L14</f>
        <v>0</v>
      </c>
      <c r="N20" s="686">
        <f>transport!M14</f>
        <v>6793.5407537438223</v>
      </c>
      <c r="O20" s="686">
        <f>transport!N14</f>
        <v>0</v>
      </c>
      <c r="P20" s="686">
        <f>transport!O14</f>
        <v>0</v>
      </c>
      <c r="Q20" s="687">
        <f>transport!P14</f>
        <v>0</v>
      </c>
      <c r="R20" s="689">
        <f>SUM(C20:Q20)</f>
        <v>157474.55786346184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5.448227861340917</v>
      </c>
      <c r="D22" s="804">
        <f t="shared" ref="D22:R22" si="1">SUM(D18:D21)</f>
        <v>0</v>
      </c>
      <c r="E22" s="804">
        <f t="shared" si="1"/>
        <v>9.7031610425765589</v>
      </c>
      <c r="F22" s="804">
        <f t="shared" si="1"/>
        <v>375.11628894799514</v>
      </c>
      <c r="G22" s="804">
        <f t="shared" si="1"/>
        <v>0</v>
      </c>
      <c r="H22" s="804">
        <f t="shared" si="1"/>
        <v>133785.11287051014</v>
      </c>
      <c r="I22" s="804">
        <f t="shared" si="1"/>
        <v>17931.107781609586</v>
      </c>
      <c r="J22" s="804">
        <f t="shared" si="1"/>
        <v>0</v>
      </c>
      <c r="K22" s="804">
        <f t="shared" si="1"/>
        <v>0</v>
      </c>
      <c r="L22" s="804">
        <f t="shared" si="1"/>
        <v>0</v>
      </c>
      <c r="M22" s="804">
        <f t="shared" si="1"/>
        <v>0</v>
      </c>
      <c r="N22" s="804">
        <f t="shared" si="1"/>
        <v>6856.9896570385108</v>
      </c>
      <c r="O22" s="804">
        <f t="shared" si="1"/>
        <v>0</v>
      </c>
      <c r="P22" s="804">
        <f t="shared" si="1"/>
        <v>0</v>
      </c>
      <c r="Q22" s="804">
        <f t="shared" si="1"/>
        <v>0</v>
      </c>
      <c r="R22" s="804">
        <f t="shared" si="1"/>
        <v>158963.47798701015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1561.98414687228</v>
      </c>
      <c r="D24" s="686">
        <f>+landbouw!C8</f>
        <v>16130.892857142859</v>
      </c>
      <c r="E24" s="686">
        <f>+landbouw!D8</f>
        <v>3634.3987430505185</v>
      </c>
      <c r="F24" s="686">
        <f>+landbouw!E8</f>
        <v>19.683012495302652</v>
      </c>
      <c r="G24" s="686">
        <f>+landbouw!F8</f>
        <v>5389.2366071193164</v>
      </c>
      <c r="H24" s="686">
        <f>+landbouw!G8</f>
        <v>0</v>
      </c>
      <c r="I24" s="686">
        <f>+landbouw!H8</f>
        <v>0</v>
      </c>
      <c r="J24" s="686">
        <f>+landbouw!I8</f>
        <v>0</v>
      </c>
      <c r="K24" s="686">
        <f>+landbouw!J8</f>
        <v>234.90465968047715</v>
      </c>
      <c r="L24" s="686">
        <f>+landbouw!K8</f>
        <v>0</v>
      </c>
      <c r="M24" s="686">
        <f>+landbouw!L8</f>
        <v>0</v>
      </c>
      <c r="N24" s="686">
        <f>+landbouw!M8</f>
        <v>0</v>
      </c>
      <c r="O24" s="686">
        <f>+landbouw!N8</f>
        <v>0</v>
      </c>
      <c r="P24" s="686">
        <f>+landbouw!O8</f>
        <v>0</v>
      </c>
      <c r="Q24" s="687">
        <f>+landbouw!P8</f>
        <v>0</v>
      </c>
      <c r="R24" s="689">
        <f>SUM(C24:Q24)</f>
        <v>26971.100026360753</v>
      </c>
      <c r="S24" s="67"/>
    </row>
    <row r="25" spans="1:19" s="454" customFormat="1" ht="15" thickBot="1">
      <c r="A25" s="823" t="s">
        <v>856</v>
      </c>
      <c r="B25" s="991"/>
      <c r="C25" s="992">
        <f>IF(Onbekend_ele_kWh="---",0,Onbekend_ele_kWh)/1000+IF(REST_rest_ele_kWh="---",0,REST_rest_ele_kWh)/1000</f>
        <v>1242.7905903469</v>
      </c>
      <c r="D25" s="992"/>
      <c r="E25" s="992">
        <f>IF(onbekend_gas_kWh="---",0,onbekend_gas_kWh)/1000+IF(REST_rest_gas_kWh="---",0,REST_rest_gas_kWh)/1000</f>
        <v>3036.7643185955599</v>
      </c>
      <c r="F25" s="992"/>
      <c r="G25" s="992"/>
      <c r="H25" s="992"/>
      <c r="I25" s="992"/>
      <c r="J25" s="992"/>
      <c r="K25" s="992"/>
      <c r="L25" s="992"/>
      <c r="M25" s="992"/>
      <c r="N25" s="992"/>
      <c r="O25" s="992"/>
      <c r="P25" s="992"/>
      <c r="Q25" s="993"/>
      <c r="R25" s="689">
        <f>SUM(C25:Q25)</f>
        <v>4279.5549089424603</v>
      </c>
      <c r="S25" s="67"/>
    </row>
    <row r="26" spans="1:19" s="454" customFormat="1" ht="15.75" thickBot="1">
      <c r="A26" s="694" t="s">
        <v>857</v>
      </c>
      <c r="B26" s="809"/>
      <c r="C26" s="804">
        <f>SUM(C24:C25)</f>
        <v>2804.7747372191798</v>
      </c>
      <c r="D26" s="804">
        <f t="shared" ref="D26:R26" si="2">SUM(D24:D25)</f>
        <v>16130.892857142859</v>
      </c>
      <c r="E26" s="804">
        <f t="shared" si="2"/>
        <v>6671.1630616460789</v>
      </c>
      <c r="F26" s="804">
        <f t="shared" si="2"/>
        <v>19.683012495302652</v>
      </c>
      <c r="G26" s="804">
        <f t="shared" si="2"/>
        <v>5389.2366071193164</v>
      </c>
      <c r="H26" s="804">
        <f t="shared" si="2"/>
        <v>0</v>
      </c>
      <c r="I26" s="804">
        <f t="shared" si="2"/>
        <v>0</v>
      </c>
      <c r="J26" s="804">
        <f t="shared" si="2"/>
        <v>0</v>
      </c>
      <c r="K26" s="804">
        <f t="shared" si="2"/>
        <v>234.90465968047715</v>
      </c>
      <c r="L26" s="804">
        <f t="shared" si="2"/>
        <v>0</v>
      </c>
      <c r="M26" s="804">
        <f t="shared" si="2"/>
        <v>0</v>
      </c>
      <c r="N26" s="804">
        <f t="shared" si="2"/>
        <v>0</v>
      </c>
      <c r="O26" s="804">
        <f t="shared" si="2"/>
        <v>0</v>
      </c>
      <c r="P26" s="804">
        <f t="shared" si="2"/>
        <v>0</v>
      </c>
      <c r="Q26" s="804">
        <f t="shared" si="2"/>
        <v>0</v>
      </c>
      <c r="R26" s="804">
        <f t="shared" si="2"/>
        <v>31250.654935303213</v>
      </c>
      <c r="S26" s="67"/>
    </row>
    <row r="27" spans="1:19" s="454" customFormat="1" ht="17.25" thickTop="1" thickBot="1">
      <c r="A27" s="695" t="s">
        <v>115</v>
      </c>
      <c r="B27" s="796"/>
      <c r="C27" s="696">
        <f ca="1">C22+C16+C26</f>
        <v>55225.86685244619</v>
      </c>
      <c r="D27" s="696">
        <f t="shared" ref="D27:R27" ca="1" si="3">D22+D16+D26</f>
        <v>16130.892857142859</v>
      </c>
      <c r="E27" s="696">
        <f t="shared" ca="1" si="3"/>
        <v>111910.29748097851</v>
      </c>
      <c r="F27" s="696">
        <f t="shared" si="3"/>
        <v>8435.2865943046254</v>
      </c>
      <c r="G27" s="696">
        <f t="shared" ca="1" si="3"/>
        <v>16275.892655938846</v>
      </c>
      <c r="H27" s="696">
        <f t="shared" si="3"/>
        <v>133785.11287051014</v>
      </c>
      <c r="I27" s="696">
        <f t="shared" si="3"/>
        <v>17931.107781609586</v>
      </c>
      <c r="J27" s="696">
        <f t="shared" si="3"/>
        <v>0</v>
      </c>
      <c r="K27" s="696">
        <f t="shared" si="3"/>
        <v>1385.4637745989944</v>
      </c>
      <c r="L27" s="696">
        <f t="shared" si="3"/>
        <v>0</v>
      </c>
      <c r="M27" s="696">
        <f t="shared" ca="1" si="3"/>
        <v>0</v>
      </c>
      <c r="N27" s="696">
        <f t="shared" si="3"/>
        <v>6856.9896570385108</v>
      </c>
      <c r="O27" s="696">
        <f t="shared" ca="1" si="3"/>
        <v>30016.380099768019</v>
      </c>
      <c r="P27" s="696">
        <f t="shared" si="3"/>
        <v>143.82666666666668</v>
      </c>
      <c r="Q27" s="696">
        <f t="shared" si="3"/>
        <v>457.6</v>
      </c>
      <c r="R27" s="696">
        <f t="shared" ca="1" si="3"/>
        <v>398554.71729100298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2976.1950687064445</v>
      </c>
      <c r="D40" s="686">
        <f ca="1">tertiair!C20</f>
        <v>0</v>
      </c>
      <c r="E40" s="686">
        <f ca="1">tertiair!D20</f>
        <v>3627.5428111712004</v>
      </c>
      <c r="F40" s="686">
        <f>tertiair!E20</f>
        <v>49.159253716005736</v>
      </c>
      <c r="G40" s="686">
        <f ca="1">tertiair!F20</f>
        <v>814.90240619260578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7467.799539786256</v>
      </c>
    </row>
    <row r="41" spans="1:18">
      <c r="A41" s="814" t="s">
        <v>224</v>
      </c>
      <c r="B41" s="821"/>
      <c r="C41" s="686">
        <f ca="1">huishoudens!B12</f>
        <v>6299.5397757665251</v>
      </c>
      <c r="D41" s="686">
        <f ca="1">huishoudens!C12</f>
        <v>0</v>
      </c>
      <c r="E41" s="686">
        <f>huishoudens!D12</f>
        <v>17003.835833233788</v>
      </c>
      <c r="F41" s="686">
        <f>huishoudens!E12</f>
        <v>1665.1978012795373</v>
      </c>
      <c r="G41" s="686">
        <f>huishoudens!F12</f>
        <v>1568.4161110584571</v>
      </c>
      <c r="H41" s="686">
        <f>huishoudens!G12</f>
        <v>0</v>
      </c>
      <c r="I41" s="686">
        <f>huishoudens!H12</f>
        <v>0</v>
      </c>
      <c r="J41" s="686">
        <f>huishoudens!I12</f>
        <v>0</v>
      </c>
      <c r="K41" s="686">
        <f>huishoudens!J12</f>
        <v>406.26632121619298</v>
      </c>
      <c r="L41" s="686">
        <f>huishoudens!K12</f>
        <v>0</v>
      </c>
      <c r="M41" s="686">
        <f>huishoudens!L12</f>
        <v>0</v>
      </c>
      <c r="N41" s="686">
        <f>huishoudens!M12</f>
        <v>0</v>
      </c>
      <c r="O41" s="686">
        <f>huishoudens!N12</f>
        <v>0</v>
      </c>
      <c r="P41" s="686">
        <f>huishoudens!O12</f>
        <v>0</v>
      </c>
      <c r="Q41" s="763">
        <f>huishoudens!P12</f>
        <v>0</v>
      </c>
      <c r="R41" s="842">
        <f t="shared" ca="1" si="4"/>
        <v>26943.255842554503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574.95915422201074</v>
      </c>
      <c r="D43" s="686">
        <f ca="1">industrie!C22</f>
        <v>0</v>
      </c>
      <c r="E43" s="686">
        <f>industrie!D22</f>
        <v>624.96646976956333</v>
      </c>
      <c r="F43" s="686">
        <f>industrie!E22</f>
        <v>110.83356048397835</v>
      </c>
      <c r="G43" s="686">
        <f>industrie!F22</f>
        <v>523.41864778375214</v>
      </c>
      <c r="H43" s="686">
        <f>industrie!G22</f>
        <v>0</v>
      </c>
      <c r="I43" s="686">
        <f>industrie!H22</f>
        <v>0</v>
      </c>
      <c r="J43" s="686">
        <f>industrie!I22</f>
        <v>0</v>
      </c>
      <c r="K43" s="686">
        <f>industrie!J22</f>
        <v>1.031605464962132</v>
      </c>
      <c r="L43" s="686">
        <f>industrie!K22</f>
        <v>0</v>
      </c>
      <c r="M43" s="686">
        <f>industrie!L22</f>
        <v>0</v>
      </c>
      <c r="N43" s="686">
        <f>industrie!M22</f>
        <v>0</v>
      </c>
      <c r="O43" s="686">
        <f>industrie!N22</f>
        <v>0</v>
      </c>
      <c r="P43" s="686">
        <f>industrie!O22</f>
        <v>0</v>
      </c>
      <c r="Q43" s="763">
        <f>industrie!P22</f>
        <v>0</v>
      </c>
      <c r="R43" s="841">
        <f t="shared" ca="1" si="4"/>
        <v>1835.2094377242668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9850.6939986949801</v>
      </c>
      <c r="D46" s="721">
        <f t="shared" ref="D46:Q46" ca="1" si="5">SUM(D39:D45)</f>
        <v>0</v>
      </c>
      <c r="E46" s="721">
        <f t="shared" ca="1" si="5"/>
        <v>21256.34511417455</v>
      </c>
      <c r="F46" s="721">
        <f t="shared" si="5"/>
        <v>1825.1906154795213</v>
      </c>
      <c r="G46" s="721">
        <f t="shared" ca="1" si="5"/>
        <v>2906.737165034815</v>
      </c>
      <c r="H46" s="721">
        <f t="shared" si="5"/>
        <v>0</v>
      </c>
      <c r="I46" s="721">
        <f t="shared" si="5"/>
        <v>0</v>
      </c>
      <c r="J46" s="721">
        <f t="shared" si="5"/>
        <v>0</v>
      </c>
      <c r="K46" s="721">
        <f t="shared" si="5"/>
        <v>407.2979266811551</v>
      </c>
      <c r="L46" s="721">
        <f t="shared" si="5"/>
        <v>0</v>
      </c>
      <c r="M46" s="721">
        <f t="shared" ca="1" si="5"/>
        <v>0</v>
      </c>
      <c r="N46" s="721">
        <f t="shared" si="5"/>
        <v>0</v>
      </c>
      <c r="O46" s="721">
        <f t="shared" ca="1" si="5"/>
        <v>0</v>
      </c>
      <c r="P46" s="721">
        <f t="shared" si="5"/>
        <v>0</v>
      </c>
      <c r="Q46" s="721">
        <f t="shared" si="5"/>
        <v>0</v>
      </c>
      <c r="R46" s="721">
        <f ca="1">SUM(R39:R45)</f>
        <v>36246.264820065029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380.60081580771941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380.60081580771941</v>
      </c>
    </row>
    <row r="50" spans="1:18">
      <c r="A50" s="817" t="s">
        <v>306</v>
      </c>
      <c r="B50" s="827"/>
      <c r="C50" s="692">
        <f ca="1">transport!B18</f>
        <v>1.0239085417430149</v>
      </c>
      <c r="D50" s="692">
        <f>transport!C18</f>
        <v>0</v>
      </c>
      <c r="E50" s="692">
        <f>transport!D18</f>
        <v>1.9600385306004651</v>
      </c>
      <c r="F50" s="692">
        <f>transport!E18</f>
        <v>85.151397591194907</v>
      </c>
      <c r="G50" s="692">
        <f>transport!F18</f>
        <v>0</v>
      </c>
      <c r="H50" s="692">
        <f>transport!G18</f>
        <v>35340.024320618497</v>
      </c>
      <c r="I50" s="692">
        <f>transport!H18</f>
        <v>4464.8458376207873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39893.005502902823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1.0239085417430149</v>
      </c>
      <c r="D52" s="721">
        <f t="shared" ref="D52:Q52" ca="1" si="6">SUM(D48:D51)</f>
        <v>0</v>
      </c>
      <c r="E52" s="721">
        <f t="shared" si="6"/>
        <v>1.9600385306004651</v>
      </c>
      <c r="F52" s="721">
        <f t="shared" si="6"/>
        <v>85.151397591194907</v>
      </c>
      <c r="G52" s="721">
        <f t="shared" si="6"/>
        <v>0</v>
      </c>
      <c r="H52" s="721">
        <f t="shared" si="6"/>
        <v>35720.625136426213</v>
      </c>
      <c r="I52" s="721">
        <f t="shared" si="6"/>
        <v>4464.8458376207873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40273.606318710539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293.55029759274368</v>
      </c>
      <c r="D54" s="692">
        <f ca="1">+landbouw!C12</f>
        <v>2580.7197478991602</v>
      </c>
      <c r="E54" s="692">
        <f>+landbouw!D12</f>
        <v>734.14854609620477</v>
      </c>
      <c r="F54" s="692">
        <f>+landbouw!E12</f>
        <v>4.4680438364337025</v>
      </c>
      <c r="G54" s="692">
        <f>+landbouw!F12</f>
        <v>1438.9261741008577</v>
      </c>
      <c r="H54" s="692">
        <f>+landbouw!G12</f>
        <v>0</v>
      </c>
      <c r="I54" s="692">
        <f>+landbouw!H12</f>
        <v>0</v>
      </c>
      <c r="J54" s="692">
        <f>+landbouw!I12</f>
        <v>0</v>
      </c>
      <c r="K54" s="692">
        <f>+landbouw!J12</f>
        <v>83.156249526888914</v>
      </c>
      <c r="L54" s="692">
        <f>+landbouw!K12</f>
        <v>0</v>
      </c>
      <c r="M54" s="692">
        <f>+landbouw!L12</f>
        <v>0</v>
      </c>
      <c r="N54" s="692">
        <f>+landbouw!M12</f>
        <v>0</v>
      </c>
      <c r="O54" s="692">
        <f>+landbouw!N12</f>
        <v>0</v>
      </c>
      <c r="P54" s="692">
        <f>+landbouw!O12</f>
        <v>0</v>
      </c>
      <c r="Q54" s="693">
        <f>+landbouw!P12</f>
        <v>0</v>
      </c>
      <c r="R54" s="720">
        <f ca="1">SUM(C54:Q54)</f>
        <v>5134.9690590522887</v>
      </c>
    </row>
    <row r="55" spans="1:18" ht="15" thickBot="1">
      <c r="A55" s="817" t="s">
        <v>856</v>
      </c>
      <c r="B55" s="827"/>
      <c r="C55" s="692">
        <f ca="1">C25*'EF ele_warmte'!B12</f>
        <v>233.56290034845324</v>
      </c>
      <c r="D55" s="692"/>
      <c r="E55" s="692">
        <f>E25*EF_CO2_aardgas</f>
        <v>613.42639235630315</v>
      </c>
      <c r="F55" s="692"/>
      <c r="G55" s="692"/>
      <c r="H55" s="692"/>
      <c r="I55" s="692"/>
      <c r="J55" s="692"/>
      <c r="K55" s="692"/>
      <c r="L55" s="692"/>
      <c r="M55" s="692"/>
      <c r="N55" s="692"/>
      <c r="O55" s="692"/>
      <c r="P55" s="692"/>
      <c r="Q55" s="693"/>
      <c r="R55" s="720">
        <f ca="1">SUM(C55:Q55)</f>
        <v>846.98929270475639</v>
      </c>
    </row>
    <row r="56" spans="1:18" ht="15.75" thickBot="1">
      <c r="A56" s="815" t="s">
        <v>857</v>
      </c>
      <c r="B56" s="828"/>
      <c r="C56" s="721">
        <f ca="1">SUM(C54:C55)</f>
        <v>527.11319794119686</v>
      </c>
      <c r="D56" s="721">
        <f t="shared" ref="D56:Q56" ca="1" si="7">SUM(D54:D55)</f>
        <v>2580.7197478991602</v>
      </c>
      <c r="E56" s="721">
        <f t="shared" si="7"/>
        <v>1347.5749384525079</v>
      </c>
      <c r="F56" s="721">
        <f t="shared" si="7"/>
        <v>4.4680438364337025</v>
      </c>
      <c r="G56" s="721">
        <f t="shared" si="7"/>
        <v>1438.9261741008577</v>
      </c>
      <c r="H56" s="721">
        <f t="shared" si="7"/>
        <v>0</v>
      </c>
      <c r="I56" s="721">
        <f t="shared" si="7"/>
        <v>0</v>
      </c>
      <c r="J56" s="721">
        <f t="shared" si="7"/>
        <v>0</v>
      </c>
      <c r="K56" s="721">
        <f t="shared" si="7"/>
        <v>83.156249526888914</v>
      </c>
      <c r="L56" s="721">
        <f t="shared" si="7"/>
        <v>0</v>
      </c>
      <c r="M56" s="721">
        <f t="shared" si="7"/>
        <v>0</v>
      </c>
      <c r="N56" s="721">
        <f t="shared" si="7"/>
        <v>0</v>
      </c>
      <c r="O56" s="721">
        <f t="shared" si="7"/>
        <v>0</v>
      </c>
      <c r="P56" s="721">
        <f t="shared" si="7"/>
        <v>0</v>
      </c>
      <c r="Q56" s="722">
        <f t="shared" si="7"/>
        <v>0</v>
      </c>
      <c r="R56" s="723">
        <f ca="1">SUM(R54:R55)</f>
        <v>5981.9583517570454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10378.83110517792</v>
      </c>
      <c r="D61" s="729">
        <f t="shared" ref="D61:Q61" ca="1" si="8">D46+D52+D56</f>
        <v>2580.7197478991602</v>
      </c>
      <c r="E61" s="729">
        <f t="shared" ca="1" si="8"/>
        <v>22605.880091157658</v>
      </c>
      <c r="F61" s="729">
        <f t="shared" si="8"/>
        <v>1914.8100569071498</v>
      </c>
      <c r="G61" s="729">
        <f t="shared" ca="1" si="8"/>
        <v>4345.6633391356727</v>
      </c>
      <c r="H61" s="729">
        <f t="shared" si="8"/>
        <v>35720.625136426213</v>
      </c>
      <c r="I61" s="729">
        <f t="shared" si="8"/>
        <v>4464.8458376207873</v>
      </c>
      <c r="J61" s="729">
        <f t="shared" si="8"/>
        <v>0</v>
      </c>
      <c r="K61" s="729">
        <f t="shared" si="8"/>
        <v>490.45417620804403</v>
      </c>
      <c r="L61" s="729">
        <f t="shared" si="8"/>
        <v>0</v>
      </c>
      <c r="M61" s="729">
        <f t="shared" ca="1" si="8"/>
        <v>0</v>
      </c>
      <c r="N61" s="729">
        <f t="shared" si="8"/>
        <v>0</v>
      </c>
      <c r="O61" s="729">
        <f t="shared" ca="1" si="8"/>
        <v>0</v>
      </c>
      <c r="P61" s="729">
        <f t="shared" si="8"/>
        <v>0</v>
      </c>
      <c r="Q61" s="729">
        <f t="shared" si="8"/>
        <v>0</v>
      </c>
      <c r="R61" s="729">
        <f ca="1">R46+R52+R56</f>
        <v>82501.829490532618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0.18793423619602628</v>
      </c>
      <c r="D63" s="772">
        <f t="shared" ca="1" si="9"/>
        <v>0.1599861688224159</v>
      </c>
      <c r="E63" s="998">
        <f t="shared" ca="1" si="9"/>
        <v>0.20199999999999999</v>
      </c>
      <c r="F63" s="772">
        <f t="shared" si="9"/>
        <v>0.22699999999999998</v>
      </c>
      <c r="G63" s="772">
        <f t="shared" ca="1" si="9"/>
        <v>0.26700000000000007</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5145.4306232674207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3689.9999999999995</v>
      </c>
      <c r="C76" s="739">
        <f>'lokale energieproductie'!B8*IFERROR(SUM(D76:H76)/SUM(D76:O76),0)</f>
        <v>7601.6249999999991</v>
      </c>
      <c r="D76" s="1008">
        <f>'lokale energieproductie'!C8</f>
        <v>8943.0882352941171</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4341.1764705882351</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1806.5038235294119</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8835.4306232674207</v>
      </c>
      <c r="C78" s="744">
        <f>SUM(C72:C77)</f>
        <v>7601.6249999999991</v>
      </c>
      <c r="D78" s="745">
        <f t="shared" ref="D78:H78" si="10">SUM(D76:D77)</f>
        <v>8943.0882352941171</v>
      </c>
      <c r="E78" s="745">
        <f t="shared" si="10"/>
        <v>0</v>
      </c>
      <c r="F78" s="745">
        <f t="shared" si="10"/>
        <v>0</v>
      </c>
      <c r="G78" s="745">
        <f t="shared" si="10"/>
        <v>0</v>
      </c>
      <c r="H78" s="745">
        <f t="shared" si="10"/>
        <v>0</v>
      </c>
      <c r="I78" s="745">
        <f>SUM(I76:I77)</f>
        <v>0</v>
      </c>
      <c r="J78" s="745">
        <f>SUM(J76:J77)</f>
        <v>4341.1764705882351</v>
      </c>
      <c r="K78" s="745">
        <f t="shared" ref="K78:L78" si="11">SUM(K76:K77)</f>
        <v>0</v>
      </c>
      <c r="L78" s="745">
        <f t="shared" si="11"/>
        <v>0</v>
      </c>
      <c r="M78" s="745">
        <f>SUM(M76:M77)</f>
        <v>0</v>
      </c>
      <c r="N78" s="745">
        <f>SUM(N76:N77)</f>
        <v>0</v>
      </c>
      <c r="O78" s="852">
        <f>SUM(O76:O77)</f>
        <v>0</v>
      </c>
      <c r="P78" s="746">
        <v>0</v>
      </c>
      <c r="Q78" s="746">
        <f>SUM(Q76:Q77)</f>
        <v>1806.5038235294119</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5271.4285714285716</v>
      </c>
      <c r="C87" s="755">
        <f>'lokale energieproductie'!B17*IFERROR(SUM(D87:H87)/SUM(D87:O87),0)</f>
        <v>10859.464285714288</v>
      </c>
      <c r="D87" s="766">
        <f>'lokale energieproductie'!C17</f>
        <v>12775.840336134455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6201.680672268908</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2580.7197478991602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5271.4285714285716</v>
      </c>
      <c r="C90" s="744">
        <f>SUM(C87:C89)</f>
        <v>10859.464285714288</v>
      </c>
      <c r="D90" s="744">
        <f t="shared" ref="D90:H90" si="12">SUM(D87:D89)</f>
        <v>12775.840336134455</v>
      </c>
      <c r="E90" s="744">
        <f t="shared" si="12"/>
        <v>0</v>
      </c>
      <c r="F90" s="744">
        <f t="shared" si="12"/>
        <v>0</v>
      </c>
      <c r="G90" s="744">
        <f t="shared" si="12"/>
        <v>0</v>
      </c>
      <c r="H90" s="744">
        <f t="shared" si="12"/>
        <v>0</v>
      </c>
      <c r="I90" s="744">
        <f>SUM(I87:I89)</f>
        <v>0</v>
      </c>
      <c r="J90" s="744">
        <f>SUM(J87:J89)</f>
        <v>6201.680672268908</v>
      </c>
      <c r="K90" s="744">
        <f t="shared" ref="K90:L90" si="13">SUM(K87:K89)</f>
        <v>0</v>
      </c>
      <c r="L90" s="744">
        <f t="shared" si="13"/>
        <v>0</v>
      </c>
      <c r="M90" s="744">
        <f>SUM(M87:M89)</f>
        <v>0</v>
      </c>
      <c r="N90" s="744">
        <f>SUM(N87:N89)</f>
        <v>0</v>
      </c>
      <c r="O90" s="744">
        <f>SUM(O87:O89)</f>
        <v>0</v>
      </c>
      <c r="P90" s="744">
        <v>0</v>
      </c>
      <c r="Q90" s="744">
        <f>SUM(Q87:Q89)</f>
        <v>2580.7197478991602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5145.4306232674207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11291.625</v>
      </c>
      <c r="C8" s="556">
        <f>B50</f>
        <v>8943.0882352941171</v>
      </c>
      <c r="D8" s="1015"/>
      <c r="E8" s="1015">
        <f>E50</f>
        <v>0</v>
      </c>
      <c r="F8" s="1016"/>
      <c r="G8" s="557"/>
      <c r="H8" s="1015">
        <f>I50</f>
        <v>0</v>
      </c>
      <c r="I8" s="1015">
        <f>G50+F50</f>
        <v>0</v>
      </c>
      <c r="J8" s="1015">
        <f>H50+D50+C50</f>
        <v>4341.1764705882351</v>
      </c>
      <c r="K8" s="1015"/>
      <c r="L8" s="1015"/>
      <c r="M8" s="1015"/>
      <c r="N8" s="558"/>
      <c r="O8" s="559">
        <f>C8*$C$12+D8*$D$12+E8*$E$12+F8*$F$12+G8*$G$12+H8*$H$12+I8*$I$12+J8*$J$12</f>
        <v>1806.5038235294119</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16437.055623267421</v>
      </c>
      <c r="C10" s="569">
        <f t="shared" ref="C10:L10" si="0">SUM(C8:C9)</f>
        <v>8943.0882352941171</v>
      </c>
      <c r="D10" s="569">
        <f t="shared" si="0"/>
        <v>0</v>
      </c>
      <c r="E10" s="569">
        <f t="shared" si="0"/>
        <v>0</v>
      </c>
      <c r="F10" s="569">
        <f t="shared" si="0"/>
        <v>0</v>
      </c>
      <c r="G10" s="569">
        <f t="shared" si="0"/>
        <v>0</v>
      </c>
      <c r="H10" s="569">
        <f t="shared" si="0"/>
        <v>0</v>
      </c>
      <c r="I10" s="569">
        <f t="shared" si="0"/>
        <v>0</v>
      </c>
      <c r="J10" s="569">
        <f t="shared" si="0"/>
        <v>4341.1764705882351</v>
      </c>
      <c r="K10" s="569">
        <f t="shared" si="0"/>
        <v>0</v>
      </c>
      <c r="L10" s="569">
        <f t="shared" si="0"/>
        <v>0</v>
      </c>
      <c r="M10" s="1018"/>
      <c r="N10" s="1018"/>
      <c r="O10" s="570">
        <f>SUM(O4:O9)</f>
        <v>1806.5038235294119</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16130.892857142859</v>
      </c>
      <c r="C17" s="581">
        <f>B51</f>
        <v>12775.840336134455</v>
      </c>
      <c r="D17" s="582"/>
      <c r="E17" s="582">
        <f>E51</f>
        <v>0</v>
      </c>
      <c r="F17" s="1021"/>
      <c r="G17" s="583"/>
      <c r="H17" s="581">
        <f>I51</f>
        <v>0</v>
      </c>
      <c r="I17" s="582">
        <f>G51+F51</f>
        <v>0</v>
      </c>
      <c r="J17" s="582">
        <f>H51+D51+C51</f>
        <v>6201.680672268908</v>
      </c>
      <c r="K17" s="582"/>
      <c r="L17" s="582"/>
      <c r="M17" s="582"/>
      <c r="N17" s="1022"/>
      <c r="O17" s="584">
        <f>C17*$C$22+E17*$E$22+H17*$H$22+I17*$I$22+J17*$J$22+D17*$D$22+F17*$F$22+G17*$G$22+K17*$K$22+L17*$L$22</f>
        <v>2580.7197478991602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16130.892857142859</v>
      </c>
      <c r="C20" s="568">
        <f>SUM(C17:C19)</f>
        <v>12775.840336134455</v>
      </c>
      <c r="D20" s="568">
        <f t="shared" ref="D20:L20" si="1">SUM(D17:D19)</f>
        <v>0</v>
      </c>
      <c r="E20" s="568">
        <f t="shared" si="1"/>
        <v>0</v>
      </c>
      <c r="F20" s="568">
        <f t="shared" si="1"/>
        <v>0</v>
      </c>
      <c r="G20" s="568">
        <f t="shared" si="1"/>
        <v>0</v>
      </c>
      <c r="H20" s="568">
        <f t="shared" si="1"/>
        <v>0</v>
      </c>
      <c r="I20" s="568">
        <f t="shared" si="1"/>
        <v>0</v>
      </c>
      <c r="J20" s="568">
        <f t="shared" si="1"/>
        <v>6201.680672268908</v>
      </c>
      <c r="K20" s="568">
        <f t="shared" si="1"/>
        <v>0</v>
      </c>
      <c r="L20" s="568">
        <f t="shared" si="1"/>
        <v>0</v>
      </c>
      <c r="M20" s="568"/>
      <c r="N20" s="568"/>
      <c r="O20" s="588">
        <f>SUM(O17:O19)</f>
        <v>2580.7197478991602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46024</v>
      </c>
      <c r="C28" s="787">
        <v>9190</v>
      </c>
      <c r="D28" s="640" t="s">
        <v>920</v>
      </c>
      <c r="E28" s="639" t="s">
        <v>921</v>
      </c>
      <c r="F28" s="639" t="s">
        <v>922</v>
      </c>
      <c r="G28" s="639" t="s">
        <v>923</v>
      </c>
      <c r="H28" s="639" t="s">
        <v>924</v>
      </c>
      <c r="I28" s="639" t="s">
        <v>921</v>
      </c>
      <c r="J28" s="786">
        <v>39904</v>
      </c>
      <c r="K28" s="786">
        <v>39913</v>
      </c>
      <c r="L28" s="639" t="s">
        <v>925</v>
      </c>
      <c r="M28" s="639">
        <v>1562</v>
      </c>
      <c r="N28" s="639">
        <v>7029</v>
      </c>
      <c r="O28" s="639">
        <v>10041.428571428572</v>
      </c>
      <c r="P28" s="639">
        <v>20082.857142857145</v>
      </c>
      <c r="Q28" s="639">
        <v>0</v>
      </c>
      <c r="R28" s="639">
        <v>0</v>
      </c>
      <c r="S28" s="639">
        <v>0</v>
      </c>
      <c r="T28" s="639">
        <v>0</v>
      </c>
      <c r="U28" s="639">
        <v>0</v>
      </c>
      <c r="V28" s="639">
        <v>0</v>
      </c>
      <c r="W28" s="639">
        <v>0</v>
      </c>
      <c r="X28" s="639">
        <v>10</v>
      </c>
      <c r="Y28" s="639" t="s">
        <v>111</v>
      </c>
      <c r="Z28" s="641" t="s">
        <v>111</v>
      </c>
    </row>
    <row r="29" spans="1:26" s="593" customFormat="1" ht="25.5">
      <c r="A29" s="592"/>
      <c r="B29" s="787">
        <v>46024</v>
      </c>
      <c r="C29" s="787">
        <v>9190</v>
      </c>
      <c r="D29" s="640" t="s">
        <v>926</v>
      </c>
      <c r="E29" s="639" t="s">
        <v>927</v>
      </c>
      <c r="F29" s="639" t="s">
        <v>928</v>
      </c>
      <c r="G29" s="639" t="s">
        <v>923</v>
      </c>
      <c r="H29" s="639" t="s">
        <v>924</v>
      </c>
      <c r="I29" s="639" t="s">
        <v>929</v>
      </c>
      <c r="J29" s="786">
        <v>40918</v>
      </c>
      <c r="K29" s="786">
        <v>40918</v>
      </c>
      <c r="L29" s="639" t="s">
        <v>930</v>
      </c>
      <c r="M29" s="639">
        <v>820</v>
      </c>
      <c r="N29" s="639">
        <v>3690</v>
      </c>
      <c r="O29" s="639">
        <v>5271.4285714285716</v>
      </c>
      <c r="P29" s="639">
        <v>0</v>
      </c>
      <c r="Q29" s="639">
        <v>0</v>
      </c>
      <c r="R29" s="639">
        <v>0</v>
      </c>
      <c r="S29" s="639">
        <v>0</v>
      </c>
      <c r="T29" s="639">
        <v>0</v>
      </c>
      <c r="U29" s="639">
        <v>0</v>
      </c>
      <c r="V29" s="639">
        <v>10542.857142857143</v>
      </c>
      <c r="W29" s="639">
        <v>0</v>
      </c>
      <c r="X29" s="639">
        <v>10</v>
      </c>
      <c r="Y29" s="639" t="s">
        <v>111</v>
      </c>
      <c r="Z29" s="641" t="s">
        <v>111</v>
      </c>
    </row>
    <row r="30" spans="1:26" s="593" customFormat="1" ht="25.5">
      <c r="A30" s="592"/>
      <c r="B30" s="787">
        <v>46024</v>
      </c>
      <c r="C30" s="787">
        <v>9190</v>
      </c>
      <c r="D30" s="640" t="s">
        <v>931</v>
      </c>
      <c r="E30" s="639" t="s">
        <v>932</v>
      </c>
      <c r="F30" s="639" t="s">
        <v>933</v>
      </c>
      <c r="G30" s="639" t="s">
        <v>923</v>
      </c>
      <c r="H30" s="639" t="s">
        <v>924</v>
      </c>
      <c r="I30" s="639" t="s">
        <v>932</v>
      </c>
      <c r="J30" s="786">
        <v>41516</v>
      </c>
      <c r="K30" s="786">
        <v>41526</v>
      </c>
      <c r="L30" s="639" t="s">
        <v>925</v>
      </c>
      <c r="M30" s="639">
        <v>509</v>
      </c>
      <c r="N30" s="639">
        <v>572.625</v>
      </c>
      <c r="O30" s="639">
        <v>818.03571428571433</v>
      </c>
      <c r="P30" s="639">
        <v>1636.0714285714287</v>
      </c>
      <c r="Q30" s="639">
        <v>0</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2891</v>
      </c>
      <c r="N31" s="597">
        <f>SUM(N28:N30)</f>
        <v>11291.625</v>
      </c>
      <c r="O31" s="597">
        <f>SUM(O28:O30)</f>
        <v>16130.892857142859</v>
      </c>
      <c r="P31" s="597">
        <f>SUM(P28:P30)</f>
        <v>21718.928571428572</v>
      </c>
      <c r="Q31" s="597">
        <f>SUM(Q28:Q30)</f>
        <v>0</v>
      </c>
      <c r="R31" s="597">
        <f>SUM(R28:R30)</f>
        <v>0</v>
      </c>
      <c r="S31" s="597">
        <f>SUM(S28:S30)</f>
        <v>0</v>
      </c>
      <c r="T31" s="597">
        <f>SUM(T28:T30)</f>
        <v>0</v>
      </c>
      <c r="U31" s="597">
        <f>SUM(U28:U30)</f>
        <v>0</v>
      </c>
      <c r="V31" s="597">
        <f>SUM(V28:V30)</f>
        <v>10542.857142857143</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2891</v>
      </c>
      <c r="N34" s="602">
        <f>SUMIF($Z$28:$Z$30,"landbouw",N28:N30)</f>
        <v>11291.625</v>
      </c>
      <c r="O34" s="602">
        <f>SUMIF($Z$28:$Z$30,"landbouw",O28:O30)</f>
        <v>16130.892857142859</v>
      </c>
      <c r="P34" s="602">
        <f>SUMIF($Z$28:$Z$30,"landbouw",P28:P30)</f>
        <v>21718.928571428572</v>
      </c>
      <c r="Q34" s="602">
        <f>SUMIF($Z$28:$Z$30,"landbouw",Q28:Q30)</f>
        <v>0</v>
      </c>
      <c r="R34" s="602">
        <f>SUMIF($Z$28:$Z$30,"landbouw",R28:R30)</f>
        <v>0</v>
      </c>
      <c r="S34" s="602">
        <f>SUMIF($Z$28:$Z$30,"landbouw",S28:S30)</f>
        <v>0</v>
      </c>
      <c r="T34" s="602">
        <f>SUMIF($Z$28:$Z$30,"landbouw",T28:T30)</f>
        <v>0</v>
      </c>
      <c r="U34" s="602">
        <f>SUMIF($Z$28:$Z$30,"landbouw",U28:U30)</f>
        <v>0</v>
      </c>
      <c r="V34" s="602">
        <f>SUMIF($Z$28:$Z$30,"landbouw",V28:V30)</f>
        <v>10542.857142857143</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8943.0882352941171</v>
      </c>
      <c r="C50" s="631">
        <f t="shared" si="2"/>
        <v>0</v>
      </c>
      <c r="D50" s="631">
        <f t="shared" si="2"/>
        <v>0</v>
      </c>
      <c r="E50" s="631">
        <f t="shared" si="2"/>
        <v>0</v>
      </c>
      <c r="F50" s="631">
        <f t="shared" si="2"/>
        <v>0</v>
      </c>
      <c r="G50" s="631">
        <f t="shared" si="2"/>
        <v>0</v>
      </c>
      <c r="H50" s="631">
        <f t="shared" si="2"/>
        <v>4341.1764705882351</v>
      </c>
      <c r="I50" s="632">
        <f t="shared" si="2"/>
        <v>0</v>
      </c>
      <c r="J50" s="589"/>
      <c r="K50" s="589"/>
      <c r="L50" s="627"/>
      <c r="M50" s="627"/>
      <c r="N50" s="627"/>
      <c r="O50" s="614"/>
      <c r="P50" s="614"/>
    </row>
    <row r="51" spans="1:16" ht="15.75" thickBot="1">
      <c r="A51" s="633" t="s">
        <v>285</v>
      </c>
      <c r="B51" s="634">
        <f t="shared" ref="B51:I51" si="3">$B$47*P31</f>
        <v>12775.840336134455</v>
      </c>
      <c r="C51" s="634">
        <f t="shared" si="3"/>
        <v>0</v>
      </c>
      <c r="D51" s="634">
        <f t="shared" si="3"/>
        <v>0</v>
      </c>
      <c r="E51" s="634">
        <f t="shared" si="3"/>
        <v>0</v>
      </c>
      <c r="F51" s="634">
        <f t="shared" si="3"/>
        <v>0</v>
      </c>
      <c r="G51" s="634">
        <f t="shared" si="3"/>
        <v>0</v>
      </c>
      <c r="H51" s="634">
        <f t="shared" si="3"/>
        <v>6201.680672268908</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33519.915813506916</v>
      </c>
      <c r="C4" s="458">
        <f>huishoudens!C8</f>
        <v>0</v>
      </c>
      <c r="D4" s="458">
        <f>huishoudens!D8</f>
        <v>84177.405115018744</v>
      </c>
      <c r="E4" s="458">
        <f>huishoudens!E8</f>
        <v>7335.6731333900316</v>
      </c>
      <c r="F4" s="458">
        <f>huishoudens!F8</f>
        <v>5874.2176444136967</v>
      </c>
      <c r="G4" s="458">
        <f>huishoudens!G8</f>
        <v>0</v>
      </c>
      <c r="H4" s="458">
        <f>huishoudens!H8</f>
        <v>0</v>
      </c>
      <c r="I4" s="458">
        <f>huishoudens!I8</f>
        <v>0</v>
      </c>
      <c r="J4" s="458">
        <f>huishoudens!J8</f>
        <v>1147.6449751869859</v>
      </c>
      <c r="K4" s="458">
        <f>huishoudens!K8</f>
        <v>0</v>
      </c>
      <c r="L4" s="458">
        <f>huishoudens!L8</f>
        <v>0</v>
      </c>
      <c r="M4" s="458">
        <f>huishoudens!M8</f>
        <v>0</v>
      </c>
      <c r="N4" s="458">
        <f>huishoudens!N8</f>
        <v>27920.631595401042</v>
      </c>
      <c r="O4" s="458">
        <f>huishoudens!O8</f>
        <v>140.70000000000002</v>
      </c>
      <c r="P4" s="459">
        <f>huishoudens!P8</f>
        <v>457.6</v>
      </c>
      <c r="Q4" s="460">
        <f>SUM(B4:P4)</f>
        <v>160573.78827691745</v>
      </c>
    </row>
    <row r="5" spans="1:17">
      <c r="A5" s="457" t="s">
        <v>155</v>
      </c>
      <c r="B5" s="458">
        <f ca="1">tertiair!B16</f>
        <v>14669.959512116358</v>
      </c>
      <c r="C5" s="458">
        <f ca="1">tertiair!C16</f>
        <v>0</v>
      </c>
      <c r="D5" s="458">
        <f ca="1">tertiair!D16</f>
        <v>17958.132728570297</v>
      </c>
      <c r="E5" s="458">
        <f>tertiair!E16</f>
        <v>216.56058905729398</v>
      </c>
      <c r="F5" s="458">
        <f ca="1">tertiair!F16</f>
        <v>3052.0689370509576</v>
      </c>
      <c r="G5" s="458">
        <f>tertiair!G16</f>
        <v>0</v>
      </c>
      <c r="H5" s="458">
        <f>tertiair!H16</f>
        <v>0</v>
      </c>
      <c r="I5" s="458">
        <f>tertiair!I16</f>
        <v>0</v>
      </c>
      <c r="J5" s="458">
        <f>tertiair!J16</f>
        <v>0</v>
      </c>
      <c r="K5" s="458">
        <f>tertiair!K16</f>
        <v>0</v>
      </c>
      <c r="L5" s="458">
        <f ca="1">tertiair!L16</f>
        <v>0</v>
      </c>
      <c r="M5" s="458">
        <f>tertiair!M16</f>
        <v>0</v>
      </c>
      <c r="N5" s="458">
        <f ca="1">tertiair!N16</f>
        <v>1783.2651171534214</v>
      </c>
      <c r="O5" s="458">
        <f>tertiair!O16</f>
        <v>3.1266666666666669</v>
      </c>
      <c r="P5" s="459">
        <f>tertiair!P16</f>
        <v>0</v>
      </c>
      <c r="Q5" s="457">
        <f t="shared" ref="Q5:Q14" ca="1" si="0">SUM(B5:P5)</f>
        <v>37683.113550614995</v>
      </c>
    </row>
    <row r="6" spans="1:17">
      <c r="A6" s="457" t="s">
        <v>193</v>
      </c>
      <c r="B6" s="458">
        <f>'openbare verlichting'!B8</f>
        <v>1166.405</v>
      </c>
      <c r="C6" s="458"/>
      <c r="D6" s="458"/>
      <c r="E6" s="458"/>
      <c r="F6" s="458"/>
      <c r="G6" s="458"/>
      <c r="H6" s="458"/>
      <c r="I6" s="458"/>
      <c r="J6" s="458"/>
      <c r="K6" s="458"/>
      <c r="L6" s="458"/>
      <c r="M6" s="458"/>
      <c r="N6" s="458"/>
      <c r="O6" s="458"/>
      <c r="P6" s="459"/>
      <c r="Q6" s="457">
        <f t="shared" si="0"/>
        <v>1166.405</v>
      </c>
    </row>
    <row r="7" spans="1:17">
      <c r="A7" s="457" t="s">
        <v>111</v>
      </c>
      <c r="B7" s="458">
        <f>landbouw!B8</f>
        <v>1561.98414687228</v>
      </c>
      <c r="C7" s="458">
        <f>landbouw!C8</f>
        <v>16130.892857142859</v>
      </c>
      <c r="D7" s="458">
        <f>landbouw!D8</f>
        <v>3634.3987430505185</v>
      </c>
      <c r="E7" s="458">
        <f>landbouw!E8</f>
        <v>19.683012495302652</v>
      </c>
      <c r="F7" s="458">
        <f>landbouw!F8</f>
        <v>5389.2366071193164</v>
      </c>
      <c r="G7" s="458">
        <f>landbouw!G8</f>
        <v>0</v>
      </c>
      <c r="H7" s="458">
        <f>landbouw!H8</f>
        <v>0</v>
      </c>
      <c r="I7" s="458">
        <f>landbouw!I8</f>
        <v>0</v>
      </c>
      <c r="J7" s="458">
        <f>landbouw!J8</f>
        <v>234.90465968047715</v>
      </c>
      <c r="K7" s="458">
        <f>landbouw!K8</f>
        <v>0</v>
      </c>
      <c r="L7" s="458">
        <f>landbouw!L8</f>
        <v>0</v>
      </c>
      <c r="M7" s="458">
        <f>landbouw!M8</f>
        <v>0</v>
      </c>
      <c r="N7" s="458">
        <f>landbouw!N8</f>
        <v>0</v>
      </c>
      <c r="O7" s="458">
        <f>landbouw!O8</f>
        <v>0</v>
      </c>
      <c r="P7" s="459">
        <f>landbouw!P8</f>
        <v>0</v>
      </c>
      <c r="Q7" s="457">
        <f t="shared" si="0"/>
        <v>26971.100026360753</v>
      </c>
    </row>
    <row r="8" spans="1:17">
      <c r="A8" s="457" t="s">
        <v>655</v>
      </c>
      <c r="B8" s="458">
        <f>industrie!B18</f>
        <v>3059.3635617423911</v>
      </c>
      <c r="C8" s="458">
        <f>industrie!C18</f>
        <v>0</v>
      </c>
      <c r="D8" s="458">
        <f>industrie!D18</f>
        <v>3093.8934147008085</v>
      </c>
      <c r="E8" s="458">
        <f>industrie!E18</f>
        <v>488.2535704140015</v>
      </c>
      <c r="F8" s="458">
        <f>industrie!F18</f>
        <v>1960.3694673548769</v>
      </c>
      <c r="G8" s="458">
        <f>industrie!G18</f>
        <v>0</v>
      </c>
      <c r="H8" s="458">
        <f>industrie!H18</f>
        <v>0</v>
      </c>
      <c r="I8" s="458">
        <f>industrie!I18</f>
        <v>0</v>
      </c>
      <c r="J8" s="458">
        <f>industrie!J18</f>
        <v>2.9141397315314466</v>
      </c>
      <c r="K8" s="458">
        <f>industrie!K18</f>
        <v>0</v>
      </c>
      <c r="L8" s="458">
        <f>industrie!L18</f>
        <v>0</v>
      </c>
      <c r="M8" s="458">
        <f>industrie!M18</f>
        <v>0</v>
      </c>
      <c r="N8" s="458">
        <f>industrie!N18</f>
        <v>312.4833872135585</v>
      </c>
      <c r="O8" s="458">
        <f>industrie!O18</f>
        <v>0</v>
      </c>
      <c r="P8" s="459">
        <f>industrie!P18</f>
        <v>0</v>
      </c>
      <c r="Q8" s="457">
        <f t="shared" si="0"/>
        <v>8917.2775411571674</v>
      </c>
    </row>
    <row r="9" spans="1:17" s="463" customFormat="1">
      <c r="A9" s="461" t="s">
        <v>573</v>
      </c>
      <c r="B9" s="462">
        <f>transport!B14</f>
        <v>5.448227861340917</v>
      </c>
      <c r="C9" s="462">
        <f>transport!C14</f>
        <v>0</v>
      </c>
      <c r="D9" s="462">
        <f>transport!D14</f>
        <v>9.7031610425765589</v>
      </c>
      <c r="E9" s="462">
        <f>transport!E14</f>
        <v>375.11628894799514</v>
      </c>
      <c r="F9" s="462">
        <f>transport!F14</f>
        <v>0</v>
      </c>
      <c r="G9" s="462">
        <f>transport!G14</f>
        <v>132359.64165025653</v>
      </c>
      <c r="H9" s="462">
        <f>transport!H14</f>
        <v>17931.107781609586</v>
      </c>
      <c r="I9" s="462">
        <f>transport!I14</f>
        <v>0</v>
      </c>
      <c r="J9" s="462">
        <f>transport!J14</f>
        <v>0</v>
      </c>
      <c r="K9" s="462">
        <f>transport!K14</f>
        <v>0</v>
      </c>
      <c r="L9" s="462">
        <f>transport!L14</f>
        <v>0</v>
      </c>
      <c r="M9" s="462">
        <f>transport!M14</f>
        <v>6793.5407537438223</v>
      </c>
      <c r="N9" s="462">
        <f>transport!N14</f>
        <v>0</v>
      </c>
      <c r="O9" s="462">
        <f>transport!O14</f>
        <v>0</v>
      </c>
      <c r="P9" s="462">
        <f>transport!P14</f>
        <v>0</v>
      </c>
      <c r="Q9" s="461">
        <f>SUM(B9:P9)</f>
        <v>157474.55786346184</v>
      </c>
    </row>
    <row r="10" spans="1:17">
      <c r="A10" s="457" t="s">
        <v>563</v>
      </c>
      <c r="B10" s="458">
        <f>transport!B54</f>
        <v>0</v>
      </c>
      <c r="C10" s="458">
        <f>transport!C54</f>
        <v>0</v>
      </c>
      <c r="D10" s="458">
        <f>transport!D54</f>
        <v>0</v>
      </c>
      <c r="E10" s="458">
        <f>transport!E54</f>
        <v>0</v>
      </c>
      <c r="F10" s="458">
        <f>transport!F54</f>
        <v>0</v>
      </c>
      <c r="G10" s="458">
        <f>transport!G54</f>
        <v>1425.4712202536307</v>
      </c>
      <c r="H10" s="458">
        <f>transport!H54</f>
        <v>0</v>
      </c>
      <c r="I10" s="458">
        <f>transport!I54</f>
        <v>0</v>
      </c>
      <c r="J10" s="458">
        <f>transport!J54</f>
        <v>0</v>
      </c>
      <c r="K10" s="458">
        <f>transport!K54</f>
        <v>0</v>
      </c>
      <c r="L10" s="458">
        <f>transport!L54</f>
        <v>0</v>
      </c>
      <c r="M10" s="458">
        <f>transport!M54</f>
        <v>63.448903294688172</v>
      </c>
      <c r="N10" s="458">
        <f>transport!N54</f>
        <v>0</v>
      </c>
      <c r="O10" s="458">
        <f>transport!O54</f>
        <v>0</v>
      </c>
      <c r="P10" s="459">
        <f>transport!P54</f>
        <v>0</v>
      </c>
      <c r="Q10" s="457">
        <f t="shared" si="0"/>
        <v>1488.9201235483188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1242.7905903469</v>
      </c>
      <c r="C14" s="465"/>
      <c r="D14" s="465">
        <f>'SEAP template'!E25</f>
        <v>3036.7643185955599</v>
      </c>
      <c r="E14" s="465"/>
      <c r="F14" s="465"/>
      <c r="G14" s="465"/>
      <c r="H14" s="465"/>
      <c r="I14" s="465"/>
      <c r="J14" s="465"/>
      <c r="K14" s="465"/>
      <c r="L14" s="465"/>
      <c r="M14" s="465"/>
      <c r="N14" s="465"/>
      <c r="O14" s="465"/>
      <c r="P14" s="466"/>
      <c r="Q14" s="457">
        <f t="shared" si="0"/>
        <v>4279.5549089424603</v>
      </c>
    </row>
    <row r="15" spans="1:17" s="470" customFormat="1">
      <c r="A15" s="467" t="s">
        <v>567</v>
      </c>
      <c r="B15" s="468">
        <f ca="1">SUM(B4:B14)</f>
        <v>55225.86685244619</v>
      </c>
      <c r="C15" s="468">
        <f t="shared" ref="C15:Q15" ca="1" si="1">SUM(C4:C14)</f>
        <v>16130.892857142859</v>
      </c>
      <c r="D15" s="468">
        <f t="shared" ca="1" si="1"/>
        <v>111910.29748097851</v>
      </c>
      <c r="E15" s="468">
        <f t="shared" si="1"/>
        <v>8435.2865943046254</v>
      </c>
      <c r="F15" s="468">
        <f t="shared" ca="1" si="1"/>
        <v>16275.892655938847</v>
      </c>
      <c r="G15" s="468">
        <f t="shared" si="1"/>
        <v>133785.11287051014</v>
      </c>
      <c r="H15" s="468">
        <f t="shared" si="1"/>
        <v>17931.107781609586</v>
      </c>
      <c r="I15" s="468">
        <f t="shared" si="1"/>
        <v>0</v>
      </c>
      <c r="J15" s="468">
        <f t="shared" si="1"/>
        <v>1385.4637745989944</v>
      </c>
      <c r="K15" s="468">
        <f t="shared" si="1"/>
        <v>0</v>
      </c>
      <c r="L15" s="468">
        <f t="shared" ca="1" si="1"/>
        <v>0</v>
      </c>
      <c r="M15" s="468">
        <f t="shared" si="1"/>
        <v>6856.9896570385108</v>
      </c>
      <c r="N15" s="468">
        <f t="shared" ca="1" si="1"/>
        <v>30016.380099768019</v>
      </c>
      <c r="O15" s="468">
        <f t="shared" si="1"/>
        <v>143.82666666666668</v>
      </c>
      <c r="P15" s="468">
        <f t="shared" si="1"/>
        <v>457.6</v>
      </c>
      <c r="Q15" s="468">
        <f t="shared" ca="1" si="1"/>
        <v>398554.71729100298</v>
      </c>
    </row>
    <row r="17" spans="1:17">
      <c r="A17" s="471" t="s">
        <v>568</v>
      </c>
      <c r="B17" s="777">
        <f ca="1">huishoudens!B10</f>
        <v>0.18793423619602628</v>
      </c>
      <c r="C17" s="777">
        <f ca="1">huishoudens!C10</f>
        <v>0.1599861688224159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6299.5397757665251</v>
      </c>
      <c r="C22" s="458">
        <f t="shared" ref="C22:C32" ca="1" si="3">C4*$C$17</f>
        <v>0</v>
      </c>
      <c r="D22" s="458">
        <f t="shared" ref="D22:D32" si="4">D4*$D$17</f>
        <v>17003.835833233788</v>
      </c>
      <c r="E22" s="458">
        <f t="shared" ref="E22:E32" si="5">E4*$E$17</f>
        <v>1665.1978012795373</v>
      </c>
      <c r="F22" s="458">
        <f t="shared" ref="F22:F32" si="6">F4*$F$17</f>
        <v>1568.4161110584571</v>
      </c>
      <c r="G22" s="458">
        <f t="shared" ref="G22:G32" si="7">G4*$G$17</f>
        <v>0</v>
      </c>
      <c r="H22" s="458">
        <f t="shared" ref="H22:H32" si="8">H4*$H$17</f>
        <v>0</v>
      </c>
      <c r="I22" s="458">
        <f t="shared" ref="I22:I32" si="9">I4*$I$17</f>
        <v>0</v>
      </c>
      <c r="J22" s="458">
        <f t="shared" ref="J22:J32" si="10">J4*$J$17</f>
        <v>406.26632121619298</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26943.255842554503</v>
      </c>
    </row>
    <row r="23" spans="1:17">
      <c r="A23" s="457" t="s">
        <v>155</v>
      </c>
      <c r="B23" s="458">
        <f t="shared" ca="1" si="2"/>
        <v>2756.9876359362183</v>
      </c>
      <c r="C23" s="458">
        <f t="shared" ca="1" si="3"/>
        <v>0</v>
      </c>
      <c r="D23" s="458">
        <f t="shared" ca="1" si="4"/>
        <v>3627.5428111712004</v>
      </c>
      <c r="E23" s="458">
        <f t="shared" si="5"/>
        <v>49.159253716005736</v>
      </c>
      <c r="F23" s="458">
        <f t="shared" ca="1" si="6"/>
        <v>814.90240619260578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7248.5921070160302</v>
      </c>
    </row>
    <row r="24" spans="1:17">
      <c r="A24" s="457" t="s">
        <v>193</v>
      </c>
      <c r="B24" s="458">
        <f t="shared" ca="1" si="2"/>
        <v>219.20743277022603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219.20743277022603</v>
      </c>
    </row>
    <row r="25" spans="1:17">
      <c r="A25" s="457" t="s">
        <v>111</v>
      </c>
      <c r="B25" s="458">
        <f t="shared" ca="1" si="2"/>
        <v>293.55029759274368</v>
      </c>
      <c r="C25" s="458">
        <f t="shared" ca="1" si="3"/>
        <v>2580.7197478991602</v>
      </c>
      <c r="D25" s="458">
        <f t="shared" si="4"/>
        <v>734.14854609620477</v>
      </c>
      <c r="E25" s="458">
        <f t="shared" si="5"/>
        <v>4.4680438364337025</v>
      </c>
      <c r="F25" s="458">
        <f t="shared" si="6"/>
        <v>1438.9261741008577</v>
      </c>
      <c r="G25" s="458">
        <f t="shared" si="7"/>
        <v>0</v>
      </c>
      <c r="H25" s="458">
        <f t="shared" si="8"/>
        <v>0</v>
      </c>
      <c r="I25" s="458">
        <f t="shared" si="9"/>
        <v>0</v>
      </c>
      <c r="J25" s="458">
        <f t="shared" si="10"/>
        <v>83.156249526888914</v>
      </c>
      <c r="K25" s="458">
        <f t="shared" si="11"/>
        <v>0</v>
      </c>
      <c r="L25" s="458">
        <f t="shared" si="12"/>
        <v>0</v>
      </c>
      <c r="M25" s="458">
        <f t="shared" si="13"/>
        <v>0</v>
      </c>
      <c r="N25" s="458">
        <f t="shared" si="14"/>
        <v>0</v>
      </c>
      <c r="O25" s="458">
        <f t="shared" si="15"/>
        <v>0</v>
      </c>
      <c r="P25" s="459">
        <f t="shared" si="16"/>
        <v>0</v>
      </c>
      <c r="Q25" s="457">
        <f t="shared" ca="1" si="17"/>
        <v>5134.9690590522887</v>
      </c>
    </row>
    <row r="26" spans="1:17">
      <c r="A26" s="457" t="s">
        <v>655</v>
      </c>
      <c r="B26" s="458">
        <f t="shared" ca="1" si="2"/>
        <v>574.95915422201074</v>
      </c>
      <c r="C26" s="458">
        <f t="shared" ca="1" si="3"/>
        <v>0</v>
      </c>
      <c r="D26" s="458">
        <f t="shared" si="4"/>
        <v>624.96646976956333</v>
      </c>
      <c r="E26" s="458">
        <f t="shared" si="5"/>
        <v>110.83356048397835</v>
      </c>
      <c r="F26" s="458">
        <f t="shared" si="6"/>
        <v>523.41864778375214</v>
      </c>
      <c r="G26" s="458">
        <f t="shared" si="7"/>
        <v>0</v>
      </c>
      <c r="H26" s="458">
        <f t="shared" si="8"/>
        <v>0</v>
      </c>
      <c r="I26" s="458">
        <f t="shared" si="9"/>
        <v>0</v>
      </c>
      <c r="J26" s="458">
        <f t="shared" si="10"/>
        <v>1.031605464962132</v>
      </c>
      <c r="K26" s="458">
        <f t="shared" si="11"/>
        <v>0</v>
      </c>
      <c r="L26" s="458">
        <f t="shared" si="12"/>
        <v>0</v>
      </c>
      <c r="M26" s="458">
        <f t="shared" si="13"/>
        <v>0</v>
      </c>
      <c r="N26" s="458">
        <f t="shared" si="14"/>
        <v>0</v>
      </c>
      <c r="O26" s="458">
        <f t="shared" si="15"/>
        <v>0</v>
      </c>
      <c r="P26" s="459">
        <f t="shared" si="16"/>
        <v>0</v>
      </c>
      <c r="Q26" s="457">
        <f t="shared" ca="1" si="17"/>
        <v>1835.2094377242668</v>
      </c>
    </row>
    <row r="27" spans="1:17" s="463" customFormat="1">
      <c r="A27" s="461" t="s">
        <v>573</v>
      </c>
      <c r="B27" s="771">
        <f t="shared" ca="1" si="2"/>
        <v>1.0239085417430149</v>
      </c>
      <c r="C27" s="462">
        <f t="shared" ca="1" si="3"/>
        <v>0</v>
      </c>
      <c r="D27" s="462">
        <f t="shared" si="4"/>
        <v>1.9600385306004651</v>
      </c>
      <c r="E27" s="462">
        <f t="shared" si="5"/>
        <v>85.151397591194907</v>
      </c>
      <c r="F27" s="462">
        <f t="shared" si="6"/>
        <v>0</v>
      </c>
      <c r="G27" s="462">
        <f t="shared" si="7"/>
        <v>35340.024320618497</v>
      </c>
      <c r="H27" s="462">
        <f t="shared" si="8"/>
        <v>4464.8458376207873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39893.005502902823</v>
      </c>
    </row>
    <row r="28" spans="1:17">
      <c r="A28" s="457" t="s">
        <v>563</v>
      </c>
      <c r="B28" s="458">
        <f t="shared" ca="1" si="2"/>
        <v>0</v>
      </c>
      <c r="C28" s="458">
        <f t="shared" ca="1" si="3"/>
        <v>0</v>
      </c>
      <c r="D28" s="458">
        <f t="shared" si="4"/>
        <v>0</v>
      </c>
      <c r="E28" s="458">
        <f t="shared" si="5"/>
        <v>0</v>
      </c>
      <c r="F28" s="458">
        <f t="shared" si="6"/>
        <v>0</v>
      </c>
      <c r="G28" s="458">
        <f t="shared" si="7"/>
        <v>380.60081580771941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380.60081580771941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233.56290034845324</v>
      </c>
      <c r="C32" s="458">
        <f t="shared" ca="1" si="3"/>
        <v>0</v>
      </c>
      <c r="D32" s="458">
        <f t="shared" si="4"/>
        <v>613.42639235630315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846.98929270475639</v>
      </c>
    </row>
    <row r="33" spans="1:17" s="470" customFormat="1">
      <c r="A33" s="467" t="s">
        <v>567</v>
      </c>
      <c r="B33" s="468">
        <f ca="1">SUM(B22:B32)</f>
        <v>10378.831105177922</v>
      </c>
      <c r="C33" s="468">
        <f t="shared" ref="C33:Q33" ca="1" si="18">SUM(C22:C32)</f>
        <v>2580.7197478991602</v>
      </c>
      <c r="D33" s="468">
        <f t="shared" ca="1" si="18"/>
        <v>22605.880091157658</v>
      </c>
      <c r="E33" s="468">
        <f t="shared" si="18"/>
        <v>1914.8100569071498</v>
      </c>
      <c r="F33" s="468">
        <f t="shared" ca="1" si="18"/>
        <v>4345.6633391356727</v>
      </c>
      <c r="G33" s="468">
        <f t="shared" si="18"/>
        <v>35720.625136426213</v>
      </c>
      <c r="H33" s="468">
        <f t="shared" si="18"/>
        <v>4464.8458376207873</v>
      </c>
      <c r="I33" s="468">
        <f t="shared" si="18"/>
        <v>0</v>
      </c>
      <c r="J33" s="468">
        <f t="shared" si="18"/>
        <v>490.45417620804403</v>
      </c>
      <c r="K33" s="468">
        <f t="shared" si="18"/>
        <v>0</v>
      </c>
      <c r="L33" s="468">
        <f t="shared" ca="1" si="18"/>
        <v>0</v>
      </c>
      <c r="M33" s="468">
        <f t="shared" si="18"/>
        <v>0</v>
      </c>
      <c r="N33" s="468">
        <f t="shared" ca="1" si="18"/>
        <v>0</v>
      </c>
      <c r="O33" s="468">
        <f t="shared" si="18"/>
        <v>0</v>
      </c>
      <c r="P33" s="468">
        <f t="shared" si="18"/>
        <v>0</v>
      </c>
      <c r="Q33" s="468">
        <f t="shared" ca="1" si="18"/>
        <v>82501.829490532618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5145.4306232674207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3689.9999999999995</v>
      </c>
      <c r="C8" s="1034">
        <f>'SEAP template'!C76</f>
        <v>7601.6249999999991</v>
      </c>
      <c r="D8" s="1034">
        <f>'SEAP template'!D76</f>
        <v>8943.0882352941171</v>
      </c>
      <c r="E8" s="1034">
        <f>'SEAP template'!E76</f>
        <v>0</v>
      </c>
      <c r="F8" s="1034">
        <f>'SEAP template'!F76</f>
        <v>0</v>
      </c>
      <c r="G8" s="1034">
        <f>'SEAP template'!G76</f>
        <v>0</v>
      </c>
      <c r="H8" s="1034">
        <f>'SEAP template'!H76</f>
        <v>0</v>
      </c>
      <c r="I8" s="1034">
        <f>'SEAP template'!I76</f>
        <v>0</v>
      </c>
      <c r="J8" s="1034">
        <f>'SEAP template'!J76</f>
        <v>4341.1764705882351</v>
      </c>
      <c r="K8" s="1034">
        <f>'SEAP template'!K76</f>
        <v>0</v>
      </c>
      <c r="L8" s="1034">
        <f>'SEAP template'!L76</f>
        <v>0</v>
      </c>
      <c r="M8" s="1034">
        <f>'SEAP template'!M76</f>
        <v>0</v>
      </c>
      <c r="N8" s="1034">
        <f>'SEAP template'!N76</f>
        <v>0</v>
      </c>
      <c r="O8" s="1034">
        <f>'SEAP template'!O76</f>
        <v>0</v>
      </c>
      <c r="P8" s="1035">
        <f>'SEAP template'!Q76</f>
        <v>1806.5038235294119</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8835.4306232674207</v>
      </c>
      <c r="C10" s="1038">
        <f>SUM(C4:C9)</f>
        <v>7601.6249999999991</v>
      </c>
      <c r="D10" s="1038">
        <f t="shared" ref="D10:H10" si="0">SUM(D8:D9)</f>
        <v>8943.0882352941171</v>
      </c>
      <c r="E10" s="1038">
        <f t="shared" si="0"/>
        <v>0</v>
      </c>
      <c r="F10" s="1038">
        <f t="shared" si="0"/>
        <v>0</v>
      </c>
      <c r="G10" s="1038">
        <f t="shared" si="0"/>
        <v>0</v>
      </c>
      <c r="H10" s="1038">
        <f t="shared" si="0"/>
        <v>0</v>
      </c>
      <c r="I10" s="1038">
        <f>SUM(I8:I9)</f>
        <v>0</v>
      </c>
      <c r="J10" s="1038">
        <f>SUM(J8:J9)</f>
        <v>4341.1764705882351</v>
      </c>
      <c r="K10" s="1038">
        <f t="shared" ref="K10:L10" si="1">SUM(K8:K9)</f>
        <v>0</v>
      </c>
      <c r="L10" s="1038">
        <f t="shared" si="1"/>
        <v>0</v>
      </c>
      <c r="M10" s="1038">
        <f>SUM(M8:M9)</f>
        <v>0</v>
      </c>
      <c r="N10" s="1038">
        <f>SUM(N8:N9)</f>
        <v>0</v>
      </c>
      <c r="O10" s="1038">
        <f>SUM(O8:O9)</f>
        <v>0</v>
      </c>
      <c r="P10" s="1038">
        <f>SUM(P8:P9)</f>
        <v>1806.5038235294119</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0.18793423619602628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5271.4285714285716</v>
      </c>
      <c r="C17" s="1040">
        <f>'SEAP template'!C87</f>
        <v>10859.464285714288</v>
      </c>
      <c r="D17" s="1035">
        <f>'SEAP template'!D87</f>
        <v>12775.840336134455</v>
      </c>
      <c r="E17" s="1035">
        <f>'SEAP template'!E87</f>
        <v>0</v>
      </c>
      <c r="F17" s="1035">
        <f>'SEAP template'!F87</f>
        <v>0</v>
      </c>
      <c r="G17" s="1035">
        <f>'SEAP template'!G87</f>
        <v>0</v>
      </c>
      <c r="H17" s="1035">
        <f>'SEAP template'!H87</f>
        <v>0</v>
      </c>
      <c r="I17" s="1035">
        <f>'SEAP template'!I87</f>
        <v>0</v>
      </c>
      <c r="J17" s="1035">
        <f>'SEAP template'!J87</f>
        <v>6201.680672268908</v>
      </c>
      <c r="K17" s="1035">
        <f>'SEAP template'!K87</f>
        <v>0</v>
      </c>
      <c r="L17" s="1035">
        <f>'SEAP template'!L87</f>
        <v>0</v>
      </c>
      <c r="M17" s="1035">
        <f>'SEAP template'!M87</f>
        <v>0</v>
      </c>
      <c r="N17" s="1035">
        <f>'SEAP template'!N87</f>
        <v>0</v>
      </c>
      <c r="O17" s="1035">
        <f>'SEAP template'!O87</f>
        <v>0</v>
      </c>
      <c r="P17" s="1035">
        <f>'SEAP template'!Q87</f>
        <v>2580.7197478991602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5271.4285714285716</v>
      </c>
      <c r="C20" s="1038">
        <f>SUM(C17:C19)</f>
        <v>10859.464285714288</v>
      </c>
      <c r="D20" s="1038">
        <f t="shared" ref="D20:H20" si="2">SUM(D17:D19)</f>
        <v>12775.840336134455</v>
      </c>
      <c r="E20" s="1038">
        <f t="shared" si="2"/>
        <v>0</v>
      </c>
      <c r="F20" s="1038">
        <f t="shared" si="2"/>
        <v>0</v>
      </c>
      <c r="G20" s="1038">
        <f t="shared" si="2"/>
        <v>0</v>
      </c>
      <c r="H20" s="1038">
        <f t="shared" si="2"/>
        <v>0</v>
      </c>
      <c r="I20" s="1038">
        <f>SUM(I17:I19)</f>
        <v>0</v>
      </c>
      <c r="J20" s="1038">
        <f>SUM(J17:J19)</f>
        <v>6201.680672268908</v>
      </c>
      <c r="K20" s="1038">
        <f t="shared" ref="K20:L20" si="3">SUM(K17:K19)</f>
        <v>0</v>
      </c>
      <c r="L20" s="1038">
        <f t="shared" si="3"/>
        <v>0</v>
      </c>
      <c r="M20" s="1038">
        <f>SUM(M17:M19)</f>
        <v>0</v>
      </c>
      <c r="N20" s="1038">
        <f>SUM(N17:N19)</f>
        <v>0</v>
      </c>
      <c r="O20" s="1038">
        <f>SUM(O17:O19)</f>
        <v>0</v>
      </c>
      <c r="P20" s="1038">
        <f>SUM(P17:P19)</f>
        <v>2580.7197478991602</v>
      </c>
    </row>
    <row r="22" spans="1:16">
      <c r="A22" s="471" t="s">
        <v>879</v>
      </c>
      <c r="B22" s="777" t="s">
        <v>873</v>
      </c>
      <c r="C22" s="777">
        <f ca="1">'EF ele_warmte'!B22</f>
        <v>0.1599861688224159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0.18793423619602628</v>
      </c>
      <c r="C17" s="508">
        <f ca="1">'EF ele_warmte'!B22</f>
        <v>0.1599861688224159</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2020-06-20T16:22:44Z</dcterms:modified>
</cp:coreProperties>
</file>