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H9" i="18"/>
  <c r="G9" i="18"/>
  <c r="F9" i="18"/>
  <c r="F10" i="18" s="1"/>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J9" i="18" s="1"/>
  <c r="U38" i="18"/>
  <c r="T38" i="18"/>
  <c r="I9" i="18" s="1"/>
  <c r="S38" i="18"/>
  <c r="E9" i="18" s="1"/>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B47" i="18" s="1"/>
  <c r="N31" i="18"/>
  <c r="B8" i="18" s="1"/>
  <c r="M31" i="18"/>
  <c r="G22" i="18"/>
  <c r="F22" i="18"/>
  <c r="E22" i="18"/>
  <c r="D22" i="18"/>
  <c r="C22" i="18"/>
  <c r="L20" i="18"/>
  <c r="D20" i="18"/>
  <c r="B17" i="18"/>
  <c r="G12" i="18"/>
  <c r="F12" i="18"/>
  <c r="E12" i="18"/>
  <c r="D12" i="18"/>
  <c r="C12" i="18"/>
  <c r="L10" i="18"/>
  <c r="K10" i="18"/>
  <c r="G10" i="18"/>
  <c r="D10" i="18"/>
  <c r="B6" i="18"/>
  <c r="B5" i="18"/>
  <c r="B4" i="18"/>
  <c r="I51" i="18" l="1"/>
  <c r="H17" i="18" s="1"/>
  <c r="G51" i="18"/>
  <c r="I17" i="18" s="1"/>
  <c r="F51" i="18"/>
  <c r="C51" i="18"/>
  <c r="B51" i="18"/>
  <c r="C17" i="18" s="1"/>
  <c r="C20" i="18" s="1"/>
  <c r="B20" i="18"/>
  <c r="C47" i="18"/>
  <c r="F20" i="18"/>
  <c r="O18" i="18"/>
  <c r="H20" i="18"/>
  <c r="G20" i="18"/>
  <c r="K20" i="18"/>
  <c r="B10" i="18"/>
  <c r="O19" i="18"/>
  <c r="O9" i="18"/>
  <c r="I20" i="18"/>
  <c r="D51" i="18"/>
  <c r="H51" i="18"/>
  <c r="E51" i="18"/>
  <c r="E17" i="18" s="1"/>
  <c r="E20" i="18" s="1"/>
  <c r="N6" i="17"/>
  <c r="I50" i="18" l="1"/>
  <c r="H8" i="18" s="1"/>
  <c r="H10" i="18" s="1"/>
  <c r="G50" i="18"/>
  <c r="F50" i="18"/>
  <c r="D50" i="18"/>
  <c r="C50" i="18"/>
  <c r="B50" i="18"/>
  <c r="C8" i="18" s="1"/>
  <c r="C10" i="18" s="1"/>
  <c r="H50" i="18"/>
  <c r="J8" i="18" s="1"/>
  <c r="J10" i="18" s="1"/>
  <c r="E50" i="18"/>
  <c r="E8" i="18" s="1"/>
  <c r="E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B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O4" i="48" l="1"/>
  <c r="O22" i="48" s="1"/>
  <c r="P11" i="14"/>
  <c r="Q11" i="14"/>
  <c r="P4" i="48"/>
  <c r="P22" i="48" s="1"/>
  <c r="B7" i="48"/>
  <c r="C24" i="14"/>
  <c r="C26" i="14" s="1"/>
  <c r="D4" i="48"/>
  <c r="D22" i="48" s="1"/>
  <c r="E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P16" i="14" s="1"/>
  <c r="P27" i="14" s="1"/>
  <c r="O8" i="48"/>
  <c r="O26" i="48"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P63" i="14" l="1"/>
  <c r="E20" i="15"/>
  <c r="F40" i="14" s="1"/>
  <c r="F10" i="14"/>
  <c r="E5" i="48"/>
  <c r="N52" i="14"/>
  <c r="N61" i="14" s="1"/>
  <c r="J5" i="48"/>
  <c r="J23" i="48" s="1"/>
  <c r="K10" i="14"/>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F13" i="14"/>
  <c r="F16" i="14" s="1"/>
  <c r="F27" i="14" s="1"/>
  <c r="E8" i="48"/>
  <c r="E26" i="48" s="1"/>
  <c r="E22" i="16"/>
  <c r="F43" i="14" s="1"/>
  <c r="F46" i="14" s="1"/>
  <c r="F61" i="14" s="1"/>
  <c r="E23" i="48"/>
  <c r="E33" i="48" s="1"/>
  <c r="E15" i="48"/>
  <c r="N63" i="14"/>
  <c r="H63" i="14"/>
  <c r="J22" i="16"/>
  <c r="K43" i="14" s="1"/>
  <c r="K46" i="14" s="1"/>
  <c r="K61" i="14" s="1"/>
  <c r="K13" i="14"/>
  <c r="K16" i="14" s="1"/>
  <c r="K27" i="14" s="1"/>
  <c r="J8" i="48"/>
  <c r="J26" i="48" s="1"/>
  <c r="J33" i="48" s="1"/>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J15" i="48"/>
  <c r="K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<sst xmlns="http://schemas.openxmlformats.org/spreadsheetml/2006/main" count="2474" uniqueCount="933">
  <si>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</si>
  <si>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</si>
  <si>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</si>
  <si>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</si>
  <si>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</si>
  <si>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</si>
  <si>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</si>
  <si>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</si>
  <si>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</si>
  <si>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</si>
  <si>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</si>
  <si>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</si>
  <si>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</si>
  <si>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</si>
  <si>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</si>
  <si>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</si>
  <si>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</si>
  <si>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</si>
  <si>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</si>
  <si>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</si>
  <si>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</si>
  <si>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</si>
  <si>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</si>
  <si>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</si>
  <si>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</si>
  <si>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</si>
  <si>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</si>
  <si>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</si>
  <si>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</si>
  <si>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</si>
  <si>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</si>
  <si>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</si>
  <si>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</si>
  <si>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</si>
  <si>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</si>
  <si>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</si>
  <si>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</si>
  <si>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</si>
  <si>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</si>
  <si>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</si>
  <si>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</si>
  <si>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</si>
  <si>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</si>
  <si>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</si>
  <si>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</si>
  <si>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</si>
  <si>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</si>
  <si>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</si>
  <si>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</si>
  <si>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</si>
  <si>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</si>
  <si>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</si>
  <si>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</si>
  <si>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</si>
  <si>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</si>
  <si>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</si>
  <si>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</si>
  <si>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</si>
  <si>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</si>
  <si>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</si>
  <si>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</si>
  <si>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</si>
  <si>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</si>
  <si>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</si>
  <si>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</si>
  <si>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</si>
  <si>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</si>
  <si>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</si>
  <si>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</si>
  <si>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</si>
  <si>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</si>
  <si>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</si>
  <si>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</si>
  <si>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</si>
  <si>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</si>
  <si>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</si>
  <si>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</si>
  <si>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</si>
  <si>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</si>
  <si>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</si>
  <si>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</si>
  <si>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</si>
  <si>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</si>
  <si>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</si>
  <si>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</si>
  <si>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</si>
  <si>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</si>
  <si>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</si>
  <si>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</si>
  <si>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</si>
  <si>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</si>
  <si>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</si>
  <si>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</si>
  <si>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</si>
  <si>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</si>
  <si>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</si>
  <si>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</si>
  <si>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</si>
  <si>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</si>
  <si>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</si>
  <si>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</si>
  <si>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</si>
  <si>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</si>
  <si>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</si>
  <si>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</si>
  <si>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</si>
  <si>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</si>
  <si>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</si>
  <si>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</si>
  <si>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</si>
  <si>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</si>
  <si>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</si>
  <si>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</si>
  <si>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</si>
  <si>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</si>
  <si>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</si>
  <si>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</si>
  <si>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</si>
  <si>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</si>
  <si>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</si>
  <si>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</si>
  <si>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</si>
  <si>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</si>
  <si>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</si>
  <si>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</si>
  <si>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</si>
  <si>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</si>
  <si>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</si>
  <si>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</si>
  <si>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</si>
  <si>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</si>
  <si>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</si>
  <si>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</si>
  <si>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</si>
  <si>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</si>
  <si>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</si>
  <si>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</si>
  <si>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</si>
  <si>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</si>
  <si>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</si>
  <si>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</si>
  <si>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</si>
  <si>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</si>
  <si>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</si>
  <si>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</si>
  <si>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</si>
  <si>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</si>
  <si>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</si>
  <si>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</si>
  <si>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</si>
  <si>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</si>
  <si>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</si>
  <si>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</si>
  <si>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</si>
  <si>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</si>
  <si>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</si>
  <si>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</si>
  <si>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</si>
  <si>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</si>
  <si>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</si>
  <si>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</si>
  <si>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</si>
  <si>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</si>
  <si>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</si>
  <si>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</si>
  <si>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</si>
  <si>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</si>
  <si>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</si>
  <si>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</si>
  <si>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</si>
  <si>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</si>
  <si>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</si>
  <si>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</si>
  <si>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</si>
  <si>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</si>
  <si>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</si>
  <si>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</si>
  <si>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</si>
  <si>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</si>
  <si>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</si>
  <si>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</si>
  <si>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</si>
  <si>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</si>
  <si>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</si>
  <si>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</si>
  <si>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</si>
  <si>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</si>
  <si>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</si>
  <si>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</si>
  <si>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</si>
  <si>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</si>
  <si>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</si>
  <si>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</si>
  <si>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</si>
  <si>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</si>
  <si>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</si>
  <si>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</si>
  <si>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</si>
  <si>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</si>
  <si>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</si>
  <si>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</si>
  <si>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</si>
  <si>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</si>
  <si>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</si>
  <si>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</si>
  <si>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</si>
  <si>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</si>
  <si>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</si>
  <si>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</si>
  <si>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</si>
  <si>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</si>
  <si>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</si>
  <si>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</si>
  <si>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</si>
  <si>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</si>
  <si>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</si>
  <si>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</si>
  <si>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</si>
  <si>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</si>
  <si>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</si>
  <si>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</si>
  <si>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</si>
  <si>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</si>
  <si>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</si>
  <si>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</si>
  <si>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</si>
  <si>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</si>
  <si>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</si>
  <si>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</si>
  <si>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</si>
  <si>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</si>
  <si>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</si>
  <si>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</si>
  <si>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</si>
  <si>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</si>
  <si>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</si>
  <si>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</si>
  <si>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</si>
  <si>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</si>
  <si>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</si>
  <si>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</si>
  <si>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</si>
  <si>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</si>
  <si>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</si>
  <si>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</si>
  <si>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</si>
  <si>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</si>
  <si>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</si>
  <si>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</si>
  <si>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</si>
  <si>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</si>
  <si>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</si>
  <si>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</si>
  <si>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</si>
  <si>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</si>
  <si>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</si>
  <si>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</si>
  <si>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</si>
  <si>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</si>
  <si>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</si>
  <si>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</si>
  <si>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</si>
  <si>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</si>
  <si>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</si>
  <si>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</si>
  <si>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</si>
  <si>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</si>
  <si>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</si>
  <si>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</si>
  <si>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</si>
  <si>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</si>
  <si>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</si>
  <si>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</si>
  <si>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</si>
  <si>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</si>
  <si>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</si>
  <si>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</si>
  <si>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</si>
  <si>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</si>
  <si>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</si>
  <si>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</si>
  <si>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</si>
  <si>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</si>
  <si>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</si>
  <si>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</si>
  <si>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</si>
  <si>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</si>
  <si>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</si>
  <si>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</si>
  <si>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</si>
  <si>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</si>
  <si>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</si>
  <si>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</si>
  <si>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</si>
  <si>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</si>
  <si>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</si>
  <si>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</si>
  <si>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</si>
  <si>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</si>
  <si>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</si>
  <si>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</si>
  <si>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</si>
  <si>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</si>
  <si>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</si>
  <si>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</si>
  <si>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</si>
  <si>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</si>
  <si>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</si>
  <si>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</si>
  <si>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</si>
  <si>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</si>
  <si>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</si>
  <si>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</si>
  <si>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</si>
  <si>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</si>
  <si>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</si>
  <si>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</si>
  <si>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</si>
  <si>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</si>
  <si>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</si>
  <si>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</si>
  <si>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</si>
  <si>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</si>
  <si>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</si>
  <si>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</si>
  <si>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</si>
  <si>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</si>
  <si>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</si>
  <si>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</si>
  <si>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</si>
  <si>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</si>
  <si>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</si>
  <si>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</si>
  <si>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</si>
  <si>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</si>
  <si>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</si>
  <si>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</si>
  <si>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</si>
  <si>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</si>
  <si>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</si>
  <si>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</si>
  <si>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</si>
  <si>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</si>
  <si>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</si>
  <si>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</si>
  <si>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</si>
  <si>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</si>
  <si>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</si>
  <si>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</si>
  <si>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</si>
  <si>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</si>
  <si>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</si>
  <si>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</si>
  <si>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</si>
  <si>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</si>
  <si>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</si>
  <si>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</si>
  <si>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</si>
  <si>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</si>
  <si>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</si>
  <si>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</si>
  <si>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</si>
  <si>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</si>
  <si>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</si>
  <si>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</si>
  <si>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</si>
  <si>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</si>
  <si>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</si>
  <si>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</si>
  <si>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</si>
  <si>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</si>
  <si>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</si>
  <si>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</si>
  <si>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</si>
  <si>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</si>
  <si>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</si>
  <si>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</si>
  <si>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</si>
  <si>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</si>
  <si>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</si>
  <si>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</si>
  <si>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</si>
  <si>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</si>
  <si>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</si>
  <si>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</si>
  <si>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</si>
  <si>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</si>
  <si>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</si>
  <si>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</si>
  <si>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</si>
  <si>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</si>
  <si>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</si>
  <si>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</si>
  <si>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</si>
  <si>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</si>
  <si>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</si>
  <si>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</si>
  <si>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</si>
  <si>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</si>
  <si>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</si>
  <si>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</si>
  <si>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</si>
  <si>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</si>
  <si>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</si>
  <si>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</si>
  <si>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</si>
  <si>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</si>
  <si>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</si>
  <si>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</si>
  <si>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</si>
  <si>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</si>
  <si>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</si>
  <si>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</si>
  <si>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</si>
  <si>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</si>
  <si>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</si>
  <si>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</si>
  <si>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</si>
  <si>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</si>
  <si>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</si>
  <si>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</si>
  <si>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</si>
  <si>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</si>
  <si>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</si>
  <si>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</si>
  <si>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</si>
  <si>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</si>
  <si>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</si>
  <si>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</si>
  <si>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</si>
  <si>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</si>
  <si>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</si>
  <si>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</si>
  <si>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</si>
  <si>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</si>
  <si>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</si>
  <si>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</si>
  <si>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</si>
  <si>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</si>
  <si>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</si>
  <si>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</si>
  <si>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</si>
  <si>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</si>
  <si>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</si>
  <si>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</si>
  <si>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</si>
  <si>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</si>
  <si>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</si>
  <si>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</si>
  <si>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</si>
  <si>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</si>
  <si>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</si>
  <si>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</si>
  <si>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</si>
  <si>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</si>
  <si>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</si>
  <si>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</si>
  <si>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</si>
  <si>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</si>
  <si>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</si>
  <si>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</si>
  <si>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</si>
  <si>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</si>
  <si>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</si>
  <si>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</si>
  <si>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</si>
  <si>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</si>
  <si>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</si>
  <si>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</si>
  <si>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</si>
  <si>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</si>
  <si>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</si>
  <si>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</si>
  <si>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</si>
  <si>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</si>
  <si>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</si>
  <si>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</si>
  <si>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</si>
  <si>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</si>
  <si>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</si>
  <si>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</si>
  <si>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</si>
  <si>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</si>
  <si>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</si>
  <si>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</si>
  <si>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</si>
  <si>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</si>
  <si>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</si>
  <si>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</si>
  <si>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</si>
  <si>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</si>
  <si>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</si>
  <si>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</si>
  <si>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</si>
  <si>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</si>
  <si>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</si>
  <si>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</si>
  <si>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</si>
  <si>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</si>
  <si>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</si>
  <si>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</si>
  <si>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</si>
  <si>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</si>
  <si>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</si>
  <si>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</si>
  <si>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</si>
  <si>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</si>
  <si>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</si>
  <si>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</si>
  <si>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</si>
  <si>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</si>
  <si>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</si>
  <si>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</si>
  <si>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</si>
  <si>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</si>
  <si>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</si>
  <si>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</si>
  <si>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</si>
  <si>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</si>
  <si>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</si>
  <si>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</si>
  <si>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</si>
  <si>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</si>
  <si>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</si>
  <si>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</si>
  <si>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</si>
  <si>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</si>
  <si>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</si>
  <si>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</si>
  <si>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</si>
  <si>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</si>
  <si>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</si>
  <si>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</si>
  <si>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</si>
  <si>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</si>
  <si>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</si>
  <si>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</si>
  <si>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</si>
  <si>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</si>
  <si>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</si>
  <si>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</si>
  <si>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</si>
  <si>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</si>
  <si>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</si>
  <si>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</si>
  <si>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</si>
  <si>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</si>
  <si>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</si>
  <si>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</si>
  <si>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</si>
  <si>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</si>
  <si>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</si>
  <si>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</si>
  <si>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</si>
  <si>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</si>
  <si>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</si>
  <si>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</si>
  <si>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</si>
  <si>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</si>
  <si>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</si>
  <si>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</si>
  <si>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</si>
  <si>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</si>
  <si>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</si>
  <si>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</si>
  <si>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</si>
  <si>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</si>
  <si>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</si>
  <si>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</si>
  <si>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</si>
  <si>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</si>
  <si>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</si>
  <si>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</si>
  <si>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</si>
  <si>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</si>
  <si>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</si>
  <si>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</si>
  <si>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</si>
  <si>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</si>
  <si>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</si>
  <si>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</si>
  <si>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</si>
  <si>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</si>
  <si>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</si>
  <si>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</si>
  <si>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</si>
  <si>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</si>
  <si>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</si>
  <si>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</si>
  <si>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</si>
  <si>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</si>
  <si>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</si>
  <si>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</si>
  <si>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</si>
  <si>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</si>
  <si>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</si>
  <si>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</si>
  <si>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</si>
  <si>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</si>
  <si>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</si>
  <si>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</si>
  <si>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</si>
  <si>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</si>
  <si>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</si>
  <si>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</si>
  <si>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</si>
  <si>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</si>
  <si>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</si>
  <si>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</si>
  <si>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</si>
  <si>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</si>
  <si>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</si>
  <si>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</si>
  <si>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</si>
  <si>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</si>
  <si>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</si>
  <si>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</si>
  <si>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</si>
  <si>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</si>
  <si>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</si>
  <si>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</si>
  <si>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</si>
  <si>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</si>
  <si>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</si>
  <si>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</si>
  <si>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</si>
  <si>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</si>
  <si>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</si>
  <si>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</si>
  <si>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</si>
  <si>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</si>
  <si>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</si>
  <si>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</si>
  <si>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</si>
  <si>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</si>
  <si>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</si>
  <si>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</si>
  <si>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</si>
  <si>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</si>
  <si>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</si>
  <si>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</si>
  <si>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</si>
  <si>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</si>
  <si>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</si>
  <si>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</si>
  <si>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</si>
  <si>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</si>
  <si>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</si>
  <si>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</si>
  <si>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</si>
  <si>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</si>
  <si>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</si>
  <si>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</si>
  <si>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</si>
  <si>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</si>
  <si>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</si>
  <si>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</si>
  <si>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</si>
  <si>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</si>
  <si>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</si>
  <si>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</si>
  <si>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</si>
  <si>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</si>
  <si>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</si>
  <si>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</si>
  <si>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</si>
  <si>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</si>
  <si>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</si>
  <si>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</si>
  <si>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</si>
  <si>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</si>
  <si>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</si>
  <si>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</si>
  <si>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</si>
  <si>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</si>
  <si>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</si>
  <si>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</si>
  <si>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</si>
  <si>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</si>
  <si>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</si>
  <si>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</si>
  <si>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</si>
  <si>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</si>
  <si>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</si>
  <si>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</si>
  <si>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</si>
  <si>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</si>
  <si>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</si>
  <si>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</si>
  <si>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</si>
  <si>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</si>
  <si>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</si>
  <si>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</si>
  <si>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</si>
  <si>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</si>
  <si>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</si>
  <si>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</si>
  <si>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</si>
  <si>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</si>
  <si>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</si>
  <si>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</si>
  <si>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</si>
  <si>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</si>
  <si>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</si>
  <si>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</si>
  <si>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</si>
  <si>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</si>
  <si>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</si>
  <si>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</si>
  <si>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</si>
  <si>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</si>
  <si>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</si>
  <si>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</si>
  <si>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</si>
  <si>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</si>
  <si>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</si>
  <si>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</si>
  <si>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</si>
  <si>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</si>
  <si>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</si>
  <si>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</si>
  <si>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</si>
  <si>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</si>
  <si>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</si>
  <si>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</si>
  <si>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</si>
  <si>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</si>
  <si>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</si>
  <si>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</si>
  <si>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</si>
  <si>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</si>
  <si>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</si>
  <si>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</si>
  <si>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</si>
  <si>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</si>
  <si>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</si>
  <si>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</si>
  <si>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</si>
  <si>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</si>
  <si>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</si>
  <si>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</si>
  <si>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</si>
  <si>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</si>
  <si>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</si>
  <si>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</si>
  <si>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</si>
  <si>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</si>
  <si>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</si>
  <si>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</si>
  <si>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</si>
  <si>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</si>
  <si>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</si>
  <si>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</si>
  <si>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</si>
  <si>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</si>
  <si>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</si>
  <si>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</si>
  <si>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</si>
  <si>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</si>
  <si>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</si>
  <si>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</si>
  <si>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</si>
  <si>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</si>
  <si>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</si>
  <si>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</si>
  <si>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</si>
  <si>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</si>
  <si>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</si>
  <si>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</si>
  <si>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</si>
  <si>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</si>
  <si>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</si>
  <si>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</si>
  <si>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</si>
  <si>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</si>
  <si>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</si>
  <si>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</si>
  <si>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</si>
  <si>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</si>
  <si>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</si>
  <si>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</si>
  <si>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</si>
  <si>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</si>
  <si>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</si>
  <si>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</si>
  <si>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</si>
  <si>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</si>
  <si>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</si>
  <si>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</si>
  <si>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</si>
  <si>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</si>
  <si>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</si>
  <si>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</si>
  <si>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</si>
  <si>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</si>
  <si>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</si>
  <si>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</si>
  <si>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</si>
  <si>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</si>
  <si>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</si>
  <si>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</si>
  <si>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</si>
  <si>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</si>
  <si>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</si>
  <si>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</si>
  <si>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</si>
  <si>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</si>
  <si>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</si>
  <si>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</si>
  <si>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</si>
  <si>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</si>
  <si>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</si>
  <si>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</si>
  <si>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</si>
  <si>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</si>
  <si>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</si>
  <si>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</si>
  <si>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</si>
  <si>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</si>
  <si>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</si>
  <si>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</si>
  <si>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</si>
  <si>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</si>
  <si>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</si>
  <si>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</si>
  <si>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</si>
  <si>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</si>
  <si>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</si>
  <si>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</si>
  <si>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</si>
  <si>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</si>
  <si>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</si>
  <si>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</si>
  <si>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</si>
  <si>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</si>
  <si>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</si>
  <si>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</si>
  <si>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</si>
  <si>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</si>
  <si>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</si>
  <si>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</si>
  <si>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</si>
  <si>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</si>
  <si>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</si>
  <si>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</si>
  <si>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</si>
  <si>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</si>
  <si>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</si>
  <si>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</si>
  <si>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</si>
  <si>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</si>
  <si>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</si>
  <si>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</si>
  <si>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</si>
  <si>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</si>
  <si>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</si>
  <si>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</si>
  <si>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</si>
  <si>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</si>
  <si>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</si>
  <si>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</si>
  <si>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</si>
  <si>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</si>
  <si>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</si>
  <si>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</si>
  <si>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</si>
  <si>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</si>
  <si>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</si>
  <si>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</si>
  <si>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</si>
  <si>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</si>
  <si>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</si>
  <si>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</si>
  <si>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</si>
  <si>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</si>
  <si>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</si>
  <si>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</si>
  <si>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</si>
  <si>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</si>
  <si>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</si>
  <si>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</si>
  <si>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</si>
  <si>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</si>
  <si>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</si>
  <si>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</si>
  <si>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</si>
  <si>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</si>
  <si>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</si>
  <si>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</si>
  <si>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</si>
  <si>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</si>
  <si>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</si>
  <si>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</si>
  <si>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</si>
  <si>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</si>
  <si>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</si>
  <si>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</si>
  <si>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</si>
  <si>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</si>
  <si>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</si>
  <si>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</si>
  <si>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</si>
  <si>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</si>
  <si>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</si>
  <si>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</si>
  <si>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</si>
  <si>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</si>
  <si>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</si>
  <si>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</si>
  <si>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</si>
  <si>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</si>
  <si>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</si>
  <si>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</si>
  <si>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45035</t>
  </si>
  <si>
    <t>OUDENAARDE</t>
  </si>
  <si>
    <t>Cultuurgrond (ha)</t>
  </si>
  <si>
    <t>Paarden&amp;pony's 200 - 600 kg</t>
  </si>
  <si>
    <t>Paarden&amp;pony's &lt; 200 kg</t>
  </si>
  <si>
    <t>Fluvius</t>
  </si>
  <si>
    <t>referentietaak LNE (2017); Jaarverslag De Lijn</t>
  </si>
  <si>
    <t>Raymond TSas</t>
  </si>
  <si>
    <t>Armenlos 6 , 9700 Oudenaarde</t>
  </si>
  <si>
    <t>WKK-0396 Raymond TSas</t>
  </si>
  <si>
    <t>stirlingmotor</t>
  </si>
  <si>
    <t>GASELWEST</t>
  </si>
  <si>
    <t>Paul De Rycke</t>
  </si>
  <si>
    <t>Watermolenstraat 12 , 9700 Oudenaarde</t>
  </si>
  <si>
    <t>WKK-0393 Paul De Rycke</t>
  </si>
  <si>
    <t>Varkensbedrijf Nico Van Ryckeghem</t>
  </si>
  <si>
    <t>Rooigem 23 , 9700 Oudenaarde</t>
  </si>
  <si>
    <t>WKK-0572 Varkensbedrijf Nico Van Ryckeghem</t>
  </si>
  <si>
    <t>interne verbrandingsmotor</t>
  </si>
  <si>
    <t>WKK interne verbrandinsgmotor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</si>
</sst>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260849.45576808779</c:v>
                </c:pt>
                <c:pt idx="1">
                  <c:v>183730.55227451542</c:v>
                </c:pt>
                <c:pt idx="2">
                  <c:v>2451.1089999999999</c:v>
                </c:pt>
                <c:pt idx="3">
                  <c:v>9471.3521845800515</c:v>
                </c:pt>
                <c:pt idx="4">
                  <c:v>431101.7069918029</c:v>
                </c:pt>
                <c:pt idx="5">
                  <c:v>173133.11418300617</c:v>
                </c:pt>
                <c:pt idx="6">
                  <c:v>2655.7503468868535</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260849.45576808779</c:v>
                </c:pt>
                <c:pt idx="1">
                  <c:v>183730.55227451542</c:v>
                </c:pt>
                <c:pt idx="2">
                  <c:v>2451.1089999999999</c:v>
                </c:pt>
                <c:pt idx="3">
                  <c:v>9471.3521845800515</c:v>
                </c:pt>
                <c:pt idx="4">
                  <c:v>431101.7069918029</c:v>
                </c:pt>
                <c:pt idx="5">
                  <c:v>173133.11418300617</c:v>
                </c:pt>
                <c:pt idx="6">
                  <c:v>2655.7503468868535</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51388.09482417001</c:v>
                </c:pt>
                <c:pt idx="2">
                  <c:v>37300.708841802916</c:v>
                </c:pt>
                <c:pt idx="3">
                  <c:v>512.71692750568843</c:v>
                </c:pt>
                <c:pt idx="4">
                  <c:v>2415.0128765734139</c:v>
                </c:pt>
                <c:pt idx="5">
                  <c:v>90103.104682221368</c:v>
                </c:pt>
                <c:pt idx="6">
                  <c:v>43769.320033323536</c:v>
                </c:pt>
                <c:pt idx="7">
                  <c:v>678.86835070636891</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51388.09482417001</c:v>
                </c:pt>
                <c:pt idx="2">
                  <c:v>37300.708841802916</c:v>
                </c:pt>
                <c:pt idx="3">
                  <c:v>512.71692750568843</c:v>
                </c:pt>
                <c:pt idx="4">
                  <c:v>2415.0128765734139</c:v>
                </c:pt>
                <c:pt idx="5">
                  <c:v>90103.104682221368</c:v>
                </c:pt>
                <c:pt idx="6">
                  <c:v>43769.320033323536</c:v>
                </c:pt>
                <c:pt idx="7">
                  <c:v>678.86835070636891</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45035</v>
      </c>
      <c r="B6" s="395"/>
      <c r="C6" s="396"/>
    </row>
    <row r="7" spans="1:7" s="393" customFormat="1" ht="15.75" customHeight="1">
      <c r="A7" s="397" t="str">
        <f>txtMunicipality</f>
        <v>OUDENAARDE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58283.338000791475</v>
      </c>
      <c r="D10" s="686">
        <f ca="1">tertiair!C16</f>
        <v>0</v>
      </c>
      <c r="E10" s="686">
        <f ca="1">tertiair!D16</f>
        <v>111244.81608519968</v>
      </c>
      <c r="F10" s="686">
        <f>tertiair!E16</f>
        <v>745.94090231863868</v>
      </c>
      <c r="G10" s="686">
        <f ca="1">tertiair!F16</f>
        <v>11165.092229822178</v>
      </c>
      <c r="H10" s="686">
        <f>tertiair!G16</f>
        <v>0</v>
      </c>
      <c r="I10" s="686">
        <f>tertiair!H16</f>
        <v>0</v>
      </c>
      <c r="J10" s="686">
        <f>tertiair!I16</f>
        <v>0</v>
      </c>
      <c r="K10" s="686">
        <f>tertiair!J16</f>
        <v>0</v>
      </c>
      <c r="L10" s="686">
        <f>tertiair!K16</f>
        <v>0</v>
      </c>
      <c r="M10" s="686">
        <f ca="1">tertiair!L16</f>
        <v>0</v>
      </c>
      <c r="N10" s="686">
        <f>tertiair!M16</f>
        <v>0</v>
      </c>
      <c r="O10" s="686">
        <f ca="1">tertiair!N16</f>
        <v>4718.7173897167559</v>
      </c>
      <c r="P10" s="686">
        <f>tertiair!O16</f>
        <v>4.6900000000000004</v>
      </c>
      <c r="Q10" s="687">
        <f>tertiair!P16</f>
        <v>19.066666666666666</v>
      </c>
      <c r="R10" s="689">
        <f ca="1">SUM(C10:Q10)</f>
        <v>186181.66127451541</v>
      </c>
      <c r="S10" s="67"/>
    </row>
    <row r="11" spans="1:19" s="454" customFormat="1">
      <c r="A11" s="801" t="s">
        <v>224</v>
      </c>
      <c r="B11" s="806"/>
      <c r="C11" s="686">
        <f>huishoudens!B8</f>
        <v>55011.272155992381</v>
      </c>
      <c r="D11" s="686">
        <f>huishoudens!C8</f>
        <v>0</v>
      </c>
      <c r="E11" s="686">
        <f>huishoudens!D8</f>
        <v>115971.66101213044</v>
      </c>
      <c r="F11" s="686">
        <f>huishoudens!E8</f>
        <v>13577.225160898444</v>
      </c>
      <c r="G11" s="686">
        <f>huishoudens!F8</f>
        <v>47436.190240706135</v>
      </c>
      <c r="H11" s="686">
        <f>huishoudens!G8</f>
        <v>0</v>
      </c>
      <c r="I11" s="686">
        <f>huishoudens!H8</f>
        <v>0</v>
      </c>
      <c r="J11" s="686">
        <f>huishoudens!I8</f>
        <v>0</v>
      </c>
      <c r="K11" s="686">
        <f>huishoudens!J8</f>
        <v>1997.7523642143833</v>
      </c>
      <c r="L11" s="686">
        <f>huishoudens!K8</f>
        <v>0</v>
      </c>
      <c r="M11" s="686">
        <f>huishoudens!L8</f>
        <v>0</v>
      </c>
      <c r="N11" s="686">
        <f>huishoudens!M8</f>
        <v>0</v>
      </c>
      <c r="O11" s="686">
        <f>huishoudens!N8</f>
        <v>25615.871500812653</v>
      </c>
      <c r="P11" s="686">
        <f>huishoudens!O8</f>
        <v>476.81666666666666</v>
      </c>
      <c r="Q11" s="687">
        <f>huishoudens!P8</f>
        <v>762.66666666666674</v>
      </c>
      <c r="R11" s="689">
        <f>SUM(C11:Q11)</f>
        <v>260849.45576808779</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161568.24212525116</v>
      </c>
      <c r="D13" s="686">
        <f>industrie!C18</f>
        <v>0</v>
      </c>
      <c r="E13" s="686">
        <f>industrie!D18</f>
        <v>197674.76313705876</v>
      </c>
      <c r="F13" s="686">
        <f>industrie!E18</f>
        <v>10790.246661745241</v>
      </c>
      <c r="G13" s="686">
        <f>industrie!F18</f>
        <v>51754.234877161332</v>
      </c>
      <c r="H13" s="686">
        <f>industrie!G18</f>
        <v>0</v>
      </c>
      <c r="I13" s="686">
        <f>industrie!H18</f>
        <v>0</v>
      </c>
      <c r="J13" s="686">
        <f>industrie!I18</f>
        <v>0</v>
      </c>
      <c r="K13" s="686">
        <f>industrie!J18</f>
        <v>306.75123097375865</v>
      </c>
      <c r="L13" s="686">
        <f>industrie!K18</f>
        <v>0</v>
      </c>
      <c r="M13" s="686">
        <f>industrie!L18</f>
        <v>0</v>
      </c>
      <c r="N13" s="686">
        <f>industrie!M18</f>
        <v>0</v>
      </c>
      <c r="O13" s="686">
        <f>industrie!N18</f>
        <v>9007.4689596126263</v>
      </c>
      <c r="P13" s="686">
        <f>industrie!O18</f>
        <v>0</v>
      </c>
      <c r="Q13" s="687">
        <f>industrie!P18</f>
        <v>0</v>
      </c>
      <c r="R13" s="689">
        <f>SUM(C13:Q13)</f>
        <v>431101.7069918029</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274862.85228203505</v>
      </c>
      <c r="D16" s="721">
        <f t="shared" ref="D16:R16" ca="1" si="0">SUM(D9:D15)</f>
        <v>0</v>
      </c>
      <c r="E16" s="721">
        <f t="shared" ca="1" si="0"/>
        <v>424891.24023438885</v>
      </c>
      <c r="F16" s="721">
        <f t="shared" si="0"/>
        <v>25113.412724962323</v>
      </c>
      <c r="G16" s="721">
        <f t="shared" ca="1" si="0"/>
        <v>110355.51734768965</v>
      </c>
      <c r="H16" s="721">
        <f t="shared" si="0"/>
        <v>0</v>
      </c>
      <c r="I16" s="721">
        <f t="shared" si="0"/>
        <v>0</v>
      </c>
      <c r="J16" s="721">
        <f t="shared" si="0"/>
        <v>0</v>
      </c>
      <c r="K16" s="721">
        <f t="shared" si="0"/>
        <v>2304.5035951881418</v>
      </c>
      <c r="L16" s="721">
        <f t="shared" si="0"/>
        <v>0</v>
      </c>
      <c r="M16" s="721">
        <f t="shared" ca="1" si="0"/>
        <v>0</v>
      </c>
      <c r="N16" s="721">
        <f t="shared" si="0"/>
        <v>0</v>
      </c>
      <c r="O16" s="721">
        <f t="shared" ca="1" si="0"/>
        <v>39342.057850142039</v>
      </c>
      <c r="P16" s="721">
        <f t="shared" si="0"/>
        <v>481.50666666666666</v>
      </c>
      <c r="Q16" s="721">
        <f t="shared" si="0"/>
        <v>781.73333333333346</v>
      </c>
      <c r="R16" s="721">
        <f t="shared" ca="1" si="0"/>
        <v>878132.82403440611</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2542.5780925332169</v>
      </c>
      <c r="I19" s="686">
        <f>transport!H54</f>
        <v>0</v>
      </c>
      <c r="J19" s="686">
        <f>transport!I54</f>
        <v>0</v>
      </c>
      <c r="K19" s="686">
        <f>transport!J54</f>
        <v>0</v>
      </c>
      <c r="L19" s="686">
        <f>transport!K54</f>
        <v>0</v>
      </c>
      <c r="M19" s="686">
        <f>transport!L54</f>
        <v>0</v>
      </c>
      <c r="N19" s="686">
        <f>transport!M54</f>
        <v>113.1722543536367</v>
      </c>
      <c r="O19" s="686">
        <f>transport!N54</f>
        <v>0</v>
      </c>
      <c r="P19" s="686">
        <f>transport!O54</f>
        <v>0</v>
      </c>
      <c r="Q19" s="687">
        <f>transport!P54</f>
        <v>0</v>
      </c>
      <c r="R19" s="689">
        <f>SUM(C19:Q19)</f>
        <v>2655.7503468868535</v>
      </c>
      <c r="S19" s="67"/>
    </row>
    <row r="20" spans="1:19" s="454" customFormat="1">
      <c r="A20" s="801" t="s">
        <v>306</v>
      </c>
      <c r="B20" s="806"/>
      <c r="C20" s="686">
        <f>transport!B14</f>
        <v>8.1220134775529171</v>
      </c>
      <c r="D20" s="686">
        <f>transport!C14</f>
        <v>0</v>
      </c>
      <c r="E20" s="686">
        <f>transport!D14</f>
        <v>13.498536451958106</v>
      </c>
      <c r="F20" s="686">
        <f>transport!E14</f>
        <v>476.52845784344566</v>
      </c>
      <c r="G20" s="686">
        <f>transport!F14</f>
        <v>0</v>
      </c>
      <c r="H20" s="686">
        <f>transport!G14</f>
        <v>140565.43858629771</v>
      </c>
      <c r="I20" s="686">
        <f>transport!H14</f>
        <v>24601.406922757815</v>
      </c>
      <c r="J20" s="686">
        <f>transport!I14</f>
        <v>0</v>
      </c>
      <c r="K20" s="686">
        <f>transport!J14</f>
        <v>0</v>
      </c>
      <c r="L20" s="686">
        <f>transport!K14</f>
        <v>0</v>
      </c>
      <c r="M20" s="686">
        <f>transport!L14</f>
        <v>0</v>
      </c>
      <c r="N20" s="686">
        <f>transport!M14</f>
        <v>7468.1196661776694</v>
      </c>
      <c r="O20" s="686">
        <f>transport!N14</f>
        <v>0</v>
      </c>
      <c r="P20" s="686">
        <f>transport!O14</f>
        <v>0</v>
      </c>
      <c r="Q20" s="687">
        <f>transport!P14</f>
        <v>0</v>
      </c>
      <c r="R20" s="689">
        <f>SUM(C20:Q20)</f>
        <v>173133.11418300617</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8.1220134775529171</v>
      </c>
      <c r="D22" s="804">
        <f t="shared" ref="D22:R22" si="1">SUM(D18:D21)</f>
        <v>0</v>
      </c>
      <c r="E22" s="804">
        <f t="shared" si="1"/>
        <v>13.498536451958106</v>
      </c>
      <c r="F22" s="804">
        <f t="shared" si="1"/>
        <v>476.52845784344566</v>
      </c>
      <c r="G22" s="804">
        <f t="shared" si="1"/>
        <v>0</v>
      </c>
      <c r="H22" s="804">
        <f t="shared" si="1"/>
        <v>143108.01667883093</v>
      </c>
      <c r="I22" s="804">
        <f t="shared" si="1"/>
        <v>24601.406922757815</v>
      </c>
      <c r="J22" s="804">
        <f t="shared" si="1"/>
        <v>0</v>
      </c>
      <c r="K22" s="804">
        <f t="shared" si="1"/>
        <v>0</v>
      </c>
      <c r="L22" s="804">
        <f t="shared" si="1"/>
        <v>0</v>
      </c>
      <c r="M22" s="804">
        <f t="shared" si="1"/>
        <v>0</v>
      </c>
      <c r="N22" s="804">
        <f t="shared" si="1"/>
        <v>7581.2919205313065</v>
      </c>
      <c r="O22" s="804">
        <f t="shared" si="1"/>
        <v>0</v>
      </c>
      <c r="P22" s="804">
        <f t="shared" si="1"/>
        <v>0</v>
      </c>
      <c r="Q22" s="804">
        <f t="shared" si="1"/>
        <v>0</v>
      </c>
      <c r="R22" s="804">
        <f t="shared" si="1"/>
        <v>175788.86452989304</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1965.0575575598452</v>
      </c>
      <c r="D24" s="686">
        <f>+landbouw!C8</f>
        <v>56.357142857142861</v>
      </c>
      <c r="E24" s="686">
        <f>+landbouw!D8</f>
        <v>349.71205884354839</v>
      </c>
      <c r="F24" s="686">
        <f>+landbouw!E8</f>
        <v>24.762256734096024</v>
      </c>
      <c r="G24" s="686">
        <f>+landbouw!F8</f>
        <v>6779.9408499143519</v>
      </c>
      <c r="H24" s="686">
        <f>+landbouw!G8</f>
        <v>0</v>
      </c>
      <c r="I24" s="686">
        <f>+landbouw!H8</f>
        <v>0</v>
      </c>
      <c r="J24" s="686">
        <f>+landbouw!I8</f>
        <v>0</v>
      </c>
      <c r="K24" s="686">
        <f>+landbouw!J8</f>
        <v>295.52231867106724</v>
      </c>
      <c r="L24" s="686">
        <f>+landbouw!K8</f>
        <v>0</v>
      </c>
      <c r="M24" s="686">
        <f>+landbouw!L8</f>
        <v>0</v>
      </c>
      <c r="N24" s="686">
        <f>+landbouw!M8</f>
        <v>0</v>
      </c>
      <c r="O24" s="686">
        <f>+landbouw!N8</f>
        <v>0</v>
      </c>
      <c r="P24" s="686">
        <f>+landbouw!O8</f>
        <v>0</v>
      </c>
      <c r="Q24" s="687">
        <f>+landbouw!P8</f>
        <v>0</v>
      </c>
      <c r="R24" s="689">
        <f>SUM(C24:Q24)</f>
        <v>9471.3521845800515</v>
      </c>
      <c r="S24" s="67"/>
    </row>
    <row r="25" spans="1:19" s="454" customFormat="1" ht="15" thickBot="1">
      <c r="A25" s="823" t="s">
        <v>856</v>
      </c>
      <c r="B25" s="991"/>
      <c r="C25" s="992">
        <f>IF(Onbekend_ele_kWh="---",0,Onbekend_ele_kWh)/1000+IF(REST_rest_ele_kWh="---",0,REST_rest_ele_kWh)/1000</f>
        <v>2673.9152204196098</v>
      </c>
      <c r="D25" s="992"/>
      <c r="E25" s="992">
        <f>IF(onbekend_gas_kWh="---",0,onbekend_gas_kWh)/1000+IF(REST_rest_gas_kWh="---",0,REST_rest_gas_kWh)/1000</f>
        <v>9821.6422651091707</v>
      </c>
      <c r="F25" s="992"/>
      <c r="G25" s="992"/>
      <c r="H25" s="992"/>
      <c r="I25" s="992"/>
      <c r="J25" s="992"/>
      <c r="K25" s="992"/>
      <c r="L25" s="992"/>
      <c r="M25" s="992"/>
      <c r="N25" s="992"/>
      <c r="O25" s="992"/>
      <c r="P25" s="992"/>
      <c r="Q25" s="993"/>
      <c r="R25" s="689">
        <f>SUM(C25:Q25)</f>
        <v>12495.557485528781</v>
      </c>
      <c r="S25" s="67"/>
    </row>
    <row r="26" spans="1:19" s="454" customFormat="1" ht="15.75" thickBot="1">
      <c r="A26" s="694" t="s">
        <v>857</v>
      </c>
      <c r="B26" s="809"/>
      <c r="C26" s="804">
        <f>SUM(C24:C25)</f>
        <v>4638.9727779794548</v>
      </c>
      <c r="D26" s="804">
        <f t="shared" ref="D26:R26" si="2">SUM(D24:D25)</f>
        <v>56.357142857142861</v>
      </c>
      <c r="E26" s="804">
        <f t="shared" si="2"/>
        <v>10171.354323952719</v>
      </c>
      <c r="F26" s="804">
        <f t="shared" si="2"/>
        <v>24.762256734096024</v>
      </c>
      <c r="G26" s="804">
        <f t="shared" si="2"/>
        <v>6779.9408499143519</v>
      </c>
      <c r="H26" s="804">
        <f t="shared" si="2"/>
        <v>0</v>
      </c>
      <c r="I26" s="804">
        <f t="shared" si="2"/>
        <v>0</v>
      </c>
      <c r="J26" s="804">
        <f t="shared" si="2"/>
        <v>0</v>
      </c>
      <c r="K26" s="804">
        <f t="shared" si="2"/>
        <v>295.52231867106724</v>
      </c>
      <c r="L26" s="804">
        <f t="shared" si="2"/>
        <v>0</v>
      </c>
      <c r="M26" s="804">
        <f t="shared" si="2"/>
        <v>0</v>
      </c>
      <c r="N26" s="804">
        <f t="shared" si="2"/>
        <v>0</v>
      </c>
      <c r="O26" s="804">
        <f t="shared" si="2"/>
        <v>0</v>
      </c>
      <c r="P26" s="804">
        <f t="shared" si="2"/>
        <v>0</v>
      </c>
      <c r="Q26" s="804">
        <f t="shared" si="2"/>
        <v>0</v>
      </c>
      <c r="R26" s="804">
        <f t="shared" si="2"/>
        <v>21966.909670108835</v>
      </c>
      <c r="S26" s="67"/>
    </row>
    <row r="27" spans="1:19" s="454" customFormat="1" ht="17.25" thickTop="1" thickBot="1">
      <c r="A27" s="695" t="s">
        <v>115</v>
      </c>
      <c r="B27" s="796"/>
      <c r="C27" s="696">
        <f ca="1">C22+C16+C26</f>
        <v>279509.94707349205</v>
      </c>
      <c r="D27" s="696">
        <f t="shared" ref="D27:R27" ca="1" si="3">D22+D16+D26</f>
        <v>56.357142857142861</v>
      </c>
      <c r="E27" s="696">
        <f t="shared" ca="1" si="3"/>
        <v>435076.0930947935</v>
      </c>
      <c r="F27" s="696">
        <f t="shared" si="3"/>
        <v>25614.703439539862</v>
      </c>
      <c r="G27" s="696">
        <f t="shared" ca="1" si="3"/>
        <v>117135.45819760399</v>
      </c>
      <c r="H27" s="696">
        <f t="shared" si="3"/>
        <v>143108.01667883093</v>
      </c>
      <c r="I27" s="696">
        <f t="shared" si="3"/>
        <v>24601.406922757815</v>
      </c>
      <c r="J27" s="696">
        <f t="shared" si="3"/>
        <v>0</v>
      </c>
      <c r="K27" s="696">
        <f t="shared" si="3"/>
        <v>2600.0259138592091</v>
      </c>
      <c r="L27" s="696">
        <f t="shared" si="3"/>
        <v>0</v>
      </c>
      <c r="M27" s="696">
        <f t="shared" ca="1" si="3"/>
        <v>0</v>
      </c>
      <c r="N27" s="696">
        <f t="shared" si="3"/>
        <v>7581.2919205313065</v>
      </c>
      <c r="O27" s="696">
        <f t="shared" ca="1" si="3"/>
        <v>39342.057850142039</v>
      </c>
      <c r="P27" s="696">
        <f t="shared" si="3"/>
        <v>481.50666666666666</v>
      </c>
      <c r="Q27" s="696">
        <f t="shared" si="3"/>
        <v>781.73333333333346</v>
      </c>
      <c r="R27" s="696">
        <f t="shared" ca="1" si="3"/>
        <v>1075888.5982344081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12191.564709909408</v>
      </c>
      <c r="D40" s="686">
        <f ca="1">tertiair!C20</f>
        <v>0</v>
      </c>
      <c r="E40" s="686">
        <f ca="1">tertiair!D20</f>
        <v>22471.452849210338</v>
      </c>
      <c r="F40" s="686">
        <f>tertiair!E20</f>
        <v>169.328584826331</v>
      </c>
      <c r="G40" s="686">
        <f ca="1">tertiair!F20</f>
        <v>2981.0796253625217</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37813.425769308604</v>
      </c>
    </row>
    <row r="41" spans="1:18">
      <c r="A41" s="814" t="s">
        <v>224</v>
      </c>
      <c r="B41" s="821"/>
      <c r="C41" s="686">
        <f ca="1">huishoudens!B12</f>
        <v>11507.122056995278</v>
      </c>
      <c r="D41" s="686">
        <f ca="1">huishoudens!C12</f>
        <v>0</v>
      </c>
      <c r="E41" s="686">
        <f>huishoudens!D12</f>
        <v>23426.27552445035</v>
      </c>
      <c r="F41" s="686">
        <f>huishoudens!E12</f>
        <v>3082.0301115239467</v>
      </c>
      <c r="G41" s="686">
        <f>huishoudens!F12</f>
        <v>12665.462794268538</v>
      </c>
      <c r="H41" s="686">
        <f>huishoudens!G12</f>
        <v>0</v>
      </c>
      <c r="I41" s="686">
        <f>huishoudens!H12</f>
        <v>0</v>
      </c>
      <c r="J41" s="686">
        <f>huishoudens!I12</f>
        <v>0</v>
      </c>
      <c r="K41" s="686">
        <f>huishoudens!J12</f>
        <v>707.2043369318917</v>
      </c>
      <c r="L41" s="686">
        <f>huishoudens!K12</f>
        <v>0</v>
      </c>
      <c r="M41" s="686">
        <f>huishoudens!L12</f>
        <v>0</v>
      </c>
      <c r="N41" s="686">
        <f>huishoudens!M12</f>
        <v>0</v>
      </c>
      <c r="O41" s="686">
        <f>huishoudens!N12</f>
        <v>0</v>
      </c>
      <c r="P41" s="686">
        <f>huishoudens!O12</f>
        <v>0</v>
      </c>
      <c r="Q41" s="763">
        <f>huishoudens!P12</f>
        <v>0</v>
      </c>
      <c r="R41" s="842">
        <f t="shared" ca="1" si="4"/>
        <v>51388.09482417001</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33796.445888352544</v>
      </c>
      <c r="D43" s="686">
        <f ca="1">industrie!C22</f>
        <v>0</v>
      </c>
      <c r="E43" s="686">
        <f>industrie!D22</f>
        <v>39930.302153685872</v>
      </c>
      <c r="F43" s="686">
        <f>industrie!E22</f>
        <v>2449.3859922161696</v>
      </c>
      <c r="G43" s="686">
        <f>industrie!F22</f>
        <v>13818.380712202077</v>
      </c>
      <c r="H43" s="686">
        <f>industrie!G22</f>
        <v>0</v>
      </c>
      <c r="I43" s="686">
        <f>industrie!H22</f>
        <v>0</v>
      </c>
      <c r="J43" s="686">
        <f>industrie!I22</f>
        <v>0</v>
      </c>
      <c r="K43" s="686">
        <f>industrie!J22</f>
        <v>108.58993576471056</v>
      </c>
      <c r="L43" s="686">
        <f>industrie!K22</f>
        <v>0</v>
      </c>
      <c r="M43" s="686">
        <f>industrie!L22</f>
        <v>0</v>
      </c>
      <c r="N43" s="686">
        <f>industrie!M22</f>
        <v>0</v>
      </c>
      <c r="O43" s="686">
        <f>industrie!N22</f>
        <v>0</v>
      </c>
      <c r="P43" s="686">
        <f>industrie!O22</f>
        <v>0</v>
      </c>
      <c r="Q43" s="763">
        <f>industrie!P22</f>
        <v>0</v>
      </c>
      <c r="R43" s="841">
        <f t="shared" ca="1" si="4"/>
        <v>90103.104682221368</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57495.132655257228</v>
      </c>
      <c r="D46" s="721">
        <f t="shared" ref="D46:Q46" ca="1" si="5">SUM(D39:D45)</f>
        <v>0</v>
      </c>
      <c r="E46" s="721">
        <f t="shared" ca="1" si="5"/>
        <v>85828.030527346564</v>
      </c>
      <c r="F46" s="721">
        <f t="shared" si="5"/>
        <v>5700.7446885664467</v>
      </c>
      <c r="G46" s="721">
        <f t="shared" ca="1" si="5"/>
        <v>29464.923131833137</v>
      </c>
      <c r="H46" s="721">
        <f t="shared" si="5"/>
        <v>0</v>
      </c>
      <c r="I46" s="721">
        <f t="shared" si="5"/>
        <v>0</v>
      </c>
      <c r="J46" s="721">
        <f t="shared" si="5"/>
        <v>0</v>
      </c>
      <c r="K46" s="721">
        <f t="shared" si="5"/>
        <v>815.79427269660232</v>
      </c>
      <c r="L46" s="721">
        <f t="shared" si="5"/>
        <v>0</v>
      </c>
      <c r="M46" s="721">
        <f t="shared" ca="1" si="5"/>
        <v>0</v>
      </c>
      <c r="N46" s="721">
        <f t="shared" si="5"/>
        <v>0</v>
      </c>
      <c r="O46" s="721">
        <f t="shared" ca="1" si="5"/>
        <v>0</v>
      </c>
      <c r="P46" s="721">
        <f t="shared" si="5"/>
        <v>0</v>
      </c>
      <c r="Q46" s="721">
        <f t="shared" si="5"/>
        <v>0</v>
      </c>
      <c r="R46" s="721">
        <f ca="1">SUM(R39:R45)</f>
        <v>179304.62527569997</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678.86835070636891</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678.86835070636891</v>
      </c>
    </row>
    <row r="50" spans="1:18">
      <c r="A50" s="817" t="s">
        <v>306</v>
      </c>
      <c r="B50" s="827"/>
      <c r="C50" s="692">
        <f ca="1">transport!B18</f>
        <v>1.698942721588768</v>
      </c>
      <c r="D50" s="692">
        <f>transport!C18</f>
        <v>0</v>
      </c>
      <c r="E50" s="692">
        <f>transport!D18</f>
        <v>2.7267043632955374</v>
      </c>
      <c r="F50" s="692">
        <f>transport!E18</f>
        <v>108.17195993046217</v>
      </c>
      <c r="G50" s="692">
        <f>transport!F18</f>
        <v>0</v>
      </c>
      <c r="H50" s="692">
        <f>transport!G18</f>
        <v>37530.972102541491</v>
      </c>
      <c r="I50" s="692">
        <f>transport!H18</f>
        <v>6125.7503237666961</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43769.320033323536</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1.698942721588768</v>
      </c>
      <c r="D52" s="721">
        <f t="shared" ref="D52:Q52" ca="1" si="6">SUM(D48:D51)</f>
        <v>0</v>
      </c>
      <c r="E52" s="721">
        <f t="shared" si="6"/>
        <v>2.7267043632955374</v>
      </c>
      <c r="F52" s="721">
        <f t="shared" si="6"/>
        <v>108.17195993046217</v>
      </c>
      <c r="G52" s="721">
        <f t="shared" si="6"/>
        <v>0</v>
      </c>
      <c r="H52" s="721">
        <f t="shared" si="6"/>
        <v>38209.84045324786</v>
      </c>
      <c r="I52" s="721">
        <f t="shared" si="6"/>
        <v>6125.7503237666961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44448.188384029905</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411.04588710004992</v>
      </c>
      <c r="D54" s="692">
        <f ca="1">+landbouw!C12</f>
        <v>12.845013571637367</v>
      </c>
      <c r="E54" s="692">
        <f>+landbouw!D12</f>
        <v>70.641835886396777</v>
      </c>
      <c r="F54" s="692">
        <f>+landbouw!E12</f>
        <v>5.6210322786397979</v>
      </c>
      <c r="G54" s="692">
        <f>+landbouw!F12</f>
        <v>1810.2442069271322</v>
      </c>
      <c r="H54" s="692">
        <f>+landbouw!G12</f>
        <v>0</v>
      </c>
      <c r="I54" s="692">
        <f>+landbouw!H12</f>
        <v>0</v>
      </c>
      <c r="J54" s="692">
        <f>+landbouw!I12</f>
        <v>0</v>
      </c>
      <c r="K54" s="692">
        <f>+landbouw!J12</f>
        <v>104.6149008095578</v>
      </c>
      <c r="L54" s="692">
        <f>+landbouw!K12</f>
        <v>0</v>
      </c>
      <c r="M54" s="692">
        <f>+landbouw!L12</f>
        <v>0</v>
      </c>
      <c r="N54" s="692">
        <f>+landbouw!M12</f>
        <v>0</v>
      </c>
      <c r="O54" s="692">
        <f>+landbouw!N12</f>
        <v>0</v>
      </c>
      <c r="P54" s="692">
        <f>+landbouw!O12</f>
        <v>0</v>
      </c>
      <c r="Q54" s="693">
        <f>+landbouw!P12</f>
        <v>0</v>
      </c>
      <c r="R54" s="720">
        <f ca="1">SUM(C54:Q54)</f>
        <v>2415.0128765734139</v>
      </c>
    </row>
    <row r="55" spans="1:18" ht="15" thickBot="1">
      <c r="A55" s="817" t="s">
        <v>856</v>
      </c>
      <c r="B55" s="827"/>
      <c r="C55" s="692">
        <f ca="1">C25*'EF ele_warmte'!B12</f>
        <v>559.32298246395328</v>
      </c>
      <c r="D55" s="692"/>
      <c r="E55" s="692">
        <f>E25*EF_CO2_aardgas</f>
        <v>1983.9717375520527</v>
      </c>
      <c r="F55" s="692"/>
      <c r="G55" s="692"/>
      <c r="H55" s="692"/>
      <c r="I55" s="692"/>
      <c r="J55" s="692"/>
      <c r="K55" s="692"/>
      <c r="L55" s="692"/>
      <c r="M55" s="692"/>
      <c r="N55" s="692"/>
      <c r="O55" s="692"/>
      <c r="P55" s="692"/>
      <c r="Q55" s="693"/>
      <c r="R55" s="720">
        <f ca="1">SUM(C55:Q55)</f>
        <v>2543.2947200160061</v>
      </c>
    </row>
    <row r="56" spans="1:18" ht="15.75" thickBot="1">
      <c r="A56" s="815" t="s">
        <v>857</v>
      </c>
      <c r="B56" s="828"/>
      <c r="C56" s="721">
        <f ca="1">SUM(C54:C55)</f>
        <v>970.36886956400326</v>
      </c>
      <c r="D56" s="721">
        <f t="shared" ref="D56:Q56" ca="1" si="7">SUM(D54:D55)</f>
        <v>12.845013571637367</v>
      </c>
      <c r="E56" s="721">
        <f t="shared" si="7"/>
        <v>2054.6135734384493</v>
      </c>
      <c r="F56" s="721">
        <f t="shared" si="7"/>
        <v>5.6210322786397979</v>
      </c>
      <c r="G56" s="721">
        <f t="shared" si="7"/>
        <v>1810.2442069271322</v>
      </c>
      <c r="H56" s="721">
        <f t="shared" si="7"/>
        <v>0</v>
      </c>
      <c r="I56" s="721">
        <f t="shared" si="7"/>
        <v>0</v>
      </c>
      <c r="J56" s="721">
        <f t="shared" si="7"/>
        <v>0</v>
      </c>
      <c r="K56" s="721">
        <f t="shared" si="7"/>
        <v>104.6149008095578</v>
      </c>
      <c r="L56" s="721">
        <f t="shared" si="7"/>
        <v>0</v>
      </c>
      <c r="M56" s="721">
        <f t="shared" si="7"/>
        <v>0</v>
      </c>
      <c r="N56" s="721">
        <f t="shared" si="7"/>
        <v>0</v>
      </c>
      <c r="O56" s="721">
        <f t="shared" si="7"/>
        <v>0</v>
      </c>
      <c r="P56" s="721">
        <f t="shared" si="7"/>
        <v>0</v>
      </c>
      <c r="Q56" s="722">
        <f t="shared" si="7"/>
        <v>0</v>
      </c>
      <c r="R56" s="723">
        <f ca="1">SUM(R54:R55)</f>
        <v>4958.3075965894204</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58467.200467542818</v>
      </c>
      <c r="D61" s="729">
        <f t="shared" ref="D61:Q61" ca="1" si="8">D46+D52+D56</f>
        <v>12.845013571637367</v>
      </c>
      <c r="E61" s="729">
        <f t="shared" ca="1" si="8"/>
        <v>87885.370805148297</v>
      </c>
      <c r="F61" s="729">
        <f t="shared" si="8"/>
        <v>5814.5376807755492</v>
      </c>
      <c r="G61" s="729">
        <f t="shared" ca="1" si="8"/>
        <v>31275.167338760268</v>
      </c>
      <c r="H61" s="729">
        <f t="shared" si="8"/>
        <v>38209.84045324786</v>
      </c>
      <c r="I61" s="729">
        <f t="shared" si="8"/>
        <v>6125.7503237666961</v>
      </c>
      <c r="J61" s="729">
        <f t="shared" si="8"/>
        <v>0</v>
      </c>
      <c r="K61" s="729">
        <f t="shared" si="8"/>
        <v>920.40917350616007</v>
      </c>
      <c r="L61" s="729">
        <f t="shared" si="8"/>
        <v>0</v>
      </c>
      <c r="M61" s="729">
        <f t="shared" ca="1" si="8"/>
        <v>0</v>
      </c>
      <c r="N61" s="729">
        <f t="shared" si="8"/>
        <v>0</v>
      </c>
      <c r="O61" s="729">
        <f t="shared" ca="1" si="8"/>
        <v>0</v>
      </c>
      <c r="P61" s="729">
        <f t="shared" si="8"/>
        <v>0</v>
      </c>
      <c r="Q61" s="729">
        <f t="shared" si="8"/>
        <v>0</v>
      </c>
      <c r="R61" s="729">
        <f ca="1">R46+R52+R56</f>
        <v>228711.12125631928</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0.20917753045894261</v>
      </c>
      <c r="D63" s="772">
        <f t="shared" ca="1" si="9"/>
        <v>0.22792166033323588</v>
      </c>
      <c r="E63" s="998">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14953.009763988968</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16.95</v>
      </c>
      <c r="D76" s="1008">
        <f>'lokale energieproductie'!C8</f>
        <v>19.125109617071029</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3.8632721426483481</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14953.009763988968</v>
      </c>
      <c r="C78" s="744">
        <f>SUM(C72:C77)</f>
        <v>16.95</v>
      </c>
      <c r="D78" s="745">
        <f t="shared" ref="D78:H78" si="10">SUM(D76:D77)</f>
        <v>19.125109617071029</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3.8632721426483481</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56.357142857142861</v>
      </c>
      <c r="D87" s="766">
        <f>'lokale energieproductie'!C17</f>
        <v>63.589176097214683</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12.845013571637367</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56.357142857142861</v>
      </c>
      <c r="D90" s="744">
        <f t="shared" ref="D90:H90" si="12">SUM(D87:D89)</f>
        <v>63.589176097214683</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12.845013571637367</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55011.272155992381</v>
      </c>
      <c r="C4" s="458">
        <f>huishoudens!C8</f>
        <v>0</v>
      </c>
      <c r="D4" s="458">
        <f>huishoudens!D8</f>
        <v>115971.66101213044</v>
      </c>
      <c r="E4" s="458">
        <f>huishoudens!E8</f>
        <v>13577.225160898444</v>
      </c>
      <c r="F4" s="458">
        <f>huishoudens!F8</f>
        <v>47436.190240706135</v>
      </c>
      <c r="G4" s="458">
        <f>huishoudens!G8</f>
        <v>0</v>
      </c>
      <c r="H4" s="458">
        <f>huishoudens!H8</f>
        <v>0</v>
      </c>
      <c r="I4" s="458">
        <f>huishoudens!I8</f>
        <v>0</v>
      </c>
      <c r="J4" s="458">
        <f>huishoudens!J8</f>
        <v>1997.7523642143833</v>
      </c>
      <c r="K4" s="458">
        <f>huishoudens!K8</f>
        <v>0</v>
      </c>
      <c r="L4" s="458">
        <f>huishoudens!L8</f>
        <v>0</v>
      </c>
      <c r="M4" s="458">
        <f>huishoudens!M8</f>
        <v>0</v>
      </c>
      <c r="N4" s="458">
        <f>huishoudens!N8</f>
        <v>25615.871500812653</v>
      </c>
      <c r="O4" s="458">
        <f>huishoudens!O8</f>
        <v>476.81666666666666</v>
      </c>
      <c r="P4" s="459">
        <f>huishoudens!P8</f>
        <v>762.66666666666674</v>
      </c>
      <c r="Q4" s="460">
        <f>SUM(B4:P4)</f>
        <v>260849.45576808779</v>
      </c>
    </row>
    <row r="5" spans="1:17">
      <c r="A5" s="457" t="s">
        <v>155</v>
      </c>
      <c r="B5" s="458">
        <f ca="1">tertiair!B16</f>
        <v>55832.229000791478</v>
      </c>
      <c r="C5" s="458">
        <f ca="1">tertiair!C16</f>
        <v>0</v>
      </c>
      <c r="D5" s="458">
        <f ca="1">tertiair!D16</f>
        <v>111244.81608519968</v>
      </c>
      <c r="E5" s="458">
        <f>tertiair!E16</f>
        <v>745.94090231863868</v>
      </c>
      <c r="F5" s="458">
        <f ca="1">tertiair!F16</f>
        <v>11165.092229822178</v>
      </c>
      <c r="G5" s="458">
        <f>tertiair!G16</f>
        <v>0</v>
      </c>
      <c r="H5" s="458">
        <f>tertiair!H16</f>
        <v>0</v>
      </c>
      <c r="I5" s="458">
        <f>tertiair!I16</f>
        <v>0</v>
      </c>
      <c r="J5" s="458">
        <f>tertiair!J16</f>
        <v>0</v>
      </c>
      <c r="K5" s="458">
        <f>tertiair!K16</f>
        <v>0</v>
      </c>
      <c r="L5" s="458">
        <f ca="1">tertiair!L16</f>
        <v>0</v>
      </c>
      <c r="M5" s="458">
        <f>tertiair!M16</f>
        <v>0</v>
      </c>
      <c r="N5" s="458">
        <f ca="1">tertiair!N16</f>
        <v>4718.7173897167559</v>
      </c>
      <c r="O5" s="458">
        <f>tertiair!O16</f>
        <v>4.6900000000000004</v>
      </c>
      <c r="P5" s="459">
        <f>tertiair!P16</f>
        <v>19.066666666666666</v>
      </c>
      <c r="Q5" s="457">
        <f t="shared" ref="Q5:Q14" ca="1" si="0">SUM(B5:P5)</f>
        <v>183730.55227451542</v>
      </c>
    </row>
    <row r="6" spans="1:17">
      <c r="A6" s="457" t="s">
        <v>193</v>
      </c>
      <c r="B6" s="458">
        <f>'openbare verlichting'!B8</f>
        <v>2451.1089999999999</v>
      </c>
      <c r="C6" s="458"/>
      <c r="D6" s="458"/>
      <c r="E6" s="458"/>
      <c r="F6" s="458"/>
      <c r="G6" s="458"/>
      <c r="H6" s="458"/>
      <c r="I6" s="458"/>
      <c r="J6" s="458"/>
      <c r="K6" s="458"/>
      <c r="L6" s="458"/>
      <c r="M6" s="458"/>
      <c r="N6" s="458"/>
      <c r="O6" s="458"/>
      <c r="P6" s="459"/>
      <c r="Q6" s="457">
        <f t="shared" si="0"/>
        <v>2451.1089999999999</v>
      </c>
    </row>
    <row r="7" spans="1:17">
      <c r="A7" s="457" t="s">
        <v>111</v>
      </c>
      <c r="B7" s="458">
        <f>landbouw!B8</f>
        <v>1965.0575575598452</v>
      </c>
      <c r="C7" s="458">
        <f>landbouw!C8</f>
        <v>56.357142857142861</v>
      </c>
      <c r="D7" s="458">
        <f>landbouw!D8</f>
        <v>349.71205884354839</v>
      </c>
      <c r="E7" s="458">
        <f>landbouw!E8</f>
        <v>24.762256734096024</v>
      </c>
      <c r="F7" s="458">
        <f>landbouw!F8</f>
        <v>6779.9408499143519</v>
      </c>
      <c r="G7" s="458">
        <f>landbouw!G8</f>
        <v>0</v>
      </c>
      <c r="H7" s="458">
        <f>landbouw!H8</f>
        <v>0</v>
      </c>
      <c r="I7" s="458">
        <f>landbouw!I8</f>
        <v>0</v>
      </c>
      <c r="J7" s="458">
        <f>landbouw!J8</f>
        <v>295.52231867106724</v>
      </c>
      <c r="K7" s="458">
        <f>landbouw!K8</f>
        <v>0</v>
      </c>
      <c r="L7" s="458">
        <f>landbouw!L8</f>
        <v>0</v>
      </c>
      <c r="M7" s="458">
        <f>landbouw!M8</f>
        <v>0</v>
      </c>
      <c r="N7" s="458">
        <f>landbouw!N8</f>
        <v>0</v>
      </c>
      <c r="O7" s="458">
        <f>landbouw!O8</f>
        <v>0</v>
      </c>
      <c r="P7" s="459">
        <f>landbouw!P8</f>
        <v>0</v>
      </c>
      <c r="Q7" s="457">
        <f t="shared" si="0"/>
        <v>9471.3521845800515</v>
      </c>
    </row>
    <row r="8" spans="1:17">
      <c r="A8" s="457" t="s">
        <v>655</v>
      </c>
      <c r="B8" s="458">
        <f>industrie!B18</f>
        <v>161568.24212525116</v>
      </c>
      <c r="C8" s="458">
        <f>industrie!C18</f>
        <v>0</v>
      </c>
      <c r="D8" s="458">
        <f>industrie!D18</f>
        <v>197674.76313705876</v>
      </c>
      <c r="E8" s="458">
        <f>industrie!E18</f>
        <v>10790.246661745241</v>
      </c>
      <c r="F8" s="458">
        <f>industrie!F18</f>
        <v>51754.234877161332</v>
      </c>
      <c r="G8" s="458">
        <f>industrie!G18</f>
        <v>0</v>
      </c>
      <c r="H8" s="458">
        <f>industrie!H18</f>
        <v>0</v>
      </c>
      <c r="I8" s="458">
        <f>industrie!I18</f>
        <v>0</v>
      </c>
      <c r="J8" s="458">
        <f>industrie!J18</f>
        <v>306.75123097375865</v>
      </c>
      <c r="K8" s="458">
        <f>industrie!K18</f>
        <v>0</v>
      </c>
      <c r="L8" s="458">
        <f>industrie!L18</f>
        <v>0</v>
      </c>
      <c r="M8" s="458">
        <f>industrie!M18</f>
        <v>0</v>
      </c>
      <c r="N8" s="458">
        <f>industrie!N18</f>
        <v>9007.4689596126263</v>
      </c>
      <c r="O8" s="458">
        <f>industrie!O18</f>
        <v>0</v>
      </c>
      <c r="P8" s="459">
        <f>industrie!P18</f>
        <v>0</v>
      </c>
      <c r="Q8" s="457">
        <f t="shared" si="0"/>
        <v>431101.7069918029</v>
      </c>
    </row>
    <row r="9" spans="1:17" s="463" customFormat="1">
      <c r="A9" s="461" t="s">
        <v>573</v>
      </c>
      <c r="B9" s="462">
        <f>transport!B14</f>
        <v>8.1220134775529171</v>
      </c>
      <c r="C9" s="462">
        <f>transport!C14</f>
        <v>0</v>
      </c>
      <c r="D9" s="462">
        <f>transport!D14</f>
        <v>13.498536451958106</v>
      </c>
      <c r="E9" s="462">
        <f>transport!E14</f>
        <v>476.52845784344566</v>
      </c>
      <c r="F9" s="462">
        <f>transport!F14</f>
        <v>0</v>
      </c>
      <c r="G9" s="462">
        <f>transport!G14</f>
        <v>140565.43858629771</v>
      </c>
      <c r="H9" s="462">
        <f>transport!H14</f>
        <v>24601.406922757815</v>
      </c>
      <c r="I9" s="462">
        <f>transport!I14</f>
        <v>0</v>
      </c>
      <c r="J9" s="462">
        <f>transport!J14</f>
        <v>0</v>
      </c>
      <c r="K9" s="462">
        <f>transport!K14</f>
        <v>0</v>
      </c>
      <c r="L9" s="462">
        <f>transport!L14</f>
        <v>0</v>
      </c>
      <c r="M9" s="462">
        <f>transport!M14</f>
        <v>7468.1196661776694</v>
      </c>
      <c r="N9" s="462">
        <f>transport!N14</f>
        <v>0</v>
      </c>
      <c r="O9" s="462">
        <f>transport!O14</f>
        <v>0</v>
      </c>
      <c r="P9" s="462">
        <f>transport!P14</f>
        <v>0</v>
      </c>
      <c r="Q9" s="461">
        <f>SUM(B9:P9)</f>
        <v>173133.11418300617</v>
      </c>
    </row>
    <row r="10" spans="1:17">
      <c r="A10" s="457" t="s">
        <v>563</v>
      </c>
      <c r="B10" s="458">
        <f>transport!B54</f>
        <v>0</v>
      </c>
      <c r="C10" s="458">
        <f>transport!C54</f>
        <v>0</v>
      </c>
      <c r="D10" s="458">
        <f>transport!D54</f>
        <v>0</v>
      </c>
      <c r="E10" s="458">
        <f>transport!E54</f>
        <v>0</v>
      </c>
      <c r="F10" s="458">
        <f>transport!F54</f>
        <v>0</v>
      </c>
      <c r="G10" s="458">
        <f>transport!G54</f>
        <v>2542.5780925332169</v>
      </c>
      <c r="H10" s="458">
        <f>transport!H54</f>
        <v>0</v>
      </c>
      <c r="I10" s="458">
        <f>transport!I54</f>
        <v>0</v>
      </c>
      <c r="J10" s="458">
        <f>transport!J54</f>
        <v>0</v>
      </c>
      <c r="K10" s="458">
        <f>transport!K54</f>
        <v>0</v>
      </c>
      <c r="L10" s="458">
        <f>transport!L54</f>
        <v>0</v>
      </c>
      <c r="M10" s="458">
        <f>transport!M54</f>
        <v>113.1722543536367</v>
      </c>
      <c r="N10" s="458">
        <f>transport!N54</f>
        <v>0</v>
      </c>
      <c r="O10" s="458">
        <f>transport!O54</f>
        <v>0</v>
      </c>
      <c r="P10" s="459">
        <f>transport!P54</f>
        <v>0</v>
      </c>
      <c r="Q10" s="457">
        <f t="shared" si="0"/>
        <v>2655.7503468868535</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2673.9152204196098</v>
      </c>
      <c r="C14" s="465"/>
      <c r="D14" s="465">
        <f>'SEAP template'!E25</f>
        <v>9821.6422651091707</v>
      </c>
      <c r="E14" s="465"/>
      <c r="F14" s="465"/>
      <c r="G14" s="465"/>
      <c r="H14" s="465"/>
      <c r="I14" s="465"/>
      <c r="J14" s="465"/>
      <c r="K14" s="465"/>
      <c r="L14" s="465"/>
      <c r="M14" s="465"/>
      <c r="N14" s="465"/>
      <c r="O14" s="465"/>
      <c r="P14" s="466"/>
      <c r="Q14" s="457">
        <f t="shared" si="0"/>
        <v>12495.557485528781</v>
      </c>
    </row>
    <row r="15" spans="1:17" s="470" customFormat="1">
      <c r="A15" s="467" t="s">
        <v>567</v>
      </c>
      <c r="B15" s="468">
        <f ca="1">SUM(B4:B14)</f>
        <v>279509.94707349199</v>
      </c>
      <c r="C15" s="468">
        <f t="shared" ref="C15:Q15" ca="1" si="1">SUM(C4:C14)</f>
        <v>56.357142857142861</v>
      </c>
      <c r="D15" s="468">
        <f t="shared" ca="1" si="1"/>
        <v>435076.09309479356</v>
      </c>
      <c r="E15" s="468">
        <f t="shared" si="1"/>
        <v>25614.703439539866</v>
      </c>
      <c r="F15" s="468">
        <f t="shared" ca="1" si="1"/>
        <v>117135.45819760399</v>
      </c>
      <c r="G15" s="468">
        <f t="shared" si="1"/>
        <v>143108.01667883093</v>
      </c>
      <c r="H15" s="468">
        <f t="shared" si="1"/>
        <v>24601.406922757815</v>
      </c>
      <c r="I15" s="468">
        <f t="shared" si="1"/>
        <v>0</v>
      </c>
      <c r="J15" s="468">
        <f t="shared" si="1"/>
        <v>2600.0259138592091</v>
      </c>
      <c r="K15" s="468">
        <f t="shared" si="1"/>
        <v>0</v>
      </c>
      <c r="L15" s="468">
        <f t="shared" ca="1" si="1"/>
        <v>0</v>
      </c>
      <c r="M15" s="468">
        <f t="shared" si="1"/>
        <v>7581.2919205313065</v>
      </c>
      <c r="N15" s="468">
        <f t="shared" ca="1" si="1"/>
        <v>39342.057850142039</v>
      </c>
      <c r="O15" s="468">
        <f t="shared" si="1"/>
        <v>481.50666666666666</v>
      </c>
      <c r="P15" s="468">
        <f t="shared" si="1"/>
        <v>781.73333333333346</v>
      </c>
      <c r="Q15" s="468">
        <f t="shared" ca="1" si="1"/>
        <v>1075888.5982344081</v>
      </c>
    </row>
    <row r="17" spans="1:17">
      <c r="A17" s="471" t="s">
        <v>568</v>
      </c>
      <c r="B17" s="777">
        <f ca="1">huishoudens!B10</f>
        <v>0.20917753045894263</v>
      </c>
      <c r="C17" s="777">
        <f ca="1">huishoudens!C10</f>
        <v>0.22792166033323588</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11507.122056995278</v>
      </c>
      <c r="C22" s="458">
        <f t="shared" ref="C22:C32" ca="1" si="3">C4*$C$17</f>
        <v>0</v>
      </c>
      <c r="D22" s="458">
        <f t="shared" ref="D22:D32" si="4">D4*$D$17</f>
        <v>23426.27552445035</v>
      </c>
      <c r="E22" s="458">
        <f t="shared" ref="E22:E32" si="5">E4*$E$17</f>
        <v>3082.0301115239467</v>
      </c>
      <c r="F22" s="458">
        <f t="shared" ref="F22:F32" si="6">F4*$F$17</f>
        <v>12665.462794268538</v>
      </c>
      <c r="G22" s="458">
        <f t="shared" ref="G22:G32" si="7">G4*$G$17</f>
        <v>0</v>
      </c>
      <c r="H22" s="458">
        <f t="shared" ref="H22:H32" si="8">H4*$H$17</f>
        <v>0</v>
      </c>
      <c r="I22" s="458">
        <f t="shared" ref="I22:I32" si="9">I4*$I$17</f>
        <v>0</v>
      </c>
      <c r="J22" s="458">
        <f t="shared" ref="J22:J32" si="10">J4*$J$17</f>
        <v>707.2043369318917</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51388.09482417001</v>
      </c>
    </row>
    <row r="23" spans="1:17">
      <c r="A23" s="457" t="s">
        <v>155</v>
      </c>
      <c r="B23" s="458">
        <f t="shared" ca="1" si="2"/>
        <v>11678.84778240372</v>
      </c>
      <c r="C23" s="458">
        <f t="shared" ca="1" si="3"/>
        <v>0</v>
      </c>
      <c r="D23" s="458">
        <f t="shared" ca="1" si="4"/>
        <v>22471.452849210338</v>
      </c>
      <c r="E23" s="458">
        <f t="shared" si="5"/>
        <v>169.328584826331</v>
      </c>
      <c r="F23" s="458">
        <f t="shared" ca="1" si="6"/>
        <v>2981.0796253625217</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37300.708841802916</v>
      </c>
    </row>
    <row r="24" spans="1:17">
      <c r="A24" s="457" t="s">
        <v>193</v>
      </c>
      <c r="B24" s="458">
        <f t="shared" ca="1" si="2"/>
        <v>512.71692750568843</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512.71692750568843</v>
      </c>
    </row>
    <row r="25" spans="1:17">
      <c r="A25" s="457" t="s">
        <v>111</v>
      </c>
      <c r="B25" s="458">
        <f t="shared" ca="1" si="2"/>
        <v>411.04588710004992</v>
      </c>
      <c r="C25" s="458">
        <f t="shared" ca="1" si="3"/>
        <v>12.845013571637367</v>
      </c>
      <c r="D25" s="458">
        <f t="shared" si="4"/>
        <v>70.641835886396777</v>
      </c>
      <c r="E25" s="458">
        <f t="shared" si="5"/>
        <v>5.6210322786397979</v>
      </c>
      <c r="F25" s="458">
        <f t="shared" si="6"/>
        <v>1810.2442069271322</v>
      </c>
      <c r="G25" s="458">
        <f t="shared" si="7"/>
        <v>0</v>
      </c>
      <c r="H25" s="458">
        <f t="shared" si="8"/>
        <v>0</v>
      </c>
      <c r="I25" s="458">
        <f t="shared" si="9"/>
        <v>0</v>
      </c>
      <c r="J25" s="458">
        <f t="shared" si="10"/>
        <v>104.6149008095578</v>
      </c>
      <c r="K25" s="458">
        <f t="shared" si="11"/>
        <v>0</v>
      </c>
      <c r="L25" s="458">
        <f t="shared" si="12"/>
        <v>0</v>
      </c>
      <c r="M25" s="458">
        <f t="shared" si="13"/>
        <v>0</v>
      </c>
      <c r="N25" s="458">
        <f t="shared" si="14"/>
        <v>0</v>
      </c>
      <c r="O25" s="458">
        <f t="shared" si="15"/>
        <v>0</v>
      </c>
      <c r="P25" s="459">
        <f t="shared" si="16"/>
        <v>0</v>
      </c>
      <c r="Q25" s="457">
        <f t="shared" ca="1" si="17"/>
        <v>2415.0128765734139</v>
      </c>
    </row>
    <row r="26" spans="1:17">
      <c r="A26" s="457" t="s">
        <v>655</v>
      </c>
      <c r="B26" s="458">
        <f t="shared" ca="1" si="2"/>
        <v>33796.445888352544</v>
      </c>
      <c r="C26" s="458">
        <f t="shared" ca="1" si="3"/>
        <v>0</v>
      </c>
      <c r="D26" s="458">
        <f t="shared" si="4"/>
        <v>39930.302153685872</v>
      </c>
      <c r="E26" s="458">
        <f t="shared" si="5"/>
        <v>2449.3859922161696</v>
      </c>
      <c r="F26" s="458">
        <f t="shared" si="6"/>
        <v>13818.380712202077</v>
      </c>
      <c r="G26" s="458">
        <f t="shared" si="7"/>
        <v>0</v>
      </c>
      <c r="H26" s="458">
        <f t="shared" si="8"/>
        <v>0</v>
      </c>
      <c r="I26" s="458">
        <f t="shared" si="9"/>
        <v>0</v>
      </c>
      <c r="J26" s="458">
        <f t="shared" si="10"/>
        <v>108.58993576471056</v>
      </c>
      <c r="K26" s="458">
        <f t="shared" si="11"/>
        <v>0</v>
      </c>
      <c r="L26" s="458">
        <f t="shared" si="12"/>
        <v>0</v>
      </c>
      <c r="M26" s="458">
        <f t="shared" si="13"/>
        <v>0</v>
      </c>
      <c r="N26" s="458">
        <f t="shared" si="14"/>
        <v>0</v>
      </c>
      <c r="O26" s="458">
        <f t="shared" si="15"/>
        <v>0</v>
      </c>
      <c r="P26" s="459">
        <f t="shared" si="16"/>
        <v>0</v>
      </c>
      <c r="Q26" s="457">
        <f t="shared" ca="1" si="17"/>
        <v>90103.104682221368</v>
      </c>
    </row>
    <row r="27" spans="1:17" s="463" customFormat="1">
      <c r="A27" s="461" t="s">
        <v>573</v>
      </c>
      <c r="B27" s="771">
        <f t="shared" ca="1" si="2"/>
        <v>1.698942721588768</v>
      </c>
      <c r="C27" s="462">
        <f t="shared" ca="1" si="3"/>
        <v>0</v>
      </c>
      <c r="D27" s="462">
        <f t="shared" si="4"/>
        <v>2.7267043632955374</v>
      </c>
      <c r="E27" s="462">
        <f t="shared" si="5"/>
        <v>108.17195993046217</v>
      </c>
      <c r="F27" s="462">
        <f t="shared" si="6"/>
        <v>0</v>
      </c>
      <c r="G27" s="462">
        <f t="shared" si="7"/>
        <v>37530.972102541491</v>
      </c>
      <c r="H27" s="462">
        <f t="shared" si="8"/>
        <v>6125.7503237666961</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43769.320033323536</v>
      </c>
    </row>
    <row r="28" spans="1:17">
      <c r="A28" s="457" t="s">
        <v>563</v>
      </c>
      <c r="B28" s="458">
        <f t="shared" ca="1" si="2"/>
        <v>0</v>
      </c>
      <c r="C28" s="458">
        <f t="shared" ca="1" si="3"/>
        <v>0</v>
      </c>
      <c r="D28" s="458">
        <f t="shared" si="4"/>
        <v>0</v>
      </c>
      <c r="E28" s="458">
        <f t="shared" si="5"/>
        <v>0</v>
      </c>
      <c r="F28" s="458">
        <f t="shared" si="6"/>
        <v>0</v>
      </c>
      <c r="G28" s="458">
        <f t="shared" si="7"/>
        <v>678.86835070636891</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678.86835070636891</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559.32298246395328</v>
      </c>
      <c r="C32" s="458">
        <f t="shared" ca="1" si="3"/>
        <v>0</v>
      </c>
      <c r="D32" s="458">
        <f t="shared" si="4"/>
        <v>1983.9717375520527</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2543.2947200160061</v>
      </c>
    </row>
    <row r="33" spans="1:17" s="470" customFormat="1">
      <c r="A33" s="467" t="s">
        <v>567</v>
      </c>
      <c r="B33" s="468">
        <f ca="1">SUM(B22:B32)</f>
        <v>58467.200467542818</v>
      </c>
      <c r="C33" s="468">
        <f t="shared" ref="C33:Q33" ca="1" si="18">SUM(C22:C32)</f>
        <v>12.845013571637367</v>
      </c>
      <c r="D33" s="468">
        <f t="shared" ca="1" si="18"/>
        <v>87885.370805148312</v>
      </c>
      <c r="E33" s="468">
        <f t="shared" si="18"/>
        <v>5814.5376807755492</v>
      </c>
      <c r="F33" s="468">
        <f t="shared" ca="1" si="18"/>
        <v>31275.167338760268</v>
      </c>
      <c r="G33" s="468">
        <f t="shared" si="18"/>
        <v>38209.84045324786</v>
      </c>
      <c r="H33" s="468">
        <f t="shared" si="18"/>
        <v>6125.7503237666961</v>
      </c>
      <c r="I33" s="468">
        <f t="shared" si="18"/>
        <v>0</v>
      </c>
      <c r="J33" s="468">
        <f t="shared" si="18"/>
        <v>920.40917350615996</v>
      </c>
      <c r="K33" s="468">
        <f t="shared" si="18"/>
        <v>0</v>
      </c>
      <c r="L33" s="468">
        <f t="shared" ca="1" si="18"/>
        <v>0</v>
      </c>
      <c r="M33" s="468">
        <f t="shared" si="18"/>
        <v>0</v>
      </c>
      <c r="N33" s="468">
        <f t="shared" ca="1" si="18"/>
        <v>0</v>
      </c>
      <c r="O33" s="468">
        <f t="shared" si="18"/>
        <v>0</v>
      </c>
      <c r="P33" s="468">
        <f t="shared" si="18"/>
        <v>0</v>
      </c>
      <c r="Q33" s="468">
        <f t="shared" ca="1" si="18"/>
        <v>228711.12125631934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14953.009763988968</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16.95</v>
      </c>
      <c r="D8" s="1034">
        <f>'SEAP template'!D76</f>
        <v>19.125109617071029</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3.8632721426483481</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14953.009763988968</v>
      </c>
      <c r="C10" s="1038">
        <f>SUM(C4:C9)</f>
        <v>16.95</v>
      </c>
      <c r="D10" s="1038">
        <f t="shared" ref="D10:H10" si="0">SUM(D8:D9)</f>
        <v>19.125109617071029</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3.8632721426483481</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0.20917753045894263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56.357142857142861</v>
      </c>
      <c r="D17" s="1035">
        <f>'SEAP template'!D87</f>
        <v>63.589176097214683</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12.845013571637367</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56.357142857142861</v>
      </c>
      <c r="D20" s="1038">
        <f t="shared" ref="D20:H20" si="2">SUM(D17:D19)</f>
        <v>63.589176097214683</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12.845013571637367</v>
      </c>
    </row>
    <row r="22" spans="1:16">
      <c r="A22" s="471" t="s">
        <v>879</v>
      </c>
      <c r="B22" s="777" t="s">
        <v>873</v>
      </c>
      <c r="C22" s="777">
        <f ca="1">'EF ele_warmte'!B22</f>
        <v>0.22792166033323588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0.20917753045894263</v>
      </c>
      <c r="C17" s="508">
        <f ca="1">'EF ele_warmte'!B22</f>
        <v>0.22792166033323588</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2</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3.1266666666666669</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2</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38.133333333333333</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0.20917753045894263</v>
      </c>
      <c r="C17" s="508">
        <f ca="1">'EF ele_warmte'!B22</f>
        <v>0.22792166033323588</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0.20917753045894263</v>
      </c>
      <c r="C29" s="509">
        <f ca="1">'EF ele_warmte'!B22</f>
        <v>0.22792166033323588</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12931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3771</v>
      </c>
      <c r="C14" s="332"/>
      <c r="D14" s="332"/>
      <c r="E14" s="332"/>
      <c r="F14" s="332"/>
    </row>
    <row r="15" spans="1:6">
      <c r="A15" s="1306" t="s">
        <v>183</v>
      </c>
      <c r="B15" s="1307">
        <v>36</v>
      </c>
      <c r="C15" s="332"/>
      <c r="D15" s="332"/>
      <c r="E15" s="332"/>
      <c r="F15" s="332"/>
    </row>
    <row r="16" spans="1:6">
      <c r="A16" s="1306" t="s">
        <v>6</v>
      </c>
      <c r="B16" s="1307">
        <v>1022</v>
      </c>
      <c r="C16" s="332"/>
      <c r="D16" s="332"/>
      <c r="E16" s="332"/>
      <c r="F16" s="332"/>
    </row>
    <row r="17" spans="1:6">
      <c r="A17" s="1306" t="s">
        <v>7</v>
      </c>
      <c r="B17" s="1307">
        <v>850</v>
      </c>
      <c r="C17" s="332"/>
      <c r="D17" s="332"/>
      <c r="E17" s="332"/>
      <c r="F17" s="332"/>
    </row>
    <row r="18" spans="1:6">
      <c r="A18" s="1306" t="s">
        <v>8</v>
      </c>
      <c r="B18" s="1307">
        <v>1274</v>
      </c>
      <c r="C18" s="332"/>
      <c r="D18" s="332"/>
      <c r="E18" s="332"/>
      <c r="F18" s="332"/>
    </row>
    <row r="19" spans="1:6">
      <c r="A19" s="1306" t="s">
        <v>9</v>
      </c>
      <c r="B19" s="1307">
        <v>1200</v>
      </c>
      <c r="C19" s="332"/>
      <c r="D19" s="332"/>
      <c r="E19" s="332"/>
      <c r="F19" s="332"/>
    </row>
    <row r="20" spans="1:6">
      <c r="A20" s="1306" t="s">
        <v>10</v>
      </c>
      <c r="B20" s="1307">
        <v>786</v>
      </c>
      <c r="C20" s="332"/>
      <c r="D20" s="332"/>
      <c r="E20" s="332"/>
      <c r="F20" s="332"/>
    </row>
    <row r="21" spans="1:6">
      <c r="A21" s="1306" t="s">
        <v>11</v>
      </c>
      <c r="B21" s="1307">
        <v>1739</v>
      </c>
      <c r="C21" s="332"/>
      <c r="D21" s="332"/>
      <c r="E21" s="332"/>
      <c r="F21" s="332"/>
    </row>
    <row r="22" spans="1:6">
      <c r="A22" s="1306" t="s">
        <v>12</v>
      </c>
      <c r="B22" s="1307">
        <v>4863</v>
      </c>
      <c r="C22" s="332"/>
      <c r="D22" s="332"/>
      <c r="E22" s="332"/>
      <c r="F22" s="332"/>
    </row>
    <row r="23" spans="1:6">
      <c r="A23" s="1306" t="s">
        <v>13</v>
      </c>
      <c r="B23" s="1307">
        <v>138</v>
      </c>
      <c r="C23" s="332"/>
      <c r="D23" s="332"/>
      <c r="E23" s="332"/>
      <c r="F23" s="332"/>
    </row>
    <row r="24" spans="1:6">
      <c r="A24" s="1306" t="s">
        <v>14</v>
      </c>
      <c r="B24" s="1307">
        <v>11</v>
      </c>
      <c r="C24" s="332"/>
      <c r="D24" s="332"/>
      <c r="E24" s="332"/>
      <c r="F24" s="332"/>
    </row>
    <row r="25" spans="1:6">
      <c r="A25" s="1306" t="s">
        <v>15</v>
      </c>
      <c r="B25" s="1307">
        <v>526</v>
      </c>
      <c r="C25" s="332"/>
      <c r="D25" s="332"/>
      <c r="E25" s="332"/>
      <c r="F25" s="332"/>
    </row>
    <row r="26" spans="1:6">
      <c r="A26" s="1306" t="s">
        <v>16</v>
      </c>
      <c r="B26" s="1307">
        <v>116</v>
      </c>
      <c r="C26" s="332"/>
      <c r="D26" s="332"/>
      <c r="E26" s="332"/>
      <c r="F26" s="332"/>
    </row>
    <row r="27" spans="1:6">
      <c r="A27" s="1306" t="s">
        <v>17</v>
      </c>
      <c r="B27" s="1307">
        <v>1</v>
      </c>
      <c r="C27" s="332"/>
      <c r="D27" s="332"/>
      <c r="E27" s="332"/>
      <c r="F27" s="332"/>
    </row>
    <row r="28" spans="1:6" s="43" customFormat="1">
      <c r="A28" s="1308" t="s">
        <v>18</v>
      </c>
      <c r="B28" s="1309">
        <v>219066</v>
      </c>
      <c r="C28" s="338"/>
      <c r="D28" s="338"/>
      <c r="E28" s="338"/>
      <c r="F28" s="338"/>
    </row>
    <row r="29" spans="1:6">
      <c r="A29" s="1308" t="s">
        <v>916</v>
      </c>
      <c r="B29" s="1309">
        <v>75</v>
      </c>
      <c r="C29" s="338"/>
      <c r="D29" s="338"/>
      <c r="E29" s="338"/>
      <c r="F29" s="338"/>
    </row>
    <row r="30" spans="1:6">
      <c r="A30" s="1301" t="s">
        <v>917</v>
      </c>
      <c r="B30" s="1310">
        <v>32</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5</v>
      </c>
      <c r="F35" s="1307">
        <v>23064.707508838801</v>
      </c>
    </row>
    <row r="36" spans="1:6">
      <c r="A36" s="1306" t="s">
        <v>24</v>
      </c>
      <c r="B36" s="1306" t="s">
        <v>26</v>
      </c>
      <c r="C36" s="1307">
        <v>0</v>
      </c>
      <c r="D36" s="1307">
        <v>0</v>
      </c>
      <c r="E36" s="1307">
        <v>5</v>
      </c>
      <c r="F36" s="1307">
        <v>17083.653092142798</v>
      </c>
    </row>
    <row r="37" spans="1:6">
      <c r="A37" s="1306" t="s">
        <v>24</v>
      </c>
      <c r="B37" s="1306" t="s">
        <v>27</v>
      </c>
      <c r="C37" s="1307">
        <v>0</v>
      </c>
      <c r="D37" s="1307">
        <v>0</v>
      </c>
      <c r="E37" s="1307">
        <v>0</v>
      </c>
      <c r="F37" s="1307">
        <v>0</v>
      </c>
    </row>
    <row r="38" spans="1:6">
      <c r="A38" s="1306" t="s">
        <v>24</v>
      </c>
      <c r="B38" s="1306" t="s">
        <v>28</v>
      </c>
      <c r="C38" s="1307">
        <v>5</v>
      </c>
      <c r="D38" s="1307">
        <v>151634.29660293</v>
      </c>
      <c r="E38" s="1307">
        <v>2</v>
      </c>
      <c r="F38" s="1307">
        <v>364591.99422092002</v>
      </c>
    </row>
    <row r="39" spans="1:6">
      <c r="A39" s="1306" t="s">
        <v>29</v>
      </c>
      <c r="B39" s="1306" t="s">
        <v>30</v>
      </c>
      <c r="C39" s="1307">
        <v>7439</v>
      </c>
      <c r="D39" s="1307">
        <v>128571686.26622</v>
      </c>
      <c r="E39" s="1307">
        <v>12667</v>
      </c>
      <c r="F39" s="1307">
        <v>50863153.246923998</v>
      </c>
    </row>
    <row r="40" spans="1:6">
      <c r="A40" s="1306" t="s">
        <v>29</v>
      </c>
      <c r="B40" s="1306" t="s">
        <v>28</v>
      </c>
      <c r="C40" s="1307">
        <v>0</v>
      </c>
      <c r="D40" s="1307">
        <v>0</v>
      </c>
      <c r="E40" s="1307">
        <v>0</v>
      </c>
      <c r="F40" s="1307">
        <v>0</v>
      </c>
    </row>
    <row r="41" spans="1:6">
      <c r="A41" s="1306" t="s">
        <v>31</v>
      </c>
      <c r="B41" s="1306" t="s">
        <v>32</v>
      </c>
      <c r="C41" s="1307">
        <v>127</v>
      </c>
      <c r="D41" s="1307">
        <v>18110389.270819001</v>
      </c>
      <c r="E41" s="1307">
        <v>293</v>
      </c>
      <c r="F41" s="1307">
        <v>15393441.2542788</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12</v>
      </c>
      <c r="D44" s="1307">
        <v>2929196.27007369</v>
      </c>
      <c r="E44" s="1307">
        <v>40</v>
      </c>
      <c r="F44" s="1307">
        <v>3563973.0669967802</v>
      </c>
    </row>
    <row r="45" spans="1:6">
      <c r="A45" s="1306" t="s">
        <v>31</v>
      </c>
      <c r="B45" s="1306" t="s">
        <v>36</v>
      </c>
      <c r="C45" s="1307">
        <v>4</v>
      </c>
      <c r="D45" s="1307">
        <v>957149.95911838696</v>
      </c>
      <c r="E45" s="1307">
        <v>14</v>
      </c>
      <c r="F45" s="1307">
        <v>7655415.34584489</v>
      </c>
    </row>
    <row r="46" spans="1:6">
      <c r="A46" s="1306" t="s">
        <v>31</v>
      </c>
      <c r="B46" s="1306" t="s">
        <v>37</v>
      </c>
      <c r="C46" s="1307">
        <v>0</v>
      </c>
      <c r="D46" s="1307">
        <v>0</v>
      </c>
      <c r="E46" s="1307">
        <v>0</v>
      </c>
      <c r="F46" s="1307">
        <v>0</v>
      </c>
    </row>
    <row r="47" spans="1:6">
      <c r="A47" s="1306" t="s">
        <v>31</v>
      </c>
      <c r="B47" s="1306" t="s">
        <v>38</v>
      </c>
      <c r="C47" s="1307">
        <v>7</v>
      </c>
      <c r="D47" s="1307">
        <v>534880.69307903701</v>
      </c>
      <c r="E47" s="1307">
        <v>15</v>
      </c>
      <c r="F47" s="1307">
        <v>1351380.4493962601</v>
      </c>
    </row>
    <row r="48" spans="1:6">
      <c r="A48" s="1306" t="s">
        <v>31</v>
      </c>
      <c r="B48" s="1306" t="s">
        <v>28</v>
      </c>
      <c r="C48" s="1307">
        <v>52</v>
      </c>
      <c r="D48" s="1307">
        <v>177480264.87510899</v>
      </c>
      <c r="E48" s="1307">
        <v>47</v>
      </c>
      <c r="F48" s="1307">
        <v>103210885.228568</v>
      </c>
    </row>
    <row r="49" spans="1:6">
      <c r="A49" s="1306" t="s">
        <v>31</v>
      </c>
      <c r="B49" s="1306" t="s">
        <v>39</v>
      </c>
      <c r="C49" s="1307">
        <v>3</v>
      </c>
      <c r="D49" s="1307">
        <v>83621.7258270358</v>
      </c>
      <c r="E49" s="1307">
        <v>16</v>
      </c>
      <c r="F49" s="1307">
        <v>21992790.051077101</v>
      </c>
    </row>
    <row r="50" spans="1:6">
      <c r="A50" s="1306" t="s">
        <v>31</v>
      </c>
      <c r="B50" s="1306" t="s">
        <v>40</v>
      </c>
      <c r="C50" s="1307">
        <v>26</v>
      </c>
      <c r="D50" s="1307">
        <v>19056119.309143201</v>
      </c>
      <c r="E50" s="1307">
        <v>49</v>
      </c>
      <c r="F50" s="1307">
        <v>8400356.7290893104</v>
      </c>
    </row>
    <row r="51" spans="1:6">
      <c r="A51" s="1306" t="s">
        <v>41</v>
      </c>
      <c r="B51" s="1306" t="s">
        <v>42</v>
      </c>
      <c r="C51" s="1307">
        <v>13</v>
      </c>
      <c r="D51" s="1307">
        <v>144101.111481806</v>
      </c>
      <c r="E51" s="1307">
        <v>121</v>
      </c>
      <c r="F51" s="1307">
        <v>1894398.6820714199</v>
      </c>
    </row>
    <row r="52" spans="1:6">
      <c r="A52" s="1306" t="s">
        <v>41</v>
      </c>
      <c r="B52" s="1306" t="s">
        <v>28</v>
      </c>
      <c r="C52" s="1307">
        <v>10</v>
      </c>
      <c r="D52" s="1307">
        <v>335307.252772999</v>
      </c>
      <c r="E52" s="1307">
        <v>7</v>
      </c>
      <c r="F52" s="1307">
        <v>70658.875488425401</v>
      </c>
    </row>
    <row r="53" spans="1:6">
      <c r="A53" s="1306" t="s">
        <v>43</v>
      </c>
      <c r="B53" s="1306" t="s">
        <v>44</v>
      </c>
      <c r="C53" s="1307">
        <v>269</v>
      </c>
      <c r="D53" s="1307">
        <v>9821642.2651091702</v>
      </c>
      <c r="E53" s="1307">
        <v>539</v>
      </c>
      <c r="F53" s="1307">
        <v>2673915.2204196099</v>
      </c>
    </row>
    <row r="54" spans="1:6">
      <c r="A54" s="1306" t="s">
        <v>45</v>
      </c>
      <c r="B54" s="1306" t="s">
        <v>46</v>
      </c>
      <c r="C54" s="1307">
        <v>0</v>
      </c>
      <c r="D54" s="1307">
        <v>0</v>
      </c>
      <c r="E54" s="1307">
        <v>1</v>
      </c>
      <c r="F54" s="1307">
        <v>2451109</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115</v>
      </c>
      <c r="D57" s="1307">
        <v>8635646.9744270295</v>
      </c>
      <c r="E57" s="1307">
        <v>281</v>
      </c>
      <c r="F57" s="1307">
        <v>6352162.4535341496</v>
      </c>
    </row>
    <row r="58" spans="1:6">
      <c r="A58" s="1306" t="s">
        <v>48</v>
      </c>
      <c r="B58" s="1306" t="s">
        <v>50</v>
      </c>
      <c r="C58" s="1307">
        <v>68</v>
      </c>
      <c r="D58" s="1307">
        <v>6376180.1883221203</v>
      </c>
      <c r="E58" s="1307">
        <v>108</v>
      </c>
      <c r="F58" s="1307">
        <v>4412175.7568025999</v>
      </c>
    </row>
    <row r="59" spans="1:6">
      <c r="A59" s="1306" t="s">
        <v>48</v>
      </c>
      <c r="B59" s="1306" t="s">
        <v>51</v>
      </c>
      <c r="C59" s="1307">
        <v>293</v>
      </c>
      <c r="D59" s="1307">
        <v>25248968.0969496</v>
      </c>
      <c r="E59" s="1307">
        <v>537</v>
      </c>
      <c r="F59" s="1307">
        <v>24947270.6377065</v>
      </c>
    </row>
    <row r="60" spans="1:6">
      <c r="A60" s="1306" t="s">
        <v>48</v>
      </c>
      <c r="B60" s="1306" t="s">
        <v>52</v>
      </c>
      <c r="C60" s="1307">
        <v>134</v>
      </c>
      <c r="D60" s="1307">
        <v>6912801.1570927296</v>
      </c>
      <c r="E60" s="1307">
        <v>194</v>
      </c>
      <c r="F60" s="1307">
        <v>4998261.0205093697</v>
      </c>
    </row>
    <row r="61" spans="1:6">
      <c r="A61" s="1306" t="s">
        <v>48</v>
      </c>
      <c r="B61" s="1306" t="s">
        <v>53</v>
      </c>
      <c r="C61" s="1307">
        <v>360</v>
      </c>
      <c r="D61" s="1307">
        <v>64562195.265082501</v>
      </c>
      <c r="E61" s="1307">
        <v>720</v>
      </c>
      <c r="F61" s="1307">
        <v>11136852.1403904</v>
      </c>
    </row>
    <row r="62" spans="1:6">
      <c r="A62" s="1306" t="s">
        <v>48</v>
      </c>
      <c r="B62" s="1306" t="s">
        <v>54</v>
      </c>
      <c r="C62" s="1307">
        <v>34</v>
      </c>
      <c r="D62" s="1307">
        <v>6083370.3378488598</v>
      </c>
      <c r="E62" s="1307">
        <v>47</v>
      </c>
      <c r="F62" s="1307">
        <v>1850093.3638287699</v>
      </c>
    </row>
    <row r="63" spans="1:6">
      <c r="A63" s="1306" t="s">
        <v>48</v>
      </c>
      <c r="B63" s="1306" t="s">
        <v>28</v>
      </c>
      <c r="C63" s="1307">
        <v>91</v>
      </c>
      <c r="D63" s="1307">
        <v>5512119.67118588</v>
      </c>
      <c r="E63" s="1307">
        <v>89</v>
      </c>
      <c r="F63" s="1307">
        <v>2135413.62801969</v>
      </c>
    </row>
    <row r="64" spans="1:6">
      <c r="A64" s="1306" t="s">
        <v>55</v>
      </c>
      <c r="B64" s="1306" t="s">
        <v>56</v>
      </c>
      <c r="C64" s="1307">
        <v>0</v>
      </c>
      <c r="D64" s="1307">
        <v>0</v>
      </c>
      <c r="E64" s="1307">
        <v>0</v>
      </c>
      <c r="F64" s="1307">
        <v>0</v>
      </c>
    </row>
    <row r="65" spans="1:6">
      <c r="A65" s="1306" t="s">
        <v>55</v>
      </c>
      <c r="B65" s="1306" t="s">
        <v>28</v>
      </c>
      <c r="C65" s="1307">
        <v>1</v>
      </c>
      <c r="D65" s="1307">
        <v>71343.038622070002</v>
      </c>
      <c r="E65" s="1307">
        <v>2</v>
      </c>
      <c r="F65" s="1307">
        <v>32380.474892838</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8</v>
      </c>
      <c r="D68" s="1310">
        <v>604131.03903405799</v>
      </c>
      <c r="E68" s="1310">
        <v>24</v>
      </c>
      <c r="F68" s="1310">
        <v>561560.90511563804</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155356629</v>
      </c>
      <c r="E73" s="456"/>
      <c r="F73" s="332"/>
    </row>
    <row r="74" spans="1:6">
      <c r="A74" s="1306" t="s">
        <v>63</v>
      </c>
      <c r="B74" s="1306" t="s">
        <v>724</v>
      </c>
      <c r="C74" s="1320" t="s">
        <v>725</v>
      </c>
      <c r="D74" s="1321">
        <v>16664240.212364744</v>
      </c>
      <c r="E74" s="456"/>
      <c r="F74" s="332"/>
    </row>
    <row r="75" spans="1:6">
      <c r="A75" s="1306" t="s">
        <v>64</v>
      </c>
      <c r="B75" s="1306" t="s">
        <v>722</v>
      </c>
      <c r="C75" s="1320" t="s">
        <v>726</v>
      </c>
      <c r="D75" s="1321">
        <v>32784261</v>
      </c>
      <c r="E75" s="456"/>
      <c r="F75" s="332"/>
    </row>
    <row r="76" spans="1:6">
      <c r="A76" s="1306" t="s">
        <v>64</v>
      </c>
      <c r="B76" s="1306" t="s">
        <v>724</v>
      </c>
      <c r="C76" s="1320" t="s">
        <v>727</v>
      </c>
      <c r="D76" s="1321">
        <v>603369.21236474346</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702729.57527051307</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4148.1189090683811</v>
      </c>
      <c r="C91" s="332"/>
      <c r="D91" s="332"/>
      <c r="E91" s="332"/>
      <c r="F91" s="332"/>
    </row>
    <row r="92" spans="1:6">
      <c r="A92" s="1301" t="s">
        <v>68</v>
      </c>
      <c r="B92" s="1302">
        <v>10804.890854920588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3773</v>
      </c>
      <c r="C97" s="332"/>
      <c r="D97" s="332"/>
      <c r="E97" s="332"/>
      <c r="F97" s="332"/>
    </row>
    <row r="98" spans="1:6">
      <c r="A98" s="1306" t="s">
        <v>71</v>
      </c>
      <c r="B98" s="1307">
        <v>0</v>
      </c>
      <c r="C98" s="332"/>
      <c r="D98" s="332"/>
      <c r="E98" s="332"/>
      <c r="F98" s="332"/>
    </row>
    <row r="99" spans="1:6">
      <c r="A99" s="1306" t="s">
        <v>72</v>
      </c>
      <c r="B99" s="1307">
        <v>254</v>
      </c>
      <c r="C99" s="332"/>
      <c r="D99" s="332"/>
      <c r="E99" s="332"/>
      <c r="F99" s="332"/>
    </row>
    <row r="100" spans="1:6">
      <c r="A100" s="1306" t="s">
        <v>73</v>
      </c>
      <c r="B100" s="1307">
        <v>1056</v>
      </c>
      <c r="C100" s="332"/>
      <c r="D100" s="332"/>
      <c r="E100" s="332"/>
      <c r="F100" s="332"/>
    </row>
    <row r="101" spans="1:6">
      <c r="A101" s="1306" t="s">
        <v>74</v>
      </c>
      <c r="B101" s="1307">
        <v>140</v>
      </c>
      <c r="C101" s="332"/>
      <c r="D101" s="332"/>
      <c r="E101" s="332"/>
      <c r="F101" s="332"/>
    </row>
    <row r="102" spans="1:6">
      <c r="A102" s="1306" t="s">
        <v>75</v>
      </c>
      <c r="B102" s="1307">
        <v>192</v>
      </c>
      <c r="C102" s="332"/>
      <c r="D102" s="332"/>
      <c r="E102" s="332"/>
      <c r="F102" s="332"/>
    </row>
    <row r="103" spans="1:6">
      <c r="A103" s="1306" t="s">
        <v>76</v>
      </c>
      <c r="B103" s="1307">
        <v>423</v>
      </c>
      <c r="C103" s="332"/>
      <c r="D103" s="332"/>
      <c r="E103" s="332"/>
      <c r="F103" s="332"/>
    </row>
    <row r="104" spans="1:6">
      <c r="A104" s="1306" t="s">
        <v>77</v>
      </c>
      <c r="B104" s="1307">
        <v>5315</v>
      </c>
      <c r="C104" s="332"/>
      <c r="D104" s="332"/>
      <c r="E104" s="332"/>
      <c r="F104" s="332"/>
    </row>
    <row r="105" spans="1:6">
      <c r="A105" s="1301" t="s">
        <v>78</v>
      </c>
      <c r="B105" s="1310">
        <v>8</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2</v>
      </c>
      <c r="C110" s="332"/>
      <c r="D110" s="332"/>
      <c r="E110" s="332"/>
      <c r="F110" s="332"/>
    </row>
    <row r="111" spans="1:6">
      <c r="A111" s="1327" t="s">
        <v>669</v>
      </c>
      <c r="B111" s="1328">
        <v>2</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20</v>
      </c>
      <c r="C123" s="1307">
        <v>33</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272</v>
      </c>
      <c r="C129" s="332"/>
      <c r="D129" s="332"/>
      <c r="E129" s="332"/>
      <c r="F129" s="332"/>
    </row>
    <row r="130" spans="1:6">
      <c r="A130" s="1306" t="s">
        <v>294</v>
      </c>
      <c r="B130" s="1307">
        <v>3</v>
      </c>
      <c r="C130" s="332"/>
      <c r="D130" s="332"/>
      <c r="E130" s="332"/>
      <c r="F130" s="332"/>
    </row>
    <row r="131" spans="1:6">
      <c r="A131" s="1306" t="s">
        <v>295</v>
      </c>
      <c r="B131" s="1307">
        <v>1</v>
      </c>
      <c r="C131" s="332"/>
      <c r="D131" s="332"/>
      <c r="E131" s="332"/>
      <c r="F131" s="332"/>
    </row>
    <row r="132" spans="1:6">
      <c r="A132" s="1301" t="s">
        <v>296</v>
      </c>
      <c r="B132" s="1302">
        <v>20</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279509.94707349205</v>
      </c>
      <c r="C3" s="43" t="s">
        <v>169</v>
      </c>
      <c r="D3" s="43"/>
      <c r="E3" s="156"/>
      <c r="F3" s="43"/>
      <c r="G3" s="43"/>
      <c r="H3" s="43"/>
      <c r="I3" s="43"/>
      <c r="J3" s="43"/>
      <c r="K3" s="96"/>
    </row>
    <row r="4" spans="1:11">
      <c r="A4" s="363" t="s">
        <v>170</v>
      </c>
      <c r="B4" s="49">
        <f>IF(ISERROR('SEAP template'!B78+'SEAP template'!C78),0,'SEAP template'!B78+'SEAP template'!C78)</f>
        <v>14969.959763988969</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3.8632721426483481</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0.20917753045894263</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12.845013571637367</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56.357142857142861</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0.22792166033323588</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2451.1089999999999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2451.1089999999999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0.20917753045894263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512.71692750568843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50863.153246923997</v>
      </c>
      <c r="C5" s="17">
        <f>IF(ISERROR('Eigen informatie GS &amp; warmtenet'!B57),0,'Eigen informatie GS &amp; warmtenet'!B57)</f>
        <v>0</v>
      </c>
      <c r="D5" s="30">
        <f>(SUM(HH_hh_gas_kWh,HH_rest_gas_kWh)/1000)*0.902</f>
        <v>115971.66101213044</v>
      </c>
      <c r="E5" s="17">
        <f>B46*B57</f>
        <v>13577.225160898444</v>
      </c>
      <c r="F5" s="17">
        <f>B51*B62</f>
        <v>47436.190240706135</v>
      </c>
      <c r="G5" s="18"/>
      <c r="H5" s="17"/>
      <c r="I5" s="17"/>
      <c r="J5" s="17">
        <f>B50*B61+C50*C61</f>
        <v>1997.7523642143833</v>
      </c>
      <c r="K5" s="17"/>
      <c r="L5" s="17"/>
      <c r="M5" s="17"/>
      <c r="N5" s="17">
        <f>B48*B59+C48*C59</f>
        <v>25615.871500812653</v>
      </c>
      <c r="O5" s="17">
        <f>B69*B70*B71</f>
        <v>476.81666666666666</v>
      </c>
      <c r="P5" s="17">
        <f>B77*B78*B79/1000-B77*B78*B79/1000/B80</f>
        <v>762.66666666666674</v>
      </c>
    </row>
    <row r="6" spans="1:16">
      <c r="A6" s="16" t="s">
        <v>633</v>
      </c>
      <c r="B6" s="779">
        <f>kWh_PV_kleiner_dan_10kW</f>
        <v>4148.1189090683811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55011.272155992381</v>
      </c>
      <c r="C8" s="21">
        <f>C5</f>
        <v>0</v>
      </c>
      <c r="D8" s="21">
        <f>D5</f>
        <v>115971.66101213044</v>
      </c>
      <c r="E8" s="21">
        <f>E5</f>
        <v>13577.225160898444</v>
      </c>
      <c r="F8" s="21">
        <f>F5</f>
        <v>47436.190240706135</v>
      </c>
      <c r="G8" s="21"/>
      <c r="H8" s="21"/>
      <c r="I8" s="21"/>
      <c r="J8" s="21">
        <f>J5</f>
        <v>1997.7523642143833</v>
      </c>
      <c r="K8" s="21"/>
      <c r="L8" s="21">
        <f>L5</f>
        <v>0</v>
      </c>
      <c r="M8" s="21">
        <f>M5</f>
        <v>0</v>
      </c>
      <c r="N8" s="21">
        <f>N5</f>
        <v>25615.871500812653</v>
      </c>
      <c r="O8" s="21">
        <f>O5</f>
        <v>476.81666666666666</v>
      </c>
      <c r="P8" s="21">
        <f>P5</f>
        <v>762.66666666666674</v>
      </c>
    </row>
    <row r="9" spans="1:16">
      <c r="B9" s="19"/>
      <c r="C9" s="19"/>
      <c r="D9" s="261"/>
      <c r="E9" s="19"/>
      <c r="F9" s="19"/>
      <c r="G9" s="19"/>
      <c r="H9" s="19"/>
      <c r="I9" s="19"/>
      <c r="J9" s="19"/>
      <c r="K9" s="19"/>
      <c r="L9" s="19"/>
      <c r="M9" s="19"/>
      <c r="N9" s="19"/>
      <c r="O9" s="19"/>
      <c r="P9" s="19"/>
    </row>
    <row r="10" spans="1:16">
      <c r="A10" s="24" t="s">
        <v>213</v>
      </c>
      <c r="B10" s="25">
        <f ca="1">'EF ele_warmte'!B12</f>
        <v>0.20917753045894263</v>
      </c>
      <c r="C10" s="25">
        <f ca="1">'EF ele_warmte'!B22</f>
        <v>0.22792166033323588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11507.122056995278</v>
      </c>
      <c r="C12" s="23">
        <f ca="1">C10*C8</f>
        <v>0</v>
      </c>
      <c r="D12" s="23">
        <f>D8*D10</f>
        <v>23426.27552445035</v>
      </c>
      <c r="E12" s="23">
        <f>E10*E8</f>
        <v>3082.0301115239467</v>
      </c>
      <c r="F12" s="23">
        <f>F10*F8</f>
        <v>12665.462794268538</v>
      </c>
      <c r="G12" s="23"/>
      <c r="H12" s="23"/>
      <c r="I12" s="23"/>
      <c r="J12" s="23">
        <f>J10*J8</f>
        <v>707.2043369318917</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3773</v>
      </c>
      <c r="C18" s="168" t="s">
        <v>110</v>
      </c>
      <c r="D18" s="230"/>
      <c r="E18" s="15"/>
    </row>
    <row r="19" spans="1:7">
      <c r="A19" s="173" t="s">
        <v>71</v>
      </c>
      <c r="B19" s="37">
        <f>aantalw2001_ander</f>
        <v>0</v>
      </c>
      <c r="C19" s="168" t="s">
        <v>110</v>
      </c>
      <c r="D19" s="231"/>
      <c r="E19" s="15"/>
    </row>
    <row r="20" spans="1:7">
      <c r="A20" s="173" t="s">
        <v>72</v>
      </c>
      <c r="B20" s="37">
        <f>aantalw2001_propaan</f>
        <v>254</v>
      </c>
      <c r="C20" s="169">
        <f>IF(ISERROR(B20/SUM($B$20,$B$21,$B$22)*100),0,B20/SUM($B$20,$B$21,$B$22)*100)</f>
        <v>17.517241379310345</v>
      </c>
      <c r="D20" s="231"/>
      <c r="E20" s="15"/>
    </row>
    <row r="21" spans="1:7">
      <c r="A21" s="173" t="s">
        <v>73</v>
      </c>
      <c r="B21" s="37">
        <f>aantalw2001_elektriciteit</f>
        <v>1056</v>
      </c>
      <c r="C21" s="169">
        <f>IF(ISERROR(B21/SUM($B$20,$B$21,$B$22)*100),0,B21/SUM($B$20,$B$21,$B$22)*100)</f>
        <v>72.827586206896555</v>
      </c>
      <c r="D21" s="231"/>
      <c r="E21" s="15"/>
    </row>
    <row r="22" spans="1:7">
      <c r="A22" s="173" t="s">
        <v>74</v>
      </c>
      <c r="B22" s="37">
        <f>aantalw2001_hout</f>
        <v>140</v>
      </c>
      <c r="C22" s="169">
        <f>IF(ISERROR(B22/SUM($B$20,$B$21,$B$22)*100),0,B22/SUM($B$20,$B$21,$B$22)*100)</f>
        <v>9.6551724137931032</v>
      </c>
      <c r="D22" s="231"/>
      <c r="E22" s="15"/>
    </row>
    <row r="23" spans="1:7">
      <c r="A23" s="173" t="s">
        <v>75</v>
      </c>
      <c r="B23" s="37">
        <f>aantalw2001_niet_gespec</f>
        <v>192</v>
      </c>
      <c r="C23" s="168" t="s">
        <v>110</v>
      </c>
      <c r="D23" s="230"/>
      <c r="E23" s="15"/>
    </row>
    <row r="24" spans="1:7">
      <c r="A24" s="173" t="s">
        <v>76</v>
      </c>
      <c r="B24" s="37">
        <f>aantalw2001_steenkool</f>
        <v>423</v>
      </c>
      <c r="C24" s="168" t="s">
        <v>110</v>
      </c>
      <c r="D24" s="231"/>
      <c r="E24" s="15"/>
    </row>
    <row r="25" spans="1:7">
      <c r="A25" s="173" t="s">
        <v>77</v>
      </c>
      <c r="B25" s="37">
        <f>aantalw2001_stookolie</f>
        <v>5315</v>
      </c>
      <c r="C25" s="168" t="s">
        <v>110</v>
      </c>
      <c r="D25" s="230"/>
      <c r="E25" s="52"/>
    </row>
    <row r="26" spans="1:7">
      <c r="A26" s="173" t="s">
        <v>78</v>
      </c>
      <c r="B26" s="37">
        <f>aantalw2001_WP</f>
        <v>8</v>
      </c>
      <c r="C26" s="168" t="s">
        <v>110</v>
      </c>
      <c r="D26" s="230"/>
      <c r="E26" s="15"/>
    </row>
    <row r="27" spans="1:7" s="15" customFormat="1">
      <c r="A27" s="173"/>
      <c r="B27" s="29"/>
      <c r="C27" s="36"/>
      <c r="D27" s="230"/>
    </row>
    <row r="28" spans="1:7" s="15" customFormat="1">
      <c r="A28" s="232" t="s">
        <v>742</v>
      </c>
      <c r="B28" s="37">
        <f>aantalHuishoudens</f>
        <v>12931</v>
      </c>
      <c r="C28" s="36"/>
      <c r="D28" s="230"/>
    </row>
    <row r="29" spans="1:7" s="15" customFormat="1">
      <c r="A29" s="232" t="s">
        <v>743</v>
      </c>
      <c r="B29" s="37">
        <f>SUM(HH_hh_gas_aantal,HH_rest_gas_aantal)</f>
        <v>7439</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7439</v>
      </c>
      <c r="C32" s="169">
        <f>IF(ISERROR(B32/SUM($B$32,$B$34,$B$35,$B$36,$B$38,$B$39)*100),0,B32/SUM($B$32,$B$34,$B$35,$B$36,$B$38,$B$39)*100)</f>
        <v>57.706927313629663</v>
      </c>
      <c r="D32" s="235"/>
      <c r="G32" s="15"/>
    </row>
    <row r="33" spans="1:7">
      <c r="A33" s="173" t="s">
        <v>71</v>
      </c>
      <c r="B33" s="34" t="s">
        <v>110</v>
      </c>
      <c r="C33" s="169"/>
      <c r="D33" s="235"/>
      <c r="G33" s="15"/>
    </row>
    <row r="34" spans="1:7">
      <c r="A34" s="173" t="s">
        <v>72</v>
      </c>
      <c r="B34" s="33">
        <f>IF((($B$28-$B$32-$B$39-$B$77-$B$38)*C20/100)&lt;0,0,($B$28-$B$32-$B$39-$B$77-$B$38)*C20/100)</f>
        <v>592.08275862068967</v>
      </c>
      <c r="C34" s="169">
        <f>IF(ISERROR(B34/SUM($B$32,$B$34,$B$35,$B$36,$B$38,$B$39)*100),0,B34/SUM($B$32,$B$34,$B$35,$B$36,$B$38,$B$39)*100)</f>
        <v>4.5929932404056295</v>
      </c>
      <c r="D34" s="235"/>
      <c r="G34" s="15"/>
    </row>
    <row r="35" spans="1:7">
      <c r="A35" s="173" t="s">
        <v>73</v>
      </c>
      <c r="B35" s="33">
        <f>IF((($B$28-$B$32-$B$39-$B$77-$B$38)*C21/100)&lt;0,0,($B$28-$B$32-$B$39-$B$77-$B$38)*C21/100)</f>
        <v>2461.5724137931034</v>
      </c>
      <c r="C35" s="169">
        <f>IF(ISERROR(B35/SUM($B$32,$B$34,$B$35,$B$36,$B$38,$B$39)*100),0,B35/SUM($B$32,$B$34,$B$35,$B$36,$B$38,$B$39)*100)</f>
        <v>19.095278983733639</v>
      </c>
      <c r="D35" s="235"/>
      <c r="G35" s="15"/>
    </row>
    <row r="36" spans="1:7">
      <c r="A36" s="173" t="s">
        <v>74</v>
      </c>
      <c r="B36" s="33">
        <f>IF((($B$28-$B$32-$B$39-$B$77-$B$38)*C22/100)&lt;0,0,($B$28-$B$32-$B$39-$B$77-$B$38)*C22/100)</f>
        <v>326.34482758620686</v>
      </c>
      <c r="C36" s="169">
        <f>IF(ISERROR(B36/SUM($B$32,$B$34,$B$35,$B$36,$B$38,$B$39)*100),0,B36/SUM($B$32,$B$34,$B$35,$B$36,$B$38,$B$39)*100)</f>
        <v>2.5315710773889291</v>
      </c>
      <c r="D36" s="235"/>
      <c r="G36" s="15"/>
    </row>
    <row r="37" spans="1:7">
      <c r="A37" s="173" t="s">
        <v>75</v>
      </c>
      <c r="B37" s="34" t="s">
        <v>110</v>
      </c>
      <c r="C37" s="169"/>
      <c r="D37" s="175"/>
      <c r="G37" s="15"/>
    </row>
    <row r="38" spans="1:7">
      <c r="A38" s="173" t="s">
        <v>76</v>
      </c>
      <c r="B38" s="33">
        <f>IF((B24-(B29-B18)*0.1)&lt;0,0,B24-(B29-B18)*0.1)</f>
        <v>56.399999999999977</v>
      </c>
      <c r="C38" s="169">
        <f>IF(ISERROR(B38/SUM($B$32,$B$34,$B$35,$B$36,$B$38,$B$39)*100),0,B38/SUM($B$32,$B$34,$B$35,$B$36,$B$38,$B$39)*100)</f>
        <v>0.43751454503141707</v>
      </c>
      <c r="D38" s="236"/>
      <c r="G38" s="15"/>
    </row>
    <row r="39" spans="1:7">
      <c r="A39" s="173" t="s">
        <v>77</v>
      </c>
      <c r="B39" s="33">
        <f>IF((B25-(B29-B18))&lt;0,0,B25-(B29-B18)*0.9)</f>
        <v>2015.6</v>
      </c>
      <c r="C39" s="169">
        <f>IF(ISERROR(B39/SUM($B$32,$B$34,$B$35,$B$36,$B$38,$B$39)*100),0,B39/SUM($B$32,$B$34,$B$35,$B$36,$B$38,$B$39)*100)</f>
        <v>15.635714839810719</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7439</v>
      </c>
      <c r="C44" s="34" t="s">
        <v>110</v>
      </c>
      <c r="D44" s="176"/>
    </row>
    <row r="45" spans="1:7">
      <c r="A45" s="173" t="s">
        <v>71</v>
      </c>
      <c r="B45" s="33" t="str">
        <f t="shared" si="0"/>
        <v>-</v>
      </c>
      <c r="C45" s="34" t="s">
        <v>110</v>
      </c>
      <c r="D45" s="176"/>
    </row>
    <row r="46" spans="1:7">
      <c r="A46" s="173" t="s">
        <v>72</v>
      </c>
      <c r="B46" s="33">
        <f t="shared" si="0"/>
        <v>592.08275862068967</v>
      </c>
      <c r="C46" s="34" t="s">
        <v>110</v>
      </c>
      <c r="D46" s="176"/>
    </row>
    <row r="47" spans="1:7">
      <c r="A47" s="173" t="s">
        <v>73</v>
      </c>
      <c r="B47" s="33">
        <f t="shared" si="0"/>
        <v>2461.5724137931034</v>
      </c>
      <c r="C47" s="34" t="s">
        <v>110</v>
      </c>
      <c r="D47" s="176"/>
    </row>
    <row r="48" spans="1:7">
      <c r="A48" s="173" t="s">
        <v>74</v>
      </c>
      <c r="B48" s="33">
        <f t="shared" si="0"/>
        <v>326.34482758620686</v>
      </c>
      <c r="C48" s="33">
        <f>B48*10</f>
        <v>3263.4482758620688</v>
      </c>
      <c r="D48" s="236"/>
    </row>
    <row r="49" spans="1:6">
      <c r="A49" s="173" t="s">
        <v>75</v>
      </c>
      <c r="B49" s="33" t="str">
        <f t="shared" si="0"/>
        <v>-</v>
      </c>
      <c r="C49" s="34" t="s">
        <v>110</v>
      </c>
      <c r="D49" s="236"/>
    </row>
    <row r="50" spans="1:6">
      <c r="A50" s="173" t="s">
        <v>76</v>
      </c>
      <c r="B50" s="33">
        <f t="shared" si="0"/>
        <v>56.399999999999977</v>
      </c>
      <c r="C50" s="33">
        <f>B50*2</f>
        <v>112.79999999999995</v>
      </c>
      <c r="D50" s="236"/>
    </row>
    <row r="51" spans="1:6">
      <c r="A51" s="173" t="s">
        <v>77</v>
      </c>
      <c r="B51" s="33">
        <f t="shared" si="0"/>
        <v>2015.6</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305</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40</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55832.229000791478</v>
      </c>
      <c r="C5" s="17">
        <f>IF(ISERROR('Eigen informatie GS &amp; warmtenet'!B58),0,'Eigen informatie GS &amp; warmtenet'!B58)</f>
        <v>0</v>
      </c>
      <c r="D5" s="30">
        <f>SUM(D6:D12)</f>
        <v>111244.81608519968</v>
      </c>
      <c r="E5" s="17">
        <f>SUM(E6:E12)</f>
        <v>745.94090231863868</v>
      </c>
      <c r="F5" s="17">
        <f>SUM(F6:F12)</f>
        <v>11165.092229822178</v>
      </c>
      <c r="G5" s="18"/>
      <c r="H5" s="17"/>
      <c r="I5" s="17"/>
      <c r="J5" s="17">
        <f>SUM(J6:J12)</f>
        <v>0</v>
      </c>
      <c r="K5" s="17"/>
      <c r="L5" s="17"/>
      <c r="M5" s="17"/>
      <c r="N5" s="17">
        <f>SUM(N6:N12)</f>
        <v>4718.7173897167559</v>
      </c>
      <c r="O5" s="17">
        <f>B38*B39*B40</f>
        <v>4.6900000000000004</v>
      </c>
      <c r="P5" s="17">
        <f>B46*B47*B48/1000-B46*B47*B48/1000/B49</f>
        <v>19.066666666666666</v>
      </c>
      <c r="R5" s="32"/>
    </row>
    <row r="6" spans="1:18">
      <c r="A6" s="32" t="s">
        <v>53</v>
      </c>
      <c r="B6" s="37">
        <f>B26</f>
        <v>11136.8521403904</v>
      </c>
      <c r="C6" s="33"/>
      <c r="D6" s="37">
        <f>IF(ISERROR(TER_kantoor_gas_kWh/1000),0,TER_kantoor_gas_kWh/1000)*0.902</f>
        <v>58235.100129104423</v>
      </c>
      <c r="E6" s="33">
        <f>$C$26*'E Balans VL '!I12/100/3.6*1000000</f>
        <v>43.2690283743922</v>
      </c>
      <c r="F6" s="33">
        <f>$C$26*('E Balans VL '!L12+'E Balans VL '!N12)/100/3.6*1000000</f>
        <v>1693.8138732782111</v>
      </c>
      <c r="G6" s="34"/>
      <c r="H6" s="33"/>
      <c r="I6" s="33"/>
      <c r="J6" s="33">
        <f>$C$26*('E Balans VL '!D12+'E Balans VL '!E12)/100/3.6*1000000</f>
        <v>0</v>
      </c>
      <c r="K6" s="33"/>
      <c r="L6" s="33"/>
      <c r="M6" s="33"/>
      <c r="N6" s="33">
        <f>$C$26*'E Balans VL '!Y12/100/3.6*1000000</f>
        <v>6.1377396913851969</v>
      </c>
      <c r="O6" s="33"/>
      <c r="P6" s="33"/>
      <c r="R6" s="32"/>
    </row>
    <row r="7" spans="1:18">
      <c r="A7" s="32" t="s">
        <v>52</v>
      </c>
      <c r="B7" s="37">
        <f t="shared" ref="B7:B12" si="0">B27</f>
        <v>4998.2610205093697</v>
      </c>
      <c r="C7" s="33"/>
      <c r="D7" s="37">
        <f>IF(ISERROR(TER_horeca_gas_kWh/1000),0,TER_horeca_gas_kWh/1000)*0.902</f>
        <v>6235.3466436976423</v>
      </c>
      <c r="E7" s="33">
        <f>$C$27*'E Balans VL '!I9/100/3.6*1000000</f>
        <v>281.5533795988859</v>
      </c>
      <c r="F7" s="33">
        <f>$C$27*('E Balans VL '!L9+'E Balans VL '!N9)/100/3.6*1000000</f>
        <v>1441.1992385362839</v>
      </c>
      <c r="G7" s="34"/>
      <c r="H7" s="33"/>
      <c r="I7" s="33"/>
      <c r="J7" s="33">
        <f>$C$27*('E Balans VL '!D9+'E Balans VL '!E9)/100/3.6*1000000</f>
        <v>0</v>
      </c>
      <c r="K7" s="33"/>
      <c r="L7" s="33"/>
      <c r="M7" s="33"/>
      <c r="N7" s="33">
        <f>$C$27*'E Balans VL '!Y9/100/3.6*1000000</f>
        <v>1.3799938943546159</v>
      </c>
      <c r="O7" s="33"/>
      <c r="P7" s="33"/>
      <c r="R7" s="32"/>
    </row>
    <row r="8" spans="1:18">
      <c r="A8" s="6" t="s">
        <v>51</v>
      </c>
      <c r="B8" s="37">
        <f t="shared" si="0"/>
        <v>24947.270637706501</v>
      </c>
      <c r="C8" s="33"/>
      <c r="D8" s="37">
        <f>IF(ISERROR(TER_handel_gas_kWh/1000),0,TER_handel_gas_kWh/1000)*0.902</f>
        <v>22774.56922344854</v>
      </c>
      <c r="E8" s="33">
        <f>$C$28*'E Balans VL '!I13/100/3.6*1000000</f>
        <v>359.57480755923501</v>
      </c>
      <c r="F8" s="33">
        <f>$C$28*('E Balans VL '!L13+'E Balans VL '!N13)/100/3.6*1000000</f>
        <v>4333.9218924987235</v>
      </c>
      <c r="G8" s="34"/>
      <c r="H8" s="33"/>
      <c r="I8" s="33"/>
      <c r="J8" s="33">
        <f>$C$28*('E Balans VL '!D13+'E Balans VL '!E13)/100/3.6*1000000</f>
        <v>0</v>
      </c>
      <c r="K8" s="33"/>
      <c r="L8" s="33"/>
      <c r="M8" s="33"/>
      <c r="N8" s="33">
        <f>$C$28*'E Balans VL '!Y13/100/3.6*1000000</f>
        <v>74.744800017946545</v>
      </c>
      <c r="O8" s="33"/>
      <c r="P8" s="33"/>
      <c r="R8" s="32"/>
    </row>
    <row r="9" spans="1:18">
      <c r="A9" s="32" t="s">
        <v>50</v>
      </c>
      <c r="B9" s="37">
        <f t="shared" si="0"/>
        <v>4412.1757568025996</v>
      </c>
      <c r="C9" s="33"/>
      <c r="D9" s="37">
        <f>IF(ISERROR(TER_gezond_gas_kWh/1000),0,TER_gezond_gas_kWh/1000)*0.902</f>
        <v>5751.3145298665531</v>
      </c>
      <c r="E9" s="33">
        <f>$C$29*'E Balans VL '!I10/100/3.6*1000000</f>
        <v>4.7133473022241814</v>
      </c>
      <c r="F9" s="33">
        <f>$C$29*('E Balans VL '!L10+'E Balans VL '!N10)/100/3.6*1000000</f>
        <v>719.75995698755207</v>
      </c>
      <c r="G9" s="34"/>
      <c r="H9" s="33"/>
      <c r="I9" s="33"/>
      <c r="J9" s="33">
        <f>$C$29*('E Balans VL '!D10+'E Balans VL '!E10)/100/3.6*1000000</f>
        <v>0</v>
      </c>
      <c r="K9" s="33"/>
      <c r="L9" s="33"/>
      <c r="M9" s="33"/>
      <c r="N9" s="33">
        <f>$C$29*'E Balans VL '!Y10/100/3.6*1000000</f>
        <v>45.420831879021577</v>
      </c>
      <c r="O9" s="33"/>
      <c r="P9" s="33"/>
      <c r="R9" s="32"/>
    </row>
    <row r="10" spans="1:18">
      <c r="A10" s="32" t="s">
        <v>49</v>
      </c>
      <c r="B10" s="37">
        <f t="shared" si="0"/>
        <v>6352.1624535341498</v>
      </c>
      <c r="C10" s="33"/>
      <c r="D10" s="37">
        <f>IF(ISERROR(TER_ander_gas_kWh/1000),0,TER_ander_gas_kWh/1000)*0.902</f>
        <v>7789.35357093318</v>
      </c>
      <c r="E10" s="33">
        <f>$C$30*'E Balans VL '!I14/100/3.6*1000000</f>
        <v>29.212628888167192</v>
      </c>
      <c r="F10" s="33">
        <f>$C$30*('E Balans VL '!L14+'E Balans VL '!N14)/100/3.6*1000000</f>
        <v>1903.9434525364534</v>
      </c>
      <c r="G10" s="34"/>
      <c r="H10" s="33"/>
      <c r="I10" s="33"/>
      <c r="J10" s="33">
        <f>$C$30*('E Balans VL '!D14+'E Balans VL '!E14)/100/3.6*1000000</f>
        <v>0</v>
      </c>
      <c r="K10" s="33"/>
      <c r="L10" s="33"/>
      <c r="M10" s="33"/>
      <c r="N10" s="33">
        <f>$C$30*'E Balans VL '!Y14/100/3.6*1000000</f>
        <v>4421.5243787861418</v>
      </c>
      <c r="O10" s="33"/>
      <c r="P10" s="33"/>
      <c r="R10" s="32"/>
    </row>
    <row r="11" spans="1:18">
      <c r="A11" s="32" t="s">
        <v>54</v>
      </c>
      <c r="B11" s="37">
        <f t="shared" si="0"/>
        <v>1850.09336382877</v>
      </c>
      <c r="C11" s="33"/>
      <c r="D11" s="37">
        <f>IF(ISERROR(TER_onderwijs_gas_kWh/1000),0,TER_onderwijs_gas_kWh/1000)*0.902</f>
        <v>5487.2000447396722</v>
      </c>
      <c r="E11" s="33">
        <f>$C$31*'E Balans VL '!I11/100/3.6*1000000</f>
        <v>1.7162048984690608</v>
      </c>
      <c r="F11" s="33">
        <f>$C$31*('E Balans VL '!L11+'E Balans VL '!N11)/100/3.6*1000000</f>
        <v>649.89527737420246</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2135.4136280196899</v>
      </c>
      <c r="C12" s="33"/>
      <c r="D12" s="37">
        <f>IF(ISERROR(TER_rest_gas_kWh/1000),0,TER_rest_gas_kWh/1000)*0.902</f>
        <v>4971.9319434096642</v>
      </c>
      <c r="E12" s="33">
        <f>$C$32*'E Balans VL '!I8/100/3.6*1000000</f>
        <v>25.901505697265215</v>
      </c>
      <c r="F12" s="33">
        <f>$C$32*('E Balans VL '!L8+'E Balans VL '!N8)/100/3.6*1000000</f>
        <v>422.55853861075292</v>
      </c>
      <c r="G12" s="34"/>
      <c r="H12" s="33"/>
      <c r="I12" s="33"/>
      <c r="J12" s="33">
        <f>$C$32*('E Balans VL '!D8+'E Balans VL '!E8)/100/3.6*1000000</f>
        <v>0</v>
      </c>
      <c r="K12" s="33"/>
      <c r="L12" s="33"/>
      <c r="M12" s="33"/>
      <c r="N12" s="33">
        <f>$C$32*'E Balans VL '!Y8/100/3.6*1000000</f>
        <v>169.50964544790668</v>
      </c>
      <c r="O12" s="33"/>
      <c r="P12" s="33"/>
      <c r="R12" s="32"/>
    </row>
    <row r="13" spans="1:18">
      <c r="A13" s="16" t="s">
        <v>496</v>
      </c>
      <c r="B13" s="249">
        <f ca="1">'lokale energieproductie'!N40+'lokale energieproductie'!N33</f>
        <v>0</v>
      </c>
      <c r="C13" s="249">
        <f ca="1">'lokale energieproductie'!O40+'lokale energieproductie'!O33</f>
        <v>0</v>
      </c>
      <c r="D13" s="310">
        <f ca="1">('lokale energieproductie'!P33+'lokale energieproductie'!P40)*(-1)</f>
        <v>0</v>
      </c>
      <c r="E13" s="250"/>
      <c r="F13" s="310">
        <f ca="1">('lokale energieproductie'!S33+'lokale energieproductie'!S40)*(-1)</f>
        <v>0</v>
      </c>
      <c r="G13" s="251"/>
      <c r="H13" s="250"/>
      <c r="I13" s="250"/>
      <c r="J13" s="250"/>
      <c r="K13" s="250"/>
      <c r="L13" s="310">
        <f ca="1">('lokale energieproductie'!U33+'lokale energieproductie'!T33+'lokale energieproductie'!U40+'lokale energieproductie'!T40)*(-1)</f>
        <v>0</v>
      </c>
      <c r="M13" s="250"/>
      <c r="N13" s="310">
        <f ca="1">('lokale energieproductie'!Q33+'lokale energieproductie'!R33+'lokale energieproductie'!V33+'lokale energieproductie'!Q40+'lokale energieproductie'!R40+'lokale energieproductie'!V40)*(-1)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55832.229000791478</v>
      </c>
      <c r="C16" s="21">
        <f t="shared" ca="1" si="1"/>
        <v>0</v>
      </c>
      <c r="D16" s="21">
        <f t="shared" ca="1" si="1"/>
        <v>111244.81608519968</v>
      </c>
      <c r="E16" s="21">
        <f t="shared" si="1"/>
        <v>745.94090231863868</v>
      </c>
      <c r="F16" s="21">
        <f t="shared" ca="1" si="1"/>
        <v>11165.092229822178</v>
      </c>
      <c r="G16" s="21">
        <f t="shared" si="1"/>
        <v>0</v>
      </c>
      <c r="H16" s="21">
        <f t="shared" si="1"/>
        <v>0</v>
      </c>
      <c r="I16" s="21">
        <f t="shared" si="1"/>
        <v>0</v>
      </c>
      <c r="J16" s="21">
        <f t="shared" si="1"/>
        <v>0</v>
      </c>
      <c r="K16" s="21">
        <f t="shared" si="1"/>
        <v>0</v>
      </c>
      <c r="L16" s="21">
        <f t="shared" ca="1" si="1"/>
        <v>0</v>
      </c>
      <c r="M16" s="21">
        <f t="shared" si="1"/>
        <v>0</v>
      </c>
      <c r="N16" s="21">
        <f t="shared" ca="1" si="1"/>
        <v>4718.7173897167559</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0.20917753045894263</v>
      </c>
      <c r="C18" s="25">
        <f ca="1">'EF ele_warmte'!B22</f>
        <v>0.22792166033323588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11678.84778240372</v>
      </c>
      <c r="C20" s="23">
        <f t="shared" ref="C20:P20" ca="1" si="2">C16*C18</f>
        <v>0</v>
      </c>
      <c r="D20" s="23">
        <f t="shared" ca="1" si="2"/>
        <v>22471.452849210338</v>
      </c>
      <c r="E20" s="23">
        <f t="shared" si="2"/>
        <v>169.328584826331</v>
      </c>
      <c r="F20" s="23">
        <f t="shared" ca="1" si="2"/>
        <v>2981.0796253625217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11136.8521403904</v>
      </c>
      <c r="C26" s="39">
        <f>IF(ISERROR(B26*3.6/1000000/'E Balans VL '!Z12*100),0,B26*3.6/1000000/'E Balans VL '!Z12*100)</f>
        <v>0.23655225594130994</v>
      </c>
      <c r="D26" s="239" t="s">
        <v>689</v>
      </c>
      <c r="F26" s="6"/>
    </row>
    <row r="27" spans="1:18">
      <c r="A27" s="233" t="s">
        <v>52</v>
      </c>
      <c r="B27" s="33">
        <f>IF(ISERROR(TER_horeca_ele_kWh/1000),0,TER_horeca_ele_kWh/1000)</f>
        <v>4998.2610205093697</v>
      </c>
      <c r="C27" s="39">
        <f>IF(ISERROR(B27*3.6/1000000/'E Balans VL '!Z9*100),0,B27*3.6/1000000/'E Balans VL '!Z9*100)</f>
        <v>0.38864523414556112</v>
      </c>
      <c r="D27" s="239" t="s">
        <v>689</v>
      </c>
      <c r="F27" s="6"/>
    </row>
    <row r="28" spans="1:18">
      <c r="A28" s="173" t="s">
        <v>51</v>
      </c>
      <c r="B28" s="33">
        <f>IF(ISERROR(TER_handel_ele_kWh/1000),0,TER_handel_ele_kWh/1000)</f>
        <v>24947.270637706501</v>
      </c>
      <c r="C28" s="39">
        <f>IF(ISERROR(B28*3.6/1000000/'E Balans VL '!Z13*100),0,B28*3.6/1000000/'E Balans VL '!Z13*100)</f>
        <v>0.71377077294529356</v>
      </c>
      <c r="D28" s="239" t="s">
        <v>689</v>
      </c>
      <c r="F28" s="6"/>
    </row>
    <row r="29" spans="1:18">
      <c r="A29" s="233" t="s">
        <v>50</v>
      </c>
      <c r="B29" s="33">
        <f>IF(ISERROR(TER_gezond_ele_kWh/1000),0,TER_gezond_ele_kWh/1000)</f>
        <v>4412.1757568025996</v>
      </c>
      <c r="C29" s="39">
        <f>IF(ISERROR(B29*3.6/1000000/'E Balans VL '!Z10*100),0,B29*3.6/1000000/'E Balans VL '!Z10*100)</f>
        <v>0.48102968415986092</v>
      </c>
      <c r="D29" s="239" t="s">
        <v>689</v>
      </c>
      <c r="F29" s="6"/>
    </row>
    <row r="30" spans="1:18">
      <c r="A30" s="233" t="s">
        <v>49</v>
      </c>
      <c r="B30" s="33">
        <f>IF(ISERROR(TER_ander_ele_kWh/1000),0,TER_ander_ele_kWh/1000)</f>
        <v>6352.1624535341498</v>
      </c>
      <c r="C30" s="39">
        <f>IF(ISERROR(B30*3.6/1000000/'E Balans VL '!Z14*100),0,B30*3.6/1000000/'E Balans VL '!Z14*100)</f>
        <v>0.46483683881068782</v>
      </c>
      <c r="D30" s="239" t="s">
        <v>689</v>
      </c>
      <c r="F30" s="6"/>
    </row>
    <row r="31" spans="1:18">
      <c r="A31" s="233" t="s">
        <v>54</v>
      </c>
      <c r="B31" s="33">
        <f>IF(ISERROR(TER_onderwijs_ele_kWh/1000),0,TER_onderwijs_ele_kWh/1000)</f>
        <v>1850.09336382877</v>
      </c>
      <c r="C31" s="39">
        <f>IF(ISERROR(B31*3.6/1000000/'E Balans VL '!Z11*100),0,B31*3.6/1000000/'E Balans VL '!Z11*100)</f>
        <v>0.37159262596645687</v>
      </c>
      <c r="D31" s="239" t="s">
        <v>689</v>
      </c>
    </row>
    <row r="32" spans="1:18">
      <c r="A32" s="233" t="s">
        <v>259</v>
      </c>
      <c r="B32" s="33">
        <f>IF(ISERROR(TER_rest_ele_kWh/1000),0,TER_rest_ele_kWh/1000)</f>
        <v>2135.4136280196899</v>
      </c>
      <c r="C32" s="39">
        <f>IF(ISERROR(B32*3.6/1000000/'E Balans VL '!Z8*100),0,B32*3.6/1000000/'E Balans VL '!Z8*100)</f>
        <v>1.7402325151674107E-2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3</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161568.24212525116</v>
      </c>
      <c r="C5" s="17">
        <f>IF(ISERROR('Eigen informatie GS &amp; warmtenet'!B59),0,'Eigen informatie GS &amp; warmtenet'!B59)</f>
        <v>0</v>
      </c>
      <c r="D5" s="30">
        <f>SUM(D6:D15)</f>
        <v>197674.76313705876</v>
      </c>
      <c r="E5" s="17">
        <f>SUM(E6:E15)</f>
        <v>10790.246661745241</v>
      </c>
      <c r="F5" s="17">
        <f>SUM(F6:F15)</f>
        <v>51754.234877161332</v>
      </c>
      <c r="G5" s="18"/>
      <c r="H5" s="17"/>
      <c r="I5" s="17"/>
      <c r="J5" s="17">
        <f>SUM(J6:J15)</f>
        <v>306.75123097375865</v>
      </c>
      <c r="K5" s="17"/>
      <c r="L5" s="17"/>
      <c r="M5" s="17"/>
      <c r="N5" s="17">
        <f>SUM(N6:N15)</f>
        <v>9007.4689596126263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3563.9730669967803</v>
      </c>
      <c r="C8" s="33"/>
      <c r="D8" s="37">
        <f>IF( ISERROR(IND_metaal_Gas_kWH/1000),0,IND_metaal_Gas_kWH/1000)*0.902</f>
        <v>2642.1350356064681</v>
      </c>
      <c r="E8" s="33">
        <f>C30*'E Balans VL '!I18/100/3.6*1000000</f>
        <v>102.37068399790695</v>
      </c>
      <c r="F8" s="33">
        <f>C30*'E Balans VL '!L18/100/3.6*1000000+C30*'E Balans VL '!N18/100/3.6*1000000</f>
        <v>914.09054663189841</v>
      </c>
      <c r="G8" s="34"/>
      <c r="H8" s="33"/>
      <c r="I8" s="33"/>
      <c r="J8" s="40">
        <f>C30*'E Balans VL '!D18/100/3.6*1000000+C30*'E Balans VL '!E18/100/3.6*1000000</f>
        <v>0</v>
      </c>
      <c r="K8" s="33"/>
      <c r="L8" s="33"/>
      <c r="M8" s="33"/>
      <c r="N8" s="33">
        <f>C30*'E Balans VL '!Y18/100/3.6*1000000</f>
        <v>96.769143868711893</v>
      </c>
      <c r="O8" s="33"/>
      <c r="P8" s="33"/>
      <c r="R8" s="32"/>
    </row>
    <row r="9" spans="1:18">
      <c r="A9" s="6" t="s">
        <v>32</v>
      </c>
      <c r="B9" s="37">
        <f t="shared" si="0"/>
        <v>15393.4412542788</v>
      </c>
      <c r="C9" s="33"/>
      <c r="D9" s="37">
        <f>IF( ISERROR(IND_andere_gas_kWh/1000),0,IND_andere_gas_kWh/1000)*0.902</f>
        <v>16335.571122278738</v>
      </c>
      <c r="E9" s="33">
        <f>C31*'E Balans VL '!I19/100/3.6*1000000</f>
        <v>4166.6260683705523</v>
      </c>
      <c r="F9" s="33">
        <f>C31*'E Balans VL '!L19/100/3.6*1000000+C31*'E Balans VL '!N19/100/3.6*1000000</f>
        <v>10253.660841709574</v>
      </c>
      <c r="G9" s="34"/>
      <c r="H9" s="33"/>
      <c r="I9" s="33"/>
      <c r="J9" s="40">
        <f>C31*'E Balans VL '!D19/100/3.6*1000000+C31*'E Balans VL '!E19/100/3.6*1000000</f>
        <v>0</v>
      </c>
      <c r="K9" s="33"/>
      <c r="L9" s="33"/>
      <c r="M9" s="33"/>
      <c r="N9" s="33">
        <f>C31*'E Balans VL '!Y19/100/3.6*1000000</f>
        <v>1301.4134881452912</v>
      </c>
      <c r="O9" s="33"/>
      <c r="P9" s="33"/>
      <c r="R9" s="32"/>
    </row>
    <row r="10" spans="1:18">
      <c r="A10" s="6" t="s">
        <v>40</v>
      </c>
      <c r="B10" s="37">
        <f t="shared" si="0"/>
        <v>8400.3567290893097</v>
      </c>
      <c r="C10" s="33"/>
      <c r="D10" s="37">
        <f>IF( ISERROR(IND_voed_gas_kWh/1000),0,IND_voed_gas_kWh/1000)*0.902</f>
        <v>17188.619616847165</v>
      </c>
      <c r="E10" s="33">
        <f>C32*'E Balans VL '!I20/100/3.6*1000000</f>
        <v>685.15239414191478</v>
      </c>
      <c r="F10" s="33">
        <f>C32*'E Balans VL '!L20/100/3.6*1000000+C32*'E Balans VL '!N20/100/3.6*1000000</f>
        <v>12525.69403021494</v>
      </c>
      <c r="G10" s="34"/>
      <c r="H10" s="33"/>
      <c r="I10" s="33"/>
      <c r="J10" s="40">
        <f>C32*'E Balans VL '!D20/100/3.6*1000000+C32*'E Balans VL '!E20/100/3.6*1000000</f>
        <v>0.11112652286067132</v>
      </c>
      <c r="K10" s="33"/>
      <c r="L10" s="33"/>
      <c r="M10" s="33"/>
      <c r="N10" s="33">
        <f>C32*'E Balans VL '!Y20/100/3.6*1000000</f>
        <v>2467.72839037944</v>
      </c>
      <c r="O10" s="33"/>
      <c r="P10" s="33"/>
      <c r="R10" s="32"/>
    </row>
    <row r="11" spans="1:18">
      <c r="A11" s="6" t="s">
        <v>39</v>
      </c>
      <c r="B11" s="37">
        <f t="shared" si="0"/>
        <v>21992.7900510771</v>
      </c>
      <c r="C11" s="33"/>
      <c r="D11" s="37">
        <f>IF( ISERROR(IND_textiel_gas_kWh/1000),0,IND_textiel_gas_kWh/1000)*0.902</f>
        <v>75.426796695986297</v>
      </c>
      <c r="E11" s="33">
        <f>C33*'E Balans VL '!I21/100/3.6*1000000</f>
        <v>4.3594209542244498</v>
      </c>
      <c r="F11" s="33">
        <f>C33*'E Balans VL '!L21/100/3.6*1000000+C33*'E Balans VL '!N21/100/3.6*1000000</f>
        <v>810.02099196707252</v>
      </c>
      <c r="G11" s="34"/>
      <c r="H11" s="33"/>
      <c r="I11" s="33"/>
      <c r="J11" s="40">
        <f>C33*'E Balans VL '!D21/100/3.6*1000000+C33*'E Balans VL '!E21/100/3.6*1000000</f>
        <v>0</v>
      </c>
      <c r="K11" s="33"/>
      <c r="L11" s="33"/>
      <c r="M11" s="33"/>
      <c r="N11" s="33">
        <f>C33*'E Balans VL '!Y21/100/3.6*1000000</f>
        <v>102.26092183697477</v>
      </c>
      <c r="O11" s="33"/>
      <c r="P11" s="33"/>
      <c r="R11" s="32"/>
    </row>
    <row r="12" spans="1:18">
      <c r="A12" s="6" t="s">
        <v>36</v>
      </c>
      <c r="B12" s="37">
        <f t="shared" si="0"/>
        <v>7655.41534584489</v>
      </c>
      <c r="C12" s="33"/>
      <c r="D12" s="37">
        <f>IF( ISERROR(IND_min_gas_kWh/1000),0,IND_min_gas_kWh/1000)*0.902</f>
        <v>863.34926312478501</v>
      </c>
      <c r="E12" s="33">
        <f>C34*'E Balans VL '!I22/100/3.6*1000000</f>
        <v>59.634017500129033</v>
      </c>
      <c r="F12" s="33">
        <f>C34*'E Balans VL '!L22/100/3.6*1000000+C34*'E Balans VL '!N22/100/3.6*1000000</f>
        <v>2887.1522288114079</v>
      </c>
      <c r="G12" s="34"/>
      <c r="H12" s="33"/>
      <c r="I12" s="33"/>
      <c r="J12" s="40">
        <f>C34*'E Balans VL '!D22/100/3.6*1000000+C34*'E Balans VL '!E22/100/3.6*1000000</f>
        <v>42.104115066772479</v>
      </c>
      <c r="K12" s="33"/>
      <c r="L12" s="33"/>
      <c r="M12" s="33"/>
      <c r="N12" s="33">
        <f>C34*'E Balans VL '!Y22/100/3.6*1000000</f>
        <v>0</v>
      </c>
      <c r="O12" s="33"/>
      <c r="P12" s="33"/>
      <c r="R12" s="32"/>
    </row>
    <row r="13" spans="1:18">
      <c r="A13" s="6" t="s">
        <v>38</v>
      </c>
      <c r="B13" s="37">
        <f t="shared" si="0"/>
        <v>1351.38044939626</v>
      </c>
      <c r="C13" s="33"/>
      <c r="D13" s="37">
        <f>IF( ISERROR(IND_papier_gas_kWh/1000),0,IND_papier_gas_kWh/1000)*0.902</f>
        <v>482.46238515729135</v>
      </c>
      <c r="E13" s="33">
        <f>C35*'E Balans VL '!I23/100/3.6*1000000</f>
        <v>14.158172122151925</v>
      </c>
      <c r="F13" s="33">
        <f>C35*'E Balans VL '!L23/100/3.6*1000000+C35*'E Balans VL '!N23/100/3.6*1000000</f>
        <v>100.84024866077266</v>
      </c>
      <c r="G13" s="34"/>
      <c r="H13" s="33"/>
      <c r="I13" s="33"/>
      <c r="J13" s="40">
        <f>C35*'E Balans VL '!D23/100/3.6*1000000+C35*'E Balans VL '!E23/100/3.6*1000000</f>
        <v>0</v>
      </c>
      <c r="K13" s="33"/>
      <c r="L13" s="33"/>
      <c r="M13" s="33"/>
      <c r="N13" s="33">
        <f>C35*'E Balans VL '!Y23/100/3.6*1000000</f>
        <v>249.30047271490113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103210.885228568</v>
      </c>
      <c r="C15" s="33"/>
      <c r="D15" s="37">
        <f>IF( ISERROR(IND_rest_gas_kWh/1000),0,IND_rest_gas_kWh/1000)*0.902</f>
        <v>160087.19891734832</v>
      </c>
      <c r="E15" s="33">
        <f>C37*'E Balans VL '!I15/100/3.6*1000000</f>
        <v>5757.9459046583625</v>
      </c>
      <c r="F15" s="33">
        <f>C37*'E Balans VL '!L15/100/3.6*1000000+C37*'E Balans VL '!N15/100/3.6*1000000</f>
        <v>24262.775989165664</v>
      </c>
      <c r="G15" s="34"/>
      <c r="H15" s="33"/>
      <c r="I15" s="33"/>
      <c r="J15" s="40">
        <f>C37*'E Balans VL '!D15/100/3.6*1000000+C37*'E Balans VL '!E15/100/3.6*1000000</f>
        <v>264.53598938412551</v>
      </c>
      <c r="K15" s="33"/>
      <c r="L15" s="33"/>
      <c r="M15" s="33"/>
      <c r="N15" s="33">
        <f>C37*'E Balans VL '!Y15/100/3.6*1000000</f>
        <v>4789.996542667307</v>
      </c>
      <c r="O15" s="33"/>
      <c r="P15" s="33"/>
      <c r="R15" s="32"/>
    </row>
    <row r="16" spans="1:18">
      <c r="A16" s="16" t="s">
        <v>496</v>
      </c>
      <c r="B16" s="249">
        <f>'lokale energieproductie'!N39+'lokale energieproductie'!N32</f>
        <v>0</v>
      </c>
      <c r="C16" s="249">
        <f>'lokale energieproductie'!O39+'lokale energieproductie'!O32</f>
        <v>0</v>
      </c>
      <c r="D16" s="310">
        <f>('lokale energieproductie'!P32+'lokale energieproductie'!P39)*(-1)</f>
        <v>0</v>
      </c>
      <c r="E16" s="250"/>
      <c r="F16" s="310">
        <f>('lokale energieproductie'!S32+'lokale energieproductie'!S39)*(-1)</f>
        <v>0</v>
      </c>
      <c r="G16" s="251"/>
      <c r="H16" s="250"/>
      <c r="I16" s="250"/>
      <c r="J16" s="250"/>
      <c r="K16" s="250"/>
      <c r="L16" s="310">
        <f>('lokale energieproductie'!T32+'lokale energieproductie'!U32+'lokale energieproductie'!T39+'lokale energieproductie'!U39)*(-1)</f>
        <v>0</v>
      </c>
      <c r="M16" s="250"/>
      <c r="N16" s="310">
        <f>('lokale energieproductie'!Q32+'lokale energieproductie'!R32+'lokale energieproductie'!V32+'lokale energieproductie'!Q39+'lokale energieproductie'!R39+'lokale energieproductie'!V39)*(-1)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161568.24212525116</v>
      </c>
      <c r="C18" s="21">
        <f>C5+C16</f>
        <v>0</v>
      </c>
      <c r="D18" s="21">
        <f>MAX((D5+D16),0)</f>
        <v>197674.76313705876</v>
      </c>
      <c r="E18" s="21">
        <f>MAX((E5+E16),0)</f>
        <v>10790.246661745241</v>
      </c>
      <c r="F18" s="21">
        <f>MAX((F5+F16),0)</f>
        <v>51754.234877161332</v>
      </c>
      <c r="G18" s="21"/>
      <c r="H18" s="21"/>
      <c r="I18" s="21"/>
      <c r="J18" s="21">
        <f>MAX((J5+J16),0)</f>
        <v>306.75123097375865</v>
      </c>
      <c r="K18" s="21"/>
      <c r="L18" s="21">
        <f>MAX((L5+L16),0)</f>
        <v>0</v>
      </c>
      <c r="M18" s="21"/>
      <c r="N18" s="21">
        <f>MAX((N5+N16),0)</f>
        <v>9007.4689596126263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0.20917753045894263</v>
      </c>
      <c r="C20" s="25">
        <f ca="1">'EF ele_warmte'!B22</f>
        <v>0.22792166033323588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33796.445888352544</v>
      </c>
      <c r="C22" s="23">
        <f ca="1">C18*C20</f>
        <v>0</v>
      </c>
      <c r="D22" s="23">
        <f>D18*D20</f>
        <v>39930.302153685872</v>
      </c>
      <c r="E22" s="23">
        <f>E18*E20</f>
        <v>2449.3859922161696</v>
      </c>
      <c r="F22" s="23">
        <f>F18*F20</f>
        <v>13818.380712202077</v>
      </c>
      <c r="G22" s="23"/>
      <c r="H22" s="23"/>
      <c r="I22" s="23"/>
      <c r="J22" s="23">
        <f>J18*J20</f>
        <v>108.58993576471056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3563.9730669967803</v>
      </c>
      <c r="C30" s="39">
        <f>IF(ISERROR(B30*3.6/1000000/'E Balans VL '!Z18*100),0,B30*3.6/1000000/'E Balans VL '!Z18*100)</f>
        <v>0.35068585193839258</v>
      </c>
      <c r="D30" s="239" t="s">
        <v>689</v>
      </c>
    </row>
    <row r="31" spans="1:18">
      <c r="A31" s="6" t="s">
        <v>32</v>
      </c>
      <c r="B31" s="37">
        <f>IF( ISERROR(IND_ander_ele_kWh/1000),0,IND_ander_ele_kWh/1000)</f>
        <v>15393.4412542788</v>
      </c>
      <c r="C31" s="39">
        <f>IF(ISERROR(B31*3.6/1000000/'E Balans VL '!Z19*100),0,B31*3.6/1000000/'E Balans VL '!Z19*100)</f>
        <v>0.6703720873967115</v>
      </c>
      <c r="D31" s="239" t="s">
        <v>689</v>
      </c>
    </row>
    <row r="32" spans="1:18">
      <c r="A32" s="173" t="s">
        <v>40</v>
      </c>
      <c r="B32" s="37">
        <f>IF( ISERROR(IND_voed_ele_kWh/1000),0,IND_voed_ele_kWh/1000)</f>
        <v>8400.3567290893097</v>
      </c>
      <c r="C32" s="39">
        <f>IF(ISERROR(B32*3.6/1000000/'E Balans VL '!Z20*100),0,B32*3.6/1000000/'E Balans VL '!Z20*100)</f>
        <v>1.5938465430215178</v>
      </c>
      <c r="D32" s="239" t="s">
        <v>689</v>
      </c>
    </row>
    <row r="33" spans="1:5">
      <c r="A33" s="173" t="s">
        <v>39</v>
      </c>
      <c r="B33" s="37">
        <f>IF( ISERROR(IND_textiel_ele_kWh/1000),0,IND_textiel_ele_kWh/1000)</f>
        <v>21992.7900510771</v>
      </c>
      <c r="C33" s="39">
        <f>IF(ISERROR(B33*3.6/1000000/'E Balans VL '!Z21*100),0,B33*3.6/1000000/'E Balans VL '!Z21*100)</f>
        <v>1.2556767808619591</v>
      </c>
      <c r="D33" s="239" t="s">
        <v>689</v>
      </c>
    </row>
    <row r="34" spans="1:5">
      <c r="A34" s="173" t="s">
        <v>36</v>
      </c>
      <c r="B34" s="37">
        <f>IF( ISERROR(IND_min_ele_kWh/1000),0,IND_min_ele_kWh/1000)</f>
        <v>7655.41534584489</v>
      </c>
      <c r="C34" s="39">
        <f>IF(ISERROR(B34*3.6/1000000/'E Balans VL '!Z22*100),0,B34*3.6/1000000/'E Balans VL '!Z22*100)</f>
        <v>1.0764282709105826</v>
      </c>
      <c r="D34" s="239" t="s">
        <v>689</v>
      </c>
    </row>
    <row r="35" spans="1:5">
      <c r="A35" s="173" t="s">
        <v>38</v>
      </c>
      <c r="B35" s="37">
        <f>IF( ISERROR(IND_papier_ele_kWh/1000),0,IND_papier_ele_kWh/1000)</f>
        <v>1351.38044939626</v>
      </c>
      <c r="C35" s="39">
        <f>IF(ISERROR(B35*3.6/1000000/'E Balans VL '!Z22*100),0,B35*3.6/1000000/'E Balans VL '!Z22*100)</f>
        <v>0.19001766132461076</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103210.885228568</v>
      </c>
      <c r="C37" s="39">
        <f>IF(ISERROR(B37*3.6/1000000/'E Balans VL '!Z15*100),0,B37*3.6/1000000/'E Balans VL '!Z15*100)</f>
        <v>0.79536663978390709</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1965.0575575598452</v>
      </c>
      <c r="C5" s="17">
        <f>'Eigen informatie GS &amp; warmtenet'!B60</f>
        <v>0</v>
      </c>
      <c r="D5" s="30">
        <f>IF(ISERROR(SUM(LB_lb_gas_kWh,LB_rest_gas_kWh)/1000),0,SUM(LB_lb_gas_kWh,LB_rest_gas_kWh)/1000)*0.902</f>
        <v>432.42634455783411</v>
      </c>
      <c r="E5" s="17">
        <f>B17*'E Balans VL '!I25/3.6*1000000/100</f>
        <v>24.762256734096024</v>
      </c>
      <c r="F5" s="17">
        <f>B17*('E Balans VL '!L25/3.6*1000000+'E Balans VL '!N25/3.6*1000000)/100</f>
        <v>6779.9408499143519</v>
      </c>
      <c r="G5" s="18"/>
      <c r="H5" s="17"/>
      <c r="I5" s="17"/>
      <c r="J5" s="17">
        <f>('E Balans VL '!D25+'E Balans VL '!E25)/3.6*1000000*landbouw!B17/100</f>
        <v>295.52231867106724</v>
      </c>
      <c r="K5" s="17"/>
      <c r="L5" s="17">
        <f>L6*(-1)</f>
        <v>0</v>
      </c>
      <c r="M5" s="17"/>
      <c r="N5" s="17">
        <f>N6*(-1)</f>
        <v>0</v>
      </c>
      <c r="O5" s="17"/>
      <c r="P5" s="17"/>
      <c r="R5" s="32"/>
    </row>
    <row r="6" spans="1:18">
      <c r="A6" s="16" t="s">
        <v>496</v>
      </c>
      <c r="B6" s="17" t="s">
        <v>210</v>
      </c>
      <c r="C6" s="17">
        <f>'lokale energieproductie'!O41+'lokale energieproductie'!O34</f>
        <v>56.357142857142861</v>
      </c>
      <c r="D6" s="310">
        <f>('lokale energieproductie'!P34+'lokale energieproductie'!P41)*(-1)</f>
        <v>-82.714285714285722</v>
      </c>
      <c r="E6" s="250"/>
      <c r="F6" s="310">
        <f>('lokale energieproductie'!S34+'lokale energieproductie'!S41)*(-1)</f>
        <v>0</v>
      </c>
      <c r="G6" s="251"/>
      <c r="H6" s="250"/>
      <c r="I6" s="250"/>
      <c r="J6" s="250"/>
      <c r="K6" s="250"/>
      <c r="L6" s="310">
        <f>('lokale energieproductie'!T34+'lokale energieproductie'!U34+'lokale energieproductie'!T41+'lokale energieproductie'!U41)*(-1)</f>
        <v>0</v>
      </c>
      <c r="M6" s="250"/>
      <c r="N6" s="1030">
        <f>('lokale energieproductie'!V34+'lokale energieproductie'!R34+'lokale energieproductie'!Q34+'lokale energieproductie'!Q41+'lokale energieproductie'!R41+'lokale energieproductie'!V41)*(-1)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1965.0575575598452</v>
      </c>
      <c r="C8" s="21">
        <f>C5+C6</f>
        <v>56.357142857142861</v>
      </c>
      <c r="D8" s="21">
        <f>MAX((D5+D6),0)</f>
        <v>349.71205884354839</v>
      </c>
      <c r="E8" s="21">
        <f>MAX((E5+E6),0)</f>
        <v>24.762256734096024</v>
      </c>
      <c r="F8" s="21">
        <f>MAX((F5+F6),0)</f>
        <v>6779.9408499143519</v>
      </c>
      <c r="G8" s="21"/>
      <c r="H8" s="21"/>
      <c r="I8" s="21"/>
      <c r="J8" s="21">
        <f>MAX((J5+J6),0)</f>
        <v>295.52231867106724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0.20917753045894263</v>
      </c>
      <c r="C10" s="31">
        <f ca="1">'EF ele_warmte'!B22</f>
        <v>0.22792166033323588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411.04588710004992</v>
      </c>
      <c r="C12" s="23">
        <f ca="1">C8*C10</f>
        <v>12.845013571637367</v>
      </c>
      <c r="D12" s="23">
        <f>D8*D10</f>
        <v>70.641835886396777</v>
      </c>
      <c r="E12" s="23">
        <f>E8*E10</f>
        <v>5.6210322786397979</v>
      </c>
      <c r="F12" s="23">
        <f>F8*F10</f>
        <v>1810.2442069271322</v>
      </c>
      <c r="G12" s="23"/>
      <c r="H12" s="23"/>
      <c r="I12" s="23"/>
      <c r="J12" s="23">
        <f>J8*J10</f>
        <v>104.6149008095578</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0.27406359426048282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373.97431719770231</v>
      </c>
      <c r="C26" s="249">
        <f>B26*'GWP N2O_CH4'!B5</f>
        <v>7853.4606611517484</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94.830419869058588</v>
      </c>
      <c r="C27" s="249">
        <f>B27*'GWP N2O_CH4'!B5</f>
        <v>1991.4388172502304</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5.1932489988373725</v>
      </c>
      <c r="C28" s="249">
        <f>B28*'GWP N2O_CH4'!B4</f>
        <v>1609.9071896395856</v>
      </c>
      <c r="D28" s="50"/>
    </row>
    <row r="29" spans="1:4">
      <c r="A29" s="41" t="s">
        <v>276</v>
      </c>
      <c r="B29" s="249">
        <f>B34*'ha_N2O bodem landbouw'!B4</f>
        <v>22.462429691063576</v>
      </c>
      <c r="C29" s="249">
        <f>B29*'GWP N2O_CH4'!B4</f>
        <v>6963.3532042297084</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5.6086442429966309E-3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2.9239248519190499E-5</v>
      </c>
      <c r="C5" s="444" t="s">
        <v>210</v>
      </c>
      <c r="D5" s="429">
        <f>SUM(D6:D11)</f>
        <v>4.8594731227049183E-5</v>
      </c>
      <c r="E5" s="429">
        <f>SUM(E6:E11)</f>
        <v>1.7155024482364044E-3</v>
      </c>
      <c r="F5" s="442" t="s">
        <v>210</v>
      </c>
      <c r="G5" s="429">
        <f>SUM(G6:G11)</f>
        <v>0.50603557891067175</v>
      </c>
      <c r="H5" s="429">
        <f>SUM(H6:H11)</f>
        <v>8.8565064921928144E-2</v>
      </c>
      <c r="I5" s="444" t="s">
        <v>210</v>
      </c>
      <c r="J5" s="444" t="s">
        <v>210</v>
      </c>
      <c r="K5" s="444" t="s">
        <v>210</v>
      </c>
      <c r="L5" s="444" t="s">
        <v>210</v>
      </c>
      <c r="M5" s="429">
        <f>SUM(M6:M11)</f>
        <v>2.6885230798239609E-2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2.4144198980002049E-5</v>
      </c>
      <c r="C6" s="883"/>
      <c r="D6" s="883">
        <f>vkm_GW_PW*SUMIFS(TableVerdeelsleutelVkm[CNG],TableVerdeelsleutelVkm[Voertuigtype],"Lichte voertuigen")*SUMIFS(TableECFTransport[EnergieConsumptieFactor (PJ per km)],TableECFTransport[Index],CONCATENATE($A6,"_CNG_CNG"))</f>
        <v>3.5780983738332764E-5</v>
      </c>
      <c r="E6" s="883">
        <f>vkm_GW_PW*SUMIFS(TableVerdeelsleutelVkm[LPG],TableVerdeelsleutelVkm[Voertuigtype],"Lichte voertuigen")*SUMIFS(TableECFTransport[EnergieConsumptieFactor (PJ per km)],TableECFTransport[Index],CONCATENATE($A6,"_LPG_LPG"))</f>
        <v>1.2815440924347195E-3</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0.25791460384334308</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6.5887972042690784E-2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1.4648649600159861E-2</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0.15778027026765046</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3.6659212729055346E-6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7.1240254771929865E-3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5.0950495391884502E-6</v>
      </c>
      <c r="C8" s="883"/>
      <c r="D8" s="432">
        <f>vkm_NGW_PW*SUMIFS(TableVerdeelsleutelVkm[CNG],TableVerdeelsleutelVkm[Voertuigtype],"Lichte voertuigen")*SUMIFS(TableECFTransport[EnergieConsumptieFactor (PJ per km)],TableECFTransport[Index],CONCATENATE($A8,"_CNG_CNG"))</f>
        <v>1.2813747488716419E-5</v>
      </c>
      <c r="E8" s="432">
        <f>vkm_NGW_PW*SUMIFS(TableVerdeelsleutelVkm[LPG],TableVerdeelsleutelVkm[Voertuigtype],"Lichte voertuigen")*SUMIFS(TableECFTransport[EnergieConsumptieFactor (PJ per km)],TableECFTransport[Index],CONCATENATE($A8,"_LPG_LPG"))</f>
        <v>4.3395835580168479E-4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8.2961582917307E-2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2.2673228232909303E-2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4.779375606594743E-3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7.3791218823712444E-3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1.9872505514309861E-7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3.3318011429201816E-4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8.1220134775529171</v>
      </c>
      <c r="C14" s="21"/>
      <c r="D14" s="21">
        <f t="shared" ref="D14:M14" si="0">((D5)*10^9/3600)+D12</f>
        <v>13.498536451958106</v>
      </c>
      <c r="E14" s="21">
        <f t="shared" si="0"/>
        <v>476.52845784344566</v>
      </c>
      <c r="F14" s="21"/>
      <c r="G14" s="21">
        <f t="shared" si="0"/>
        <v>140565.43858629771</v>
      </c>
      <c r="H14" s="21">
        <f t="shared" si="0"/>
        <v>24601.406922757815</v>
      </c>
      <c r="I14" s="21"/>
      <c r="J14" s="21"/>
      <c r="K14" s="21"/>
      <c r="L14" s="21"/>
      <c r="M14" s="21">
        <f t="shared" si="0"/>
        <v>7468.1196661776694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0.20917753045894263</v>
      </c>
      <c r="C16" s="56">
        <f ca="1">'EF ele_warmte'!B22</f>
        <v>0.22792166033323588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1.698942721588768</v>
      </c>
      <c r="C18" s="23"/>
      <c r="D18" s="23">
        <f t="shared" ref="D18:M18" si="1">D14*D16</f>
        <v>2.7267043632955374</v>
      </c>
      <c r="E18" s="23">
        <f t="shared" si="1"/>
        <v>108.17195993046217</v>
      </c>
      <c r="F18" s="23"/>
      <c r="G18" s="23">
        <f t="shared" si="1"/>
        <v>37530.972102541491</v>
      </c>
      <c r="H18" s="23">
        <f t="shared" si="1"/>
        <v>6125.7503237666961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9.1532811331195806E-3</v>
      </c>
      <c r="H50" s="321">
        <f t="shared" si="2"/>
        <v>0</v>
      </c>
      <c r="I50" s="321">
        <f t="shared" si="2"/>
        <v>0</v>
      </c>
      <c r="J50" s="321">
        <f t="shared" si="2"/>
        <v>0</v>
      </c>
      <c r="K50" s="321">
        <f t="shared" si="2"/>
        <v>0</v>
      </c>
      <c r="L50" s="321">
        <f t="shared" si="2"/>
        <v>0</v>
      </c>
      <c r="M50" s="321">
        <f t="shared" si="2"/>
        <v>4.0742011567309212E-4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9.1532811331195806E-3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4.0742011567309212E-4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2542.5780925332169</v>
      </c>
      <c r="H54" s="21">
        <f t="shared" si="3"/>
        <v>0</v>
      </c>
      <c r="I54" s="21">
        <f t="shared" si="3"/>
        <v>0</v>
      </c>
      <c r="J54" s="21">
        <f t="shared" si="3"/>
        <v>0</v>
      </c>
      <c r="K54" s="21">
        <f t="shared" si="3"/>
        <v>0</v>
      </c>
      <c r="L54" s="21">
        <f t="shared" si="3"/>
        <v>0</v>
      </c>
      <c r="M54" s="21">
        <f t="shared" si="3"/>
        <v>113.1722543536367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0.20917753045894263</v>
      </c>
      <c r="C56" s="56">
        <f ca="1">'EF ele_warmte'!B22</f>
        <v>0.22792166033323588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678.86835070636891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67" zoomScale="65" zoomScaleNormal="65" workbookViewId="0">
      <selection activeCell="M30" sqref="M30"/>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14953.009763988968</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N31</f>
        <v>16.95</v>
      </c>
      <c r="C8" s="556">
        <f>B50</f>
        <v>19.125109617071029</v>
      </c>
      <c r="D8" s="1015"/>
      <c r="E8" s="1015">
        <f>E50</f>
        <v>0</v>
      </c>
      <c r="F8" s="1016"/>
      <c r="G8" s="557"/>
      <c r="H8" s="1015">
        <f>I50</f>
        <v>0</v>
      </c>
      <c r="I8" s="1015">
        <f>G50+F50</f>
        <v>0</v>
      </c>
      <c r="J8" s="1015">
        <f>H50+D50+C50</f>
        <v>0</v>
      </c>
      <c r="K8" s="1015"/>
      <c r="L8" s="1015"/>
      <c r="M8" s="1015"/>
      <c r="N8" s="558"/>
      <c r="O8" s="559">
        <f>C8*$C$12+D8*$D$12+E8*$E$12+F8*$F$12+G8*$G$12+H8*$H$12+I8*$I$12+J8*$J$12</f>
        <v>3.8632721426483481</v>
      </c>
      <c r="P8" s="1254"/>
      <c r="Q8" s="1255"/>
      <c r="S8" s="1027"/>
      <c r="T8" s="1275"/>
      <c r="U8" s="1275"/>
    </row>
    <row r="9" spans="1:21" s="544" customFormat="1" ht="17.45" customHeight="1" thickBot="1">
      <c r="A9" s="560" t="s">
        <v>247</v>
      </c>
      <c r="B9" s="561">
        <f>N38+'Eigen informatie GS &amp; warmtenet'!B12</f>
        <v>0</v>
      </c>
      <c r="C9" s="56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14969.959763988969</v>
      </c>
      <c r="C10" s="569">
        <f t="shared" ref="C10:L10" si="0">SUM(C8:C9)</f>
        <v>19.125109617071029</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3.8632721426483481</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O31</f>
        <v>56.357142857142861</v>
      </c>
      <c r="C17" s="581">
        <f>B51</f>
        <v>63.589176097214683</v>
      </c>
      <c r="D17" s="582"/>
      <c r="E17" s="582">
        <f>E51</f>
        <v>0</v>
      </c>
      <c r="F17" s="1021"/>
      <c r="G17" s="583"/>
      <c r="H17" s="581">
        <f>I51</f>
        <v>0</v>
      </c>
      <c r="I17" s="582">
        <f>G51+F51</f>
        <v>0</v>
      </c>
      <c r="J17" s="582">
        <f>H51+D51+C51</f>
        <v>0</v>
      </c>
      <c r="K17" s="582"/>
      <c r="L17" s="582"/>
      <c r="M17" s="582"/>
      <c r="N17" s="1022"/>
      <c r="O17" s="584">
        <f>C17*$C$22+E17*$E$22+H17*$H$22+I17*$I$22+J17*$J$22+D17*$D$22+F17*$F$22+G17*$G$22+K17*$K$22+L17*$L$22</f>
        <v>12.845013571637367</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56.357142857142861</v>
      </c>
      <c r="C20" s="568">
        <f>SUM(C17:C19)</f>
        <v>63.589176097214683</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12.845013571637367</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45035</v>
      </c>
      <c r="C28" s="787">
        <v>9700</v>
      </c>
      <c r="D28" s="640" t="s">
        <v>920</v>
      </c>
      <c r="E28" s="639" t="s">
        <v>921</v>
      </c>
      <c r="F28" s="639" t="s">
        <v>922</v>
      </c>
      <c r="G28" s="639" t="s">
        <v>923</v>
      </c>
      <c r="H28" s="639" t="s">
        <v>923</v>
      </c>
      <c r="I28" s="639" t="s">
        <v>921</v>
      </c>
      <c r="J28" s="786">
        <v>40512</v>
      </c>
      <c r="K28" s="786">
        <v>41122</v>
      </c>
      <c r="L28" s="639" t="s">
        <v>924</v>
      </c>
      <c r="M28" s="639">
        <v>1</v>
      </c>
      <c r="N28" s="639">
        <v>4.5</v>
      </c>
      <c r="O28" s="639">
        <v>22.5</v>
      </c>
      <c r="P28" s="639">
        <v>30</v>
      </c>
      <c r="Q28" s="639">
        <v>0</v>
      </c>
      <c r="R28" s="639">
        <v>0</v>
      </c>
      <c r="S28" s="639">
        <v>0</v>
      </c>
      <c r="T28" s="639">
        <v>0</v>
      </c>
      <c r="U28" s="639">
        <v>0</v>
      </c>
      <c r="V28" s="639">
        <v>0</v>
      </c>
      <c r="W28" s="639">
        <v>0</v>
      </c>
      <c r="X28" s="639">
        <v>10</v>
      </c>
      <c r="Y28" s="639" t="s">
        <v>111</v>
      </c>
      <c r="Z28" s="641" t="s">
        <v>111</v>
      </c>
    </row>
    <row r="29" spans="1:26" s="593" customFormat="1" ht="25.5">
      <c r="A29" s="592"/>
      <c r="B29" s="787">
        <v>45035</v>
      </c>
      <c r="C29" s="787">
        <v>9700</v>
      </c>
      <c r="D29" s="640" t="s">
        <v>925</v>
      </c>
      <c r="E29" s="639" t="s">
        <v>926</v>
      </c>
      <c r="F29" s="639" t="s">
        <v>927</v>
      </c>
      <c r="G29" s="639" t="s">
        <v>923</v>
      </c>
      <c r="H29" s="639" t="s">
        <v>923</v>
      </c>
      <c r="I29" s="639" t="s">
        <v>926</v>
      </c>
      <c r="J29" s="786">
        <v>40892</v>
      </c>
      <c r="K29" s="786">
        <v>41000</v>
      </c>
      <c r="L29" s="639" t="s">
        <v>924</v>
      </c>
      <c r="M29" s="639">
        <v>1</v>
      </c>
      <c r="N29" s="639">
        <v>4.5</v>
      </c>
      <c r="O29" s="639">
        <v>22.5</v>
      </c>
      <c r="P29" s="639">
        <v>30</v>
      </c>
      <c r="Q29" s="639">
        <v>0</v>
      </c>
      <c r="R29" s="639">
        <v>0</v>
      </c>
      <c r="S29" s="639">
        <v>0</v>
      </c>
      <c r="T29" s="639">
        <v>0</v>
      </c>
      <c r="U29" s="639">
        <v>0</v>
      </c>
      <c r="V29" s="639">
        <v>0</v>
      </c>
      <c r="W29" s="639">
        <v>0</v>
      </c>
      <c r="X29" s="639">
        <v>10</v>
      </c>
      <c r="Y29" s="639" t="s">
        <v>111</v>
      </c>
      <c r="Z29" s="641" t="s">
        <v>111</v>
      </c>
    </row>
    <row r="30" spans="1:26" s="593" customFormat="1" ht="38.25">
      <c r="A30" s="592"/>
      <c r="B30" s="787">
        <v>45035</v>
      </c>
      <c r="C30" s="787">
        <v>9700</v>
      </c>
      <c r="D30" s="640" t="s">
        <v>928</v>
      </c>
      <c r="E30" s="639" t="s">
        <v>929</v>
      </c>
      <c r="F30" s="639" t="s">
        <v>930</v>
      </c>
      <c r="G30" s="639" t="s">
        <v>931</v>
      </c>
      <c r="H30" s="639" t="s">
        <v>932</v>
      </c>
      <c r="I30" s="639" t="s">
        <v>929</v>
      </c>
      <c r="J30" s="786">
        <v>41463</v>
      </c>
      <c r="K30" s="786">
        <v>41495</v>
      </c>
      <c r="L30" s="639" t="s">
        <v>924</v>
      </c>
      <c r="M30" s="639">
        <v>5.3</v>
      </c>
      <c r="N30" s="639">
        <v>7.95</v>
      </c>
      <c r="O30" s="639">
        <v>11.357142857142858</v>
      </c>
      <c r="P30" s="639">
        <v>22.714285714285715</v>
      </c>
      <c r="Q30" s="639">
        <v>0</v>
      </c>
      <c r="R30" s="639">
        <v>0</v>
      </c>
      <c r="S30" s="639">
        <v>0</v>
      </c>
      <c r="T30" s="639">
        <v>0</v>
      </c>
      <c r="U30" s="639">
        <v>0</v>
      </c>
      <c r="V30" s="639">
        <v>0</v>
      </c>
      <c r="W30" s="639">
        <v>0</v>
      </c>
      <c r="X30" s="639">
        <v>10</v>
      </c>
      <c r="Y30" s="639" t="s">
        <v>111</v>
      </c>
      <c r="Z30" s="641" t="s">
        <v>111</v>
      </c>
    </row>
    <row r="31" spans="1:26" s="576" customFormat="1">
      <c r="A31" s="595" t="s">
        <v>279</v>
      </c>
      <c r="B31" s="596"/>
      <c r="C31" s="596"/>
      <c r="D31" s="596"/>
      <c r="E31" s="596"/>
      <c r="F31" s="596"/>
      <c r="G31" s="596"/>
      <c r="H31" s="596"/>
      <c r="I31" s="596"/>
      <c r="J31" s="596"/>
      <c r="K31" s="596"/>
      <c r="L31" s="597"/>
      <c r="M31" s="597">
        <f>SUM(M28:M30)</f>
        <v>7.3</v>
      </c>
      <c r="N31" s="597">
        <f>SUM(N28:N30)</f>
        <v>16.95</v>
      </c>
      <c r="O31" s="597">
        <f>SUM(O28:O30)</f>
        <v>56.357142857142861</v>
      </c>
      <c r="P31" s="597">
        <f>SUM(P28:P30)</f>
        <v>82.714285714285722</v>
      </c>
      <c r="Q31" s="597">
        <f>SUM(Q28:Q30)</f>
        <v>0</v>
      </c>
      <c r="R31" s="597">
        <f>SUM(R28:R30)</f>
        <v>0</v>
      </c>
      <c r="S31" s="597">
        <f>SUM(S28:S30)</f>
        <v>0</v>
      </c>
      <c r="T31" s="597">
        <f>SUM(T28:T30)</f>
        <v>0</v>
      </c>
      <c r="U31" s="597">
        <f>SUM(U28:U30)</f>
        <v>0</v>
      </c>
      <c r="V31" s="597">
        <f>SUM(V28:V30)</f>
        <v>0</v>
      </c>
      <c r="W31" s="597">
        <f>SUM(W28:W30)</f>
        <v>0</v>
      </c>
      <c r="X31" s="598"/>
      <c r="Y31" s="598"/>
      <c r="Z31" s="599"/>
    </row>
    <row r="32" spans="1:26" s="576" customFormat="1">
      <c r="A32" s="595" t="s">
        <v>286</v>
      </c>
      <c r="B32" s="596"/>
      <c r="C32" s="596"/>
      <c r="D32" s="596"/>
      <c r="E32" s="596"/>
      <c r="F32" s="596"/>
      <c r="G32" s="596"/>
      <c r="H32" s="596"/>
      <c r="I32" s="596"/>
      <c r="J32" s="596"/>
      <c r="K32" s="596"/>
      <c r="L32" s="597"/>
      <c r="M32" s="597">
        <f>SUMIF($Z$28:$Z$30,"industrie",M28:M30)</f>
        <v>0</v>
      </c>
      <c r="N32" s="597">
        <f>SUMIF($Z$28:$Z$30,"industrie",N28:N30)</f>
        <v>0</v>
      </c>
      <c r="O32" s="597">
        <f>SUMIF($Z$28:$Z$30,"industrie",O28:O30)</f>
        <v>0</v>
      </c>
      <c r="P32" s="597">
        <f>SUMIF($Z$28:$Z$30,"industrie",P28:P30)</f>
        <v>0</v>
      </c>
      <c r="Q32" s="597">
        <f>SUMIF($Z$28:$Z$30,"industrie",Q28:Q30)</f>
        <v>0</v>
      </c>
      <c r="R32" s="597">
        <f>SUMIF($Z$28:$Z$30,"industrie",R28:R30)</f>
        <v>0</v>
      </c>
      <c r="S32" s="597">
        <f>SUMIF($Z$28:$Z$30,"industrie",S28:S30)</f>
        <v>0</v>
      </c>
      <c r="T32" s="597">
        <f>SUMIF($Z$28:$Z$30,"industrie",T28:T30)</f>
        <v>0</v>
      </c>
      <c r="U32" s="597">
        <f>SUMIF($Z$28:$Z$30,"industrie",U28:U30)</f>
        <v>0</v>
      </c>
      <c r="V32" s="597">
        <f>SUMIF($Z$28:$Z$30,"industrie",V28:V30)</f>
        <v>0</v>
      </c>
      <c r="W32" s="597">
        <f>SUMIF($Z$28:$Z$30,"industrie",W28:W30)</f>
        <v>0</v>
      </c>
      <c r="X32" s="598"/>
      <c r="Y32" s="598"/>
      <c r="Z32" s="599"/>
    </row>
    <row r="33" spans="1:27" s="576" customFormat="1">
      <c r="A33" s="595" t="s">
        <v>287</v>
      </c>
      <c r="B33" s="596"/>
      <c r="C33" s="596"/>
      <c r="D33" s="596"/>
      <c r="E33" s="596"/>
      <c r="F33" s="596"/>
      <c r="G33" s="596"/>
      <c r="H33" s="596"/>
      <c r="I33" s="596"/>
      <c r="J33" s="596"/>
      <c r="K33" s="596"/>
      <c r="L33" s="597"/>
      <c r="M33" s="597">
        <f ca="1">SUMIF($Z$28:AC30,"tertiair",M28:M30)</f>
        <v>0</v>
      </c>
      <c r="N33" s="597">
        <f ca="1">SUMIF($Z$28:AD30,"tertiair",N28:N30)</f>
        <v>0</v>
      </c>
      <c r="O33" s="597">
        <f ca="1">SUMIF($Z$28:AE30,"tertiair",O28:O30)</f>
        <v>0</v>
      </c>
      <c r="P33" s="597">
        <f ca="1">SUMIF($Z$28:AF30,"tertiair",P28:P30)</f>
        <v>0</v>
      </c>
      <c r="Q33" s="597">
        <f ca="1">SUMIF($Z$28:AG30,"tertiair",Q28:Q30)</f>
        <v>0</v>
      </c>
      <c r="R33" s="597">
        <f ca="1">SUMIF($Z$28:AH30,"tertiair",R28:R30)</f>
        <v>0</v>
      </c>
      <c r="S33" s="597">
        <f ca="1">SUMIF($Z$28:AI30,"tertiair",S28:S30)</f>
        <v>0</v>
      </c>
      <c r="T33" s="597">
        <f ca="1">SUMIF($Z$28:AJ30,"tertiair",T28:T30)</f>
        <v>0</v>
      </c>
      <c r="U33" s="597">
        <f ca="1">SUMIF($Z$28:AK30,"tertiair",U28:U30)</f>
        <v>0</v>
      </c>
      <c r="V33" s="597">
        <f ca="1">SUMIF($Z$28:AL30,"tertiair",V28:V30)</f>
        <v>0</v>
      </c>
      <c r="W33" s="597">
        <f ca="1">SUMIF($Z$28:AM30,"tertiair",W28:W30)</f>
        <v>0</v>
      </c>
      <c r="X33" s="598"/>
      <c r="Y33" s="598"/>
      <c r="Z33" s="599"/>
    </row>
    <row r="34" spans="1:27" s="576" customFormat="1" ht="15.75" thickBot="1">
      <c r="A34" s="600" t="s">
        <v>288</v>
      </c>
      <c r="B34" s="601"/>
      <c r="C34" s="601"/>
      <c r="D34" s="601"/>
      <c r="E34" s="601"/>
      <c r="F34" s="601"/>
      <c r="G34" s="601"/>
      <c r="H34" s="601"/>
      <c r="I34" s="601"/>
      <c r="J34" s="601"/>
      <c r="K34" s="601"/>
      <c r="L34" s="602"/>
      <c r="M34" s="602">
        <f>SUMIF($Z$28:$Z$30,"landbouw",M28:M30)</f>
        <v>7.3</v>
      </c>
      <c r="N34" s="602">
        <f>SUMIF($Z$28:$Z$30,"landbouw",N28:N30)</f>
        <v>16.95</v>
      </c>
      <c r="O34" s="602">
        <f>SUMIF($Z$28:$Z$30,"landbouw",O28:O30)</f>
        <v>56.357142857142861</v>
      </c>
      <c r="P34" s="602">
        <f>SUMIF($Z$28:$Z$30,"landbouw",P28:P30)</f>
        <v>82.714285714285722</v>
      </c>
      <c r="Q34" s="602">
        <f>SUMIF($Z$28:$Z$30,"landbouw",Q28:Q30)</f>
        <v>0</v>
      </c>
      <c r="R34" s="602">
        <f>SUMIF($Z$28:$Z$30,"landbouw",R28:R30)</f>
        <v>0</v>
      </c>
      <c r="S34" s="602">
        <f>SUMIF($Z$28:$Z$30,"landbouw",S28:S30)</f>
        <v>0</v>
      </c>
      <c r="T34" s="602">
        <f>SUMIF($Z$28:$Z$30,"landbouw",T28:T30)</f>
        <v>0</v>
      </c>
      <c r="U34" s="602">
        <f>SUMIF($Z$28:$Z$30,"landbouw",U28:U30)</f>
        <v>0</v>
      </c>
      <c r="V34" s="602">
        <f>SUMIF($Z$28:$Z$30,"landbouw",V28:V30)</f>
        <v>0</v>
      </c>
      <c r="W34" s="602">
        <f>SUMIF($Z$28:$Z$30,"landbouw",W28:W30)</f>
        <v>0</v>
      </c>
      <c r="X34" s="603"/>
      <c r="Y34" s="603"/>
      <c r="Z34" s="604"/>
    </row>
    <row r="35" spans="1:27" s="544" customFormat="1" ht="15.75" thickBot="1">
      <c r="A35" s="605"/>
      <c r="B35" s="606"/>
      <c r="C35" s="606"/>
      <c r="D35" s="606"/>
      <c r="E35" s="606"/>
      <c r="F35" s="606"/>
      <c r="G35" s="606"/>
      <c r="H35" s="606"/>
      <c r="I35" s="606"/>
      <c r="J35" s="606"/>
      <c r="K35" s="606"/>
      <c r="L35" s="589"/>
      <c r="M35" s="589"/>
      <c r="N35" s="589"/>
      <c r="O35" s="590"/>
      <c r="P35" s="590"/>
    </row>
    <row r="36" spans="1:27" s="544" customFormat="1" ht="45">
      <c r="A36" s="607" t="s">
        <v>280</v>
      </c>
      <c r="B36" s="636" t="s">
        <v>89</v>
      </c>
      <c r="C36" s="636" t="s">
        <v>90</v>
      </c>
      <c r="D36" s="636" t="s">
        <v>91</v>
      </c>
      <c r="E36" s="636" t="s">
        <v>92</v>
      </c>
      <c r="F36" s="636" t="s">
        <v>93</v>
      </c>
      <c r="G36" s="636" t="s">
        <v>94</v>
      </c>
      <c r="H36" s="636" t="s">
        <v>95</v>
      </c>
      <c r="I36" s="636" t="s">
        <v>96</v>
      </c>
      <c r="J36" s="636" t="s">
        <v>97</v>
      </c>
      <c r="K36" s="636" t="s">
        <v>98</v>
      </c>
      <c r="L36" s="636" t="s">
        <v>99</v>
      </c>
      <c r="M36" s="637" t="s">
        <v>297</v>
      </c>
      <c r="N36" s="637" t="s">
        <v>100</v>
      </c>
      <c r="O36" s="637" t="s">
        <v>101</v>
      </c>
      <c r="P36" s="637" t="s">
        <v>546</v>
      </c>
      <c r="Q36" s="637" t="s">
        <v>102</v>
      </c>
      <c r="R36" s="637" t="s">
        <v>103</v>
      </c>
      <c r="S36" s="637" t="s">
        <v>104</v>
      </c>
      <c r="T36" s="637" t="s">
        <v>105</v>
      </c>
      <c r="U36" s="637" t="s">
        <v>106</v>
      </c>
      <c r="V36" s="637" t="s">
        <v>107</v>
      </c>
      <c r="W36" s="636" t="s">
        <v>108</v>
      </c>
      <c r="X36" s="636" t="s">
        <v>298</v>
      </c>
      <c r="Y36" s="636" t="s">
        <v>109</v>
      </c>
      <c r="Z36" s="638" t="s">
        <v>299</v>
      </c>
    </row>
    <row r="37" spans="1:27" s="608" customFormat="1" ht="12.75">
      <c r="A37" s="594"/>
      <c r="B37" s="787"/>
      <c r="C37" s="787"/>
      <c r="D37" s="642"/>
      <c r="E37" s="642"/>
      <c r="F37" s="642"/>
      <c r="G37" s="642"/>
      <c r="H37" s="642"/>
      <c r="I37" s="642"/>
      <c r="J37" s="786"/>
      <c r="K37" s="786"/>
      <c r="L37" s="642"/>
      <c r="M37" s="642"/>
      <c r="N37" s="642"/>
      <c r="O37" s="642"/>
      <c r="P37" s="642"/>
      <c r="Q37" s="642"/>
      <c r="R37" s="642"/>
      <c r="S37" s="642"/>
      <c r="T37" s="642"/>
      <c r="U37" s="642"/>
      <c r="V37" s="642"/>
      <c r="W37" s="642"/>
      <c r="X37" s="642"/>
      <c r="Y37" s="642"/>
      <c r="Z37" s="643"/>
    </row>
    <row r="38" spans="1:27" s="576" customFormat="1">
      <c r="A38" s="595" t="s">
        <v>279</v>
      </c>
      <c r="B38" s="596"/>
      <c r="C38" s="596"/>
      <c r="D38" s="596"/>
      <c r="E38" s="596"/>
      <c r="F38" s="596"/>
      <c r="G38" s="596"/>
      <c r="H38" s="596"/>
      <c r="I38" s="596"/>
      <c r="J38" s="596"/>
      <c r="K38" s="596"/>
      <c r="L38" s="597"/>
      <c r="M38" s="597">
        <f>SUM(M37:M37)</f>
        <v>0</v>
      </c>
      <c r="N38" s="597">
        <f>SUM(N37:N37)</f>
        <v>0</v>
      </c>
      <c r="O38" s="597">
        <f>SUM(O37:O37)</f>
        <v>0</v>
      </c>
      <c r="P38" s="597">
        <f>SUM(P37:P37)</f>
        <v>0</v>
      </c>
      <c r="Q38" s="597">
        <f>SUM(Q37:Q37)</f>
        <v>0</v>
      </c>
      <c r="R38" s="597">
        <f>SUM(R37:R37)</f>
        <v>0</v>
      </c>
      <c r="S38" s="597">
        <f>SUM(S37:S37)</f>
        <v>0</v>
      </c>
      <c r="T38" s="597">
        <f>SUM(T37:T37)</f>
        <v>0</v>
      </c>
      <c r="U38" s="597">
        <f>SUM(U37:U37)</f>
        <v>0</v>
      </c>
      <c r="V38" s="597">
        <f>SUM(V37:V37)</f>
        <v>0</v>
      </c>
      <c r="W38" s="597">
        <f>SUM(W37:W37)</f>
        <v>0</v>
      </c>
      <c r="X38" s="598"/>
      <c r="Y38" s="598"/>
      <c r="Z38" s="599"/>
    </row>
    <row r="39" spans="1:27" s="576" customFormat="1">
      <c r="A39" s="595" t="s">
        <v>286</v>
      </c>
      <c r="B39" s="596"/>
      <c r="C39" s="596"/>
      <c r="D39" s="596"/>
      <c r="E39" s="596"/>
      <c r="F39" s="596"/>
      <c r="G39" s="596"/>
      <c r="H39" s="596"/>
      <c r="I39" s="596"/>
      <c r="J39" s="596"/>
      <c r="K39" s="596"/>
      <c r="L39" s="597"/>
      <c r="M39" s="597">
        <f>SUMIF($Z$37:$Z$37,"industrie",M37:M37)</f>
        <v>0</v>
      </c>
      <c r="N39" s="597">
        <f>SUMIF($Z$37:$Z$37,"industrie",N37:N37)</f>
        <v>0</v>
      </c>
      <c r="O39" s="597">
        <f>SUMIF($Z$37:$Z$37,"industrie",O37:O37)</f>
        <v>0</v>
      </c>
      <c r="P39" s="597">
        <f>SUMIF($Z$37:$Z$37,"industrie",P37:P37)</f>
        <v>0</v>
      </c>
      <c r="Q39" s="597">
        <f>SUMIF($Z$37:$Z$37,"industrie",Q37:Q37)</f>
        <v>0</v>
      </c>
      <c r="R39" s="597">
        <f>SUMIF($Z$37:$Z$37,"industrie",R37:R37)</f>
        <v>0</v>
      </c>
      <c r="S39" s="597">
        <f>SUMIF($Z$37:$Z$37,"industrie",S37:S37)</f>
        <v>0</v>
      </c>
      <c r="T39" s="597">
        <f>SUMIF($Z$37:$Z$37,"industrie",T37:T37)</f>
        <v>0</v>
      </c>
      <c r="U39" s="597">
        <f>SUMIF($Z$37:$Z$37,"industrie",U37:U37)</f>
        <v>0</v>
      </c>
      <c r="V39" s="597">
        <f>SUMIF($Z$37:$Z$37,"industrie",V37:V37)</f>
        <v>0</v>
      </c>
      <c r="W39" s="597">
        <f>SUMIF($Z$37:$Z$37,"industrie",W37:W37)</f>
        <v>0</v>
      </c>
      <c r="X39" s="598"/>
      <c r="Y39" s="598"/>
      <c r="Z39" s="599"/>
    </row>
    <row r="40" spans="1:27" s="576" customFormat="1">
      <c r="A40" s="595" t="s">
        <v>287</v>
      </c>
      <c r="B40" s="596"/>
      <c r="C40" s="596"/>
      <c r="D40" s="596"/>
      <c r="E40" s="596"/>
      <c r="F40" s="596"/>
      <c r="G40" s="596"/>
      <c r="H40" s="596"/>
      <c r="I40" s="596"/>
      <c r="J40" s="596"/>
      <c r="K40" s="596"/>
      <c r="L40" s="597"/>
      <c r="M40" s="597">
        <f>SUMIF($Z$37:$Z$38,"tertiair",M37:M38)</f>
        <v>0</v>
      </c>
      <c r="N40" s="597">
        <f>SUMIF($Z$37:$Z$38,"tertiair",N37:N38)</f>
        <v>0</v>
      </c>
      <c r="O40" s="597">
        <f>SUMIF($Z$37:$Z$38,"tertiair",O37:O38)</f>
        <v>0</v>
      </c>
      <c r="P40" s="597">
        <f>SUMIF($Z$37:$Z$38,"tertiair",P37:P38)</f>
        <v>0</v>
      </c>
      <c r="Q40" s="597">
        <f>SUMIF($Z$37:$Z$38,"tertiair",Q37:Q38)</f>
        <v>0</v>
      </c>
      <c r="R40" s="597">
        <f>SUMIF($Z$37:$Z$38,"tertiair",R37:R38)</f>
        <v>0</v>
      </c>
      <c r="S40" s="597">
        <f>SUMIF($Z$37:$Z$38,"tertiair",S37:S38)</f>
        <v>0</v>
      </c>
      <c r="T40" s="597">
        <f>SUMIF($Z$37:$Z$38,"tertiair",T37:T38)</f>
        <v>0</v>
      </c>
      <c r="U40" s="597">
        <f>SUMIF($Z$37:$Z$38,"tertiair",U37:U38)</f>
        <v>0</v>
      </c>
      <c r="V40" s="597">
        <f>SUMIF($Z$37:$Z$38,"tertiair",V37:V38)</f>
        <v>0</v>
      </c>
      <c r="W40" s="597">
        <f>SUMIF($Z$37:$Z$38,"tertiair",W37:W38)</f>
        <v>0</v>
      </c>
      <c r="X40" s="598"/>
      <c r="Y40" s="598"/>
      <c r="Z40" s="599"/>
    </row>
    <row r="41" spans="1:27" s="576" customFormat="1" ht="15.75" thickBot="1">
      <c r="A41" s="600" t="s">
        <v>288</v>
      </c>
      <c r="B41" s="601"/>
      <c r="C41" s="601"/>
      <c r="D41" s="601"/>
      <c r="E41" s="601"/>
      <c r="F41" s="601"/>
      <c r="G41" s="601"/>
      <c r="H41" s="601"/>
      <c r="I41" s="601"/>
      <c r="J41" s="601"/>
      <c r="K41" s="601"/>
      <c r="L41" s="602"/>
      <c r="M41" s="602">
        <f>SUMIF($Z$37:$Z$39,"landbouw",M37:M39)</f>
        <v>0</v>
      </c>
      <c r="N41" s="602">
        <f>SUMIF($Z$37:$Z$39,"landbouw",N37:N39)</f>
        <v>0</v>
      </c>
      <c r="O41" s="602">
        <f>SUMIF($Z$37:$Z$39,"landbouw",O37:O39)</f>
        <v>0</v>
      </c>
      <c r="P41" s="602">
        <f>SUMIF($Z$37:$Z$39,"landbouw",P37:P39)</f>
        <v>0</v>
      </c>
      <c r="Q41" s="602">
        <f>SUMIF($Z$37:$Z$39,"landbouw",Q37:Q39)</f>
        <v>0</v>
      </c>
      <c r="R41" s="602">
        <f>SUMIF($Z$37:$Z$39,"landbouw",R37:R39)</f>
        <v>0</v>
      </c>
      <c r="S41" s="602">
        <f>SUMIF($Z$37:$Z$39,"landbouw",S37:S39)</f>
        <v>0</v>
      </c>
      <c r="T41" s="602">
        <f>SUMIF($Z$37:$Z$39,"landbouw",T37:T39)</f>
        <v>0</v>
      </c>
      <c r="U41" s="602">
        <f>SUMIF($Z$37:$Z$39,"landbouw",U37:U39)</f>
        <v>0</v>
      </c>
      <c r="V41" s="602">
        <f>SUMIF($Z$37:$Z$39,"landbouw",V37:V39)</f>
        <v>0</v>
      </c>
      <c r="W41" s="602">
        <f>SUMIF($Z$37:$Z$39,"landbouw",W37:W39)</f>
        <v>0</v>
      </c>
      <c r="X41" s="603"/>
      <c r="Y41" s="603"/>
      <c r="Z41" s="604"/>
    </row>
    <row r="42" spans="1:27" s="609" customForma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row>
    <row r="43" spans="1:27" s="609" customFormat="1" ht="15.75" thickBot="1">
      <c r="A43" s="605"/>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589"/>
    </row>
    <row r="44" spans="1:27">
      <c r="A44" s="610" t="s">
        <v>281</v>
      </c>
      <c r="B44" s="611"/>
      <c r="C44" s="611"/>
      <c r="D44" s="611"/>
      <c r="E44" s="611"/>
      <c r="F44" s="611"/>
      <c r="G44" s="611"/>
      <c r="H44" s="611"/>
      <c r="I44" s="612"/>
      <c r="J44" s="613"/>
      <c r="K44" s="613"/>
      <c r="L44" s="614"/>
      <c r="M44" s="614"/>
      <c r="N44" s="614"/>
      <c r="O44" s="614"/>
      <c r="P44" s="614"/>
    </row>
    <row r="45" spans="1:27">
      <c r="A45" s="616"/>
      <c r="B45" s="606"/>
      <c r="C45" s="606"/>
      <c r="D45" s="606"/>
      <c r="E45" s="606"/>
      <c r="F45" s="606"/>
      <c r="G45" s="606"/>
      <c r="H45" s="606"/>
      <c r="I45" s="617"/>
      <c r="J45" s="606"/>
      <c r="K45" s="606"/>
      <c r="L45" s="614"/>
      <c r="M45" s="614"/>
      <c r="N45" s="614"/>
      <c r="O45" s="614"/>
      <c r="P45" s="614"/>
    </row>
    <row r="46" spans="1:27">
      <c r="A46" s="618"/>
      <c r="B46" s="619" t="s">
        <v>282</v>
      </c>
      <c r="C46" s="619" t="s">
        <v>283</v>
      </c>
      <c r="D46" s="619"/>
      <c r="E46" s="619"/>
      <c r="F46" s="619"/>
      <c r="G46" s="619"/>
      <c r="H46" s="619"/>
      <c r="I46" s="620"/>
      <c r="J46" s="619"/>
      <c r="K46" s="619"/>
      <c r="L46" s="619"/>
      <c r="M46" s="619"/>
      <c r="N46" s="619"/>
      <c r="O46" s="619"/>
      <c r="P46" s="614"/>
    </row>
    <row r="47" spans="1:27">
      <c r="A47" s="616" t="s">
        <v>279</v>
      </c>
      <c r="B47" s="621">
        <f>IF(ISERROR(O31/(O31+N31)),0,O31/(O31+N31))</f>
        <v>0.76878105817012565</v>
      </c>
      <c r="C47" s="622">
        <f>IF(ISERROR(N31/(O31+N31)),0,N31/(N31+O31))</f>
        <v>0.23121894182987426</v>
      </c>
      <c r="D47" s="589"/>
      <c r="E47" s="589"/>
      <c r="F47" s="589"/>
      <c r="G47" s="589"/>
      <c r="H47" s="589"/>
      <c r="I47" s="623"/>
      <c r="J47" s="589"/>
      <c r="K47" s="589"/>
      <c r="L47" s="624"/>
      <c r="M47" s="624"/>
      <c r="N47" s="624"/>
      <c r="O47" s="624"/>
      <c r="P47" s="614"/>
    </row>
    <row r="48" spans="1:27">
      <c r="A48" s="616"/>
      <c r="B48" s="625"/>
      <c r="C48" s="625"/>
      <c r="D48" s="625"/>
      <c r="E48" s="625"/>
      <c r="F48" s="625"/>
      <c r="G48" s="625"/>
      <c r="H48" s="625"/>
      <c r="I48" s="626"/>
      <c r="J48" s="625"/>
      <c r="K48" s="625"/>
      <c r="L48" s="627"/>
      <c r="M48" s="627"/>
      <c r="N48" s="627"/>
      <c r="O48" s="627"/>
      <c r="P48" s="614"/>
    </row>
    <row r="49" spans="1:16" ht="30">
      <c r="A49" s="628"/>
      <c r="B49" s="629" t="s">
        <v>546</v>
      </c>
      <c r="C49" s="629" t="s">
        <v>102</v>
      </c>
      <c r="D49" s="629" t="s">
        <v>103</v>
      </c>
      <c r="E49" s="629" t="s">
        <v>104</v>
      </c>
      <c r="F49" s="629" t="s">
        <v>105</v>
      </c>
      <c r="G49" s="629" t="s">
        <v>106</v>
      </c>
      <c r="H49" s="629" t="s">
        <v>107</v>
      </c>
      <c r="I49" s="630" t="s">
        <v>108</v>
      </c>
      <c r="J49" s="619"/>
      <c r="K49" s="619"/>
      <c r="L49" s="627"/>
      <c r="M49" s="627"/>
      <c r="N49" s="627"/>
      <c r="O49" s="614"/>
      <c r="P49" s="614"/>
    </row>
    <row r="50" spans="1:16">
      <c r="A50" s="618" t="s">
        <v>284</v>
      </c>
      <c r="B50" s="631">
        <f t="shared" ref="B50:I50" si="2">$C$47*P31</f>
        <v>19.125109617071029</v>
      </c>
      <c r="C50" s="631">
        <f t="shared" si="2"/>
        <v>0</v>
      </c>
      <c r="D50" s="631">
        <f t="shared" si="2"/>
        <v>0</v>
      </c>
      <c r="E50" s="631">
        <f t="shared" si="2"/>
        <v>0</v>
      </c>
      <c r="F50" s="631">
        <f t="shared" si="2"/>
        <v>0</v>
      </c>
      <c r="G50" s="631">
        <f t="shared" si="2"/>
        <v>0</v>
      </c>
      <c r="H50" s="631">
        <f t="shared" si="2"/>
        <v>0</v>
      </c>
      <c r="I50" s="632">
        <f t="shared" si="2"/>
        <v>0</v>
      </c>
      <c r="J50" s="589"/>
      <c r="K50" s="589"/>
      <c r="L50" s="627"/>
      <c r="M50" s="627"/>
      <c r="N50" s="627"/>
      <c r="O50" s="614"/>
      <c r="P50" s="614"/>
    </row>
    <row r="51" spans="1:16" ht="15.75" thickBot="1">
      <c r="A51" s="633" t="s">
        <v>285</v>
      </c>
      <c r="B51" s="634">
        <f t="shared" ref="B51:I51" si="3">$B$47*P31</f>
        <v>63.589176097214683</v>
      </c>
      <c r="C51" s="634">
        <f t="shared" si="3"/>
        <v>0</v>
      </c>
      <c r="D51" s="634">
        <f t="shared" si="3"/>
        <v>0</v>
      </c>
      <c r="E51" s="634">
        <f t="shared" si="3"/>
        <v>0</v>
      </c>
      <c r="F51" s="634">
        <f t="shared" si="3"/>
        <v>0</v>
      </c>
      <c r="G51" s="634">
        <f t="shared" si="3"/>
        <v>0</v>
      </c>
      <c r="H51" s="634">
        <f t="shared" si="3"/>
        <v>0</v>
      </c>
      <c r="I51" s="635">
        <f t="shared" si="3"/>
        <v>0</v>
      </c>
      <c r="J51" s="589"/>
      <c r="K51" s="589"/>
      <c r="L51" s="627"/>
      <c r="M51" s="627"/>
      <c r="N51" s="627"/>
      <c r="O51" s="614"/>
      <c r="P51" s="614"/>
    </row>
    <row r="52" spans="1:16">
      <c r="J52" s="574"/>
      <c r="K52" s="574"/>
      <c r="L52" s="574"/>
      <c r="M52" s="574"/>
      <c r="N52" s="574"/>
    </row>
    <row r="53" spans="1:16">
      <c r="J53" s="574"/>
      <c r="K53" s="574"/>
      <c r="L53" s="574"/>
      <c r="M53" s="574"/>
      <c r="N53"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2020-06-20T16:22:10Z</dcterms:modified>
</cp:coreProperties>
</file>