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E51" i="18" s="1"/>
  <c r="E8" i="18" s="1"/>
  <c r="E10" i="18" s="1"/>
  <c r="F20" i="18"/>
  <c r="O18" i="18"/>
  <c r="H20" i="18"/>
  <c r="G20" i="18"/>
  <c r="K20" i="18"/>
  <c r="B10" i="18"/>
  <c r="O19" i="18"/>
  <c r="O9" i="18"/>
  <c r="D52" i="18"/>
  <c r="H52" i="18"/>
  <c r="E52" i="18"/>
  <c r="E17" i="18" s="1"/>
  <c r="E20" i="18" s="1"/>
  <c r="N6" i="17"/>
  <c r="I51" i="18" l="1"/>
  <c r="H8" i="18" s="1"/>
  <c r="H10" i="18" s="1"/>
  <c r="G51" i="18"/>
  <c r="F51" i="18"/>
  <c r="D51" i="18"/>
  <c r="C51" i="18"/>
  <c r="B51" i="18"/>
  <c r="C8" i="18" s="1"/>
  <c r="C10" i="18" s="1"/>
  <c r="H51"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P11" i="14"/>
  <c r="O4" i="48"/>
  <c r="O22" i="48"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R10"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F63" i="14" s="1"/>
  <c r="E8" i="48"/>
  <c r="E26" i="48" s="1"/>
  <c r="N63" i="14"/>
  <c r="E23" i="48"/>
  <c r="E33" i="48" s="1"/>
  <c r="E15" i="48"/>
  <c r="Q5" i="48"/>
  <c r="J33" i="48"/>
  <c r="E22" i="16"/>
  <c r="F43" i="14" s="1"/>
  <c r="F46" i="14" s="1"/>
  <c r="F61" i="14" s="1"/>
  <c r="H63" i="14"/>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<sst xmlns="http://schemas.openxmlformats.org/spreadsheetml/2006/main" count="2483" uniqueCount="937">
  <si>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</si>
  <si>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</si>
  <si>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</si>
  <si>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</si>
  <si>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</si>
  <si>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</si>
  <si>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</si>
  <si>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</si>
  <si>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</si>
  <si>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</si>
  <si>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</si>
  <si>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</si>
  <si>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</si>
  <si>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</si>
  <si>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</si>
  <si>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</si>
  <si>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</si>
  <si>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</si>
  <si>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</si>
  <si>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</si>
  <si>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</si>
  <si>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</si>
  <si>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</si>
  <si>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</si>
  <si>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</si>
  <si>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</si>
  <si>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</si>
  <si>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</si>
  <si>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</si>
  <si>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</si>
  <si>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</si>
  <si>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</si>
  <si>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</si>
  <si>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</si>
  <si>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</si>
  <si>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</si>
  <si>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</si>
  <si>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</si>
  <si>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</si>
  <si>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</si>
  <si>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</si>
  <si>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</si>
  <si>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</si>
  <si>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</si>
  <si>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</si>
  <si>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</si>
  <si>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</si>
  <si>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</si>
  <si>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</si>
  <si>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</si>
  <si>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</si>
  <si>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</si>
  <si>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</si>
  <si>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</si>
  <si>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</si>
  <si>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</si>
  <si>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</si>
  <si>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</si>
  <si>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</si>
  <si>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</si>
  <si>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</si>
  <si>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</si>
  <si>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</si>
  <si>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</si>
  <si>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</si>
  <si>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</si>
  <si>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</si>
  <si>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</si>
  <si>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</si>
  <si>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</si>
  <si>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</si>
  <si>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</si>
  <si>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</si>
  <si>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</si>
  <si>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</si>
  <si>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</si>
  <si>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</si>
  <si>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</si>
  <si>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</si>
  <si>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</si>
  <si>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</si>
  <si>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</si>
  <si>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</si>
  <si>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</si>
  <si>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</si>
  <si>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</si>
  <si>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</si>
  <si>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</si>
  <si>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</si>
  <si>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</si>
  <si>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</si>
  <si>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</si>
  <si>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</si>
  <si>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</si>
  <si>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</si>
  <si>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</si>
  <si>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</si>
  <si>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</si>
  <si>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</si>
  <si>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</si>
  <si>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</si>
  <si>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</si>
  <si>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</si>
  <si>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</si>
  <si>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</si>
  <si>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</si>
  <si>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</si>
  <si>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</si>
  <si>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</si>
  <si>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</si>
  <si>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</si>
  <si>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</si>
  <si>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</si>
  <si>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</si>
  <si>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</si>
  <si>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</si>
  <si>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</si>
  <si>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</si>
  <si>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</si>
  <si>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</si>
  <si>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</si>
  <si>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</si>
  <si>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</si>
  <si>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</si>
  <si>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</si>
  <si>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</si>
  <si>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</si>
  <si>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</si>
  <si>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</si>
  <si>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</si>
  <si>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</si>
  <si>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</si>
  <si>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</si>
  <si>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</si>
  <si>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</si>
  <si>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</si>
  <si>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</si>
  <si>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</si>
  <si>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</si>
  <si>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</si>
  <si>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</si>
  <si>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</si>
  <si>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</si>
  <si>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</si>
  <si>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</si>
  <si>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</si>
  <si>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</si>
  <si>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</si>
  <si>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</si>
  <si>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</si>
  <si>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</si>
  <si>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</si>
  <si>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</si>
  <si>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</si>
  <si>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</si>
  <si>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</si>
  <si>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</si>
  <si>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</si>
  <si>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</si>
  <si>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</si>
  <si>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</si>
  <si>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</si>
  <si>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</si>
  <si>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</si>
  <si>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</si>
  <si>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</si>
  <si>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</si>
  <si>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</si>
  <si>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</si>
  <si>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</si>
  <si>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</si>
  <si>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</si>
  <si>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</si>
  <si>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</si>
  <si>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</si>
  <si>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</si>
  <si>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</si>
  <si>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</si>
  <si>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</si>
  <si>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</si>
  <si>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</si>
  <si>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</si>
  <si>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</si>
  <si>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</si>
  <si>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</si>
  <si>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</si>
  <si>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</si>
  <si>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</si>
  <si>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</si>
  <si>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</si>
  <si>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</si>
  <si>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</si>
  <si>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</si>
  <si>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</si>
  <si>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</si>
  <si>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</si>
  <si>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</si>
  <si>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</si>
  <si>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</si>
  <si>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</si>
  <si>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</si>
  <si>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</si>
  <si>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</si>
  <si>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</si>
  <si>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</si>
  <si>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</si>
  <si>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</si>
  <si>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</si>
  <si>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</si>
  <si>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</si>
  <si>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</si>
  <si>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</si>
  <si>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</si>
  <si>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</si>
  <si>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</si>
  <si>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</si>
  <si>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</si>
  <si>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</si>
  <si>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</si>
  <si>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</si>
  <si>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</si>
  <si>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</si>
  <si>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</si>
  <si>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</si>
  <si>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</si>
  <si>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</si>
  <si>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</si>
  <si>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</si>
  <si>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</si>
  <si>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</si>
  <si>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</si>
  <si>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</si>
  <si>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</si>
  <si>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</si>
  <si>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</si>
  <si>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</si>
  <si>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</si>
  <si>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</si>
  <si>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</si>
  <si>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</si>
  <si>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</si>
  <si>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</si>
  <si>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</si>
  <si>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</si>
  <si>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</si>
  <si>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</si>
  <si>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</si>
  <si>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</si>
  <si>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</si>
  <si>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</si>
  <si>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</si>
  <si>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</si>
  <si>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</si>
  <si>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</si>
  <si>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</si>
  <si>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</si>
  <si>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</si>
  <si>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</si>
  <si>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</si>
  <si>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</si>
  <si>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</si>
  <si>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</si>
  <si>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</si>
  <si>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</si>
  <si>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</si>
  <si>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</si>
  <si>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</si>
  <si>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</si>
  <si>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</si>
  <si>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</si>
  <si>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</si>
  <si>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</si>
  <si>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</si>
  <si>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</si>
  <si>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</si>
  <si>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</si>
  <si>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</si>
  <si>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</si>
  <si>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</si>
  <si>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</si>
  <si>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</si>
  <si>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</si>
  <si>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</si>
  <si>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</si>
  <si>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</si>
  <si>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</si>
  <si>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</si>
  <si>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</si>
  <si>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</si>
  <si>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</si>
  <si>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</si>
  <si>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</si>
  <si>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</si>
  <si>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</si>
  <si>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</si>
  <si>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</si>
  <si>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</si>
  <si>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</si>
  <si>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</si>
  <si>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</si>
  <si>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</si>
  <si>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</si>
  <si>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</si>
  <si>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</si>
  <si>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</si>
  <si>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</si>
  <si>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</si>
  <si>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</si>
  <si>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</si>
  <si>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</si>
  <si>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</si>
  <si>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</si>
  <si>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</si>
  <si>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</si>
  <si>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</si>
  <si>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</si>
  <si>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</si>
  <si>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</si>
  <si>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</si>
  <si>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</si>
  <si>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</si>
  <si>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</si>
  <si>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</si>
  <si>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</si>
  <si>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</si>
  <si>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</si>
  <si>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</si>
  <si>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</si>
  <si>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</si>
  <si>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</si>
  <si>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</si>
  <si>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</si>
  <si>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</si>
  <si>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</si>
  <si>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</si>
  <si>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</si>
  <si>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</si>
  <si>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</si>
  <si>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</si>
  <si>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</si>
  <si>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</si>
  <si>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</si>
  <si>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</si>
  <si>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</si>
  <si>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</si>
  <si>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</si>
  <si>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</si>
  <si>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</si>
  <si>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</si>
  <si>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</si>
  <si>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</si>
  <si>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</si>
  <si>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</si>
  <si>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</si>
  <si>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</si>
  <si>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</si>
  <si>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</si>
  <si>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</si>
  <si>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</si>
  <si>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</si>
  <si>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</si>
  <si>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</si>
  <si>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</si>
  <si>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</si>
  <si>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</si>
  <si>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</si>
  <si>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</si>
  <si>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</si>
  <si>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</si>
  <si>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</si>
  <si>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</si>
  <si>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</si>
  <si>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</si>
  <si>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</si>
  <si>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</si>
  <si>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</si>
  <si>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</si>
  <si>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</si>
  <si>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</si>
  <si>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</si>
  <si>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</si>
  <si>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</si>
  <si>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</si>
  <si>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</si>
  <si>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</si>
  <si>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</si>
  <si>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</si>
  <si>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</si>
  <si>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</si>
  <si>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</si>
  <si>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</si>
  <si>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</si>
  <si>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</si>
  <si>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</si>
  <si>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</si>
  <si>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</si>
  <si>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</si>
  <si>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</si>
  <si>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</si>
  <si>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</si>
  <si>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</si>
  <si>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</si>
  <si>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</si>
  <si>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</si>
  <si>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</si>
  <si>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</si>
  <si>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</si>
  <si>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</si>
  <si>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</si>
  <si>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</si>
  <si>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</si>
  <si>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</si>
  <si>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</si>
  <si>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</si>
  <si>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</si>
  <si>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</si>
  <si>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</si>
  <si>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</si>
  <si>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</si>
  <si>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</si>
  <si>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</si>
  <si>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</si>
  <si>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</si>
  <si>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</si>
  <si>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</si>
  <si>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</si>
  <si>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</si>
  <si>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</si>
  <si>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</si>
  <si>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</si>
  <si>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</si>
  <si>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</si>
  <si>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</si>
  <si>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</si>
  <si>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</si>
  <si>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</si>
  <si>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</si>
  <si>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</si>
  <si>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</si>
  <si>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</si>
  <si>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</si>
  <si>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</si>
  <si>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</si>
  <si>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</si>
  <si>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</si>
  <si>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</si>
  <si>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</si>
  <si>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</si>
  <si>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</si>
  <si>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</si>
  <si>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</si>
  <si>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</si>
  <si>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</si>
  <si>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</si>
  <si>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</si>
  <si>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</si>
  <si>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</si>
  <si>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</si>
  <si>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</si>
  <si>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</si>
  <si>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</si>
  <si>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</si>
  <si>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</si>
  <si>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</si>
  <si>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</si>
  <si>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</si>
  <si>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</si>
  <si>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</si>
  <si>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</si>
  <si>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</si>
  <si>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</si>
  <si>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</si>
  <si>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</si>
  <si>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</si>
  <si>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</si>
  <si>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</si>
  <si>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</si>
  <si>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</si>
  <si>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</si>
  <si>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</si>
  <si>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</si>
  <si>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</si>
  <si>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</si>
  <si>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</si>
  <si>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</si>
  <si>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</si>
  <si>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</si>
  <si>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</si>
  <si>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</si>
  <si>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</si>
  <si>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</si>
  <si>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</si>
  <si>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</si>
  <si>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</si>
  <si>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</si>
  <si>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</si>
  <si>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</si>
  <si>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</si>
  <si>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</si>
  <si>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</si>
  <si>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</si>
  <si>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</si>
  <si>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</si>
  <si>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</si>
  <si>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</si>
  <si>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</si>
  <si>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</si>
  <si>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</si>
  <si>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</si>
  <si>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</si>
  <si>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</si>
  <si>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</si>
  <si>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</si>
  <si>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</si>
  <si>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</si>
  <si>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</si>
  <si>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</si>
  <si>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</si>
  <si>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</si>
  <si>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</si>
  <si>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</si>
  <si>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</si>
  <si>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</si>
  <si>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</si>
  <si>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</si>
  <si>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</si>
  <si>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</si>
  <si>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</si>
  <si>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</si>
  <si>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</si>
  <si>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</si>
  <si>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</si>
  <si>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</si>
  <si>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</si>
  <si>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</si>
  <si>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</si>
  <si>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</si>
  <si>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</si>
  <si>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</si>
  <si>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</si>
  <si>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</si>
  <si>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</si>
  <si>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</si>
  <si>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</si>
  <si>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</si>
  <si>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</si>
  <si>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</si>
  <si>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</si>
  <si>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</si>
  <si>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</si>
  <si>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</si>
  <si>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</si>
  <si>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</si>
  <si>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</si>
  <si>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</si>
  <si>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</si>
  <si>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</si>
  <si>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</si>
  <si>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</si>
  <si>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</si>
  <si>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</si>
  <si>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</si>
  <si>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</si>
  <si>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</si>
  <si>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</si>
  <si>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</si>
  <si>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</si>
  <si>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</si>
  <si>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</si>
  <si>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</si>
  <si>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</si>
  <si>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</si>
  <si>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</si>
  <si>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</si>
  <si>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</si>
  <si>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</si>
  <si>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</si>
  <si>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</si>
  <si>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</si>
  <si>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</si>
  <si>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</si>
  <si>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</si>
  <si>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</si>
  <si>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</si>
  <si>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</si>
  <si>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</si>
  <si>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</si>
  <si>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</si>
  <si>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</si>
  <si>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</si>
  <si>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</si>
  <si>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</si>
  <si>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</si>
  <si>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</si>
  <si>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</si>
  <si>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</si>
  <si>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</si>
  <si>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</si>
  <si>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</si>
  <si>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</si>
  <si>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</si>
  <si>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</si>
  <si>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</si>
  <si>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</si>
  <si>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</si>
  <si>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</si>
  <si>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</si>
  <si>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</si>
  <si>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</si>
  <si>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</si>
  <si>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</si>
  <si>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</si>
  <si>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</si>
  <si>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</si>
  <si>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</si>
  <si>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</si>
  <si>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</si>
  <si>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</si>
  <si>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</si>
  <si>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</si>
  <si>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</si>
  <si>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</si>
  <si>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</si>
  <si>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</si>
  <si>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</si>
  <si>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</si>
  <si>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</si>
  <si>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</si>
  <si>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</si>
  <si>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</si>
  <si>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</si>
  <si>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</si>
  <si>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</si>
  <si>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</si>
  <si>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</si>
  <si>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</si>
  <si>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</si>
  <si>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</si>
  <si>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</si>
  <si>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</si>
  <si>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</si>
  <si>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</si>
  <si>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</si>
  <si>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</si>
  <si>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</si>
  <si>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</si>
  <si>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</si>
  <si>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</si>
  <si>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</si>
  <si>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</si>
  <si>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</si>
  <si>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</si>
  <si>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</si>
  <si>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</si>
  <si>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</si>
  <si>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</si>
  <si>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</si>
  <si>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</si>
  <si>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</si>
  <si>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</si>
  <si>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</si>
  <si>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</si>
  <si>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</si>
  <si>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</si>
  <si>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</si>
  <si>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</si>
  <si>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</si>
  <si>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</si>
  <si>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</si>
  <si>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</si>
  <si>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</si>
  <si>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</si>
  <si>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</si>
  <si>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</si>
  <si>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</si>
  <si>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</si>
  <si>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</si>
  <si>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</si>
  <si>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</si>
  <si>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</si>
  <si>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</si>
  <si>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</si>
  <si>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</si>
  <si>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</si>
  <si>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</si>
  <si>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</si>
  <si>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</si>
  <si>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</si>
  <si>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</si>
  <si>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</si>
  <si>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</si>
  <si>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</si>
  <si>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</si>
  <si>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</si>
  <si>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</si>
  <si>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</si>
  <si>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</si>
  <si>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</si>
  <si>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</si>
  <si>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</si>
  <si>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</si>
  <si>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</si>
  <si>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</si>
  <si>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</si>
  <si>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</si>
  <si>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</si>
  <si>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</si>
  <si>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</si>
  <si>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</si>
  <si>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</si>
  <si>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</si>
  <si>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</si>
  <si>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</si>
  <si>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</si>
  <si>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</si>
  <si>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</si>
  <si>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</si>
  <si>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</si>
  <si>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</si>
  <si>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</si>
  <si>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</si>
  <si>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</si>
  <si>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</si>
  <si>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</si>
  <si>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</si>
  <si>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</si>
  <si>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</si>
  <si>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</si>
  <si>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</si>
  <si>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</si>
  <si>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</si>
  <si>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</si>
  <si>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</si>
  <si>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</si>
  <si>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</si>
  <si>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</si>
  <si>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</si>
  <si>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</si>
  <si>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</si>
  <si>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</si>
  <si>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</si>
  <si>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</si>
  <si>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</si>
  <si>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</si>
  <si>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</si>
  <si>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</si>
  <si>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</si>
  <si>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</si>
  <si>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</si>
  <si>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</si>
  <si>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</si>
  <si>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</si>
  <si>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</si>
  <si>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</si>
  <si>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</si>
  <si>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</si>
  <si>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</si>
  <si>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</si>
  <si>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</si>
  <si>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</si>
  <si>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</si>
  <si>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</si>
  <si>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</si>
  <si>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</si>
  <si>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</si>
  <si>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</si>
  <si>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</si>
  <si>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</si>
  <si>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</si>
  <si>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</si>
  <si>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</si>
  <si>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</si>
  <si>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</si>
  <si>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</si>
  <si>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</si>
  <si>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</si>
  <si>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</si>
  <si>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</si>
  <si>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</si>
  <si>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</si>
  <si>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</si>
  <si>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</si>
  <si>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</si>
  <si>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</si>
  <si>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</si>
  <si>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</si>
  <si>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</si>
  <si>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</si>
  <si>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</si>
  <si>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</si>
  <si>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</si>
  <si>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</si>
  <si>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</si>
  <si>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</si>
  <si>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</si>
  <si>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</si>
  <si>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</si>
  <si>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</si>
  <si>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</si>
  <si>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</si>
  <si>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</si>
  <si>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</si>
  <si>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</si>
  <si>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</si>
  <si>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</si>
  <si>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</si>
  <si>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</si>
  <si>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</si>
  <si>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</si>
  <si>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</si>
  <si>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</si>
  <si>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</si>
  <si>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</si>
  <si>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</si>
  <si>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</si>
  <si>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</si>
  <si>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</si>
  <si>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</si>
  <si>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</si>
  <si>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</si>
  <si>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</si>
  <si>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</si>
  <si>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</si>
  <si>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</si>
  <si>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</si>
  <si>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</si>
  <si>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</si>
  <si>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</si>
  <si>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</si>
  <si>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</si>
  <si>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</si>
  <si>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</si>
  <si>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</si>
  <si>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</si>
  <si>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</si>
  <si>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</si>
  <si>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</si>
  <si>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</si>
  <si>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</si>
  <si>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</si>
  <si>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</si>
  <si>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</si>
  <si>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</si>
  <si>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</si>
  <si>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</si>
  <si>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</si>
  <si>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</si>
  <si>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</si>
  <si>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</si>
  <si>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</si>
  <si>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</si>
  <si>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</si>
  <si>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</si>
  <si>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</si>
  <si>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</si>
  <si>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</si>
  <si>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</si>
  <si>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</si>
  <si>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</si>
  <si>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</si>
  <si>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</si>
  <si>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</si>
  <si>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</si>
  <si>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</si>
  <si>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</si>
  <si>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</si>
  <si>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</si>
  <si>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</si>
  <si>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</si>
  <si>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</si>
  <si>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</si>
  <si>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</si>
  <si>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</si>
  <si>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</si>
  <si>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</si>
  <si>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</si>
  <si>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</si>
  <si>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</si>
  <si>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</si>
  <si>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</si>
  <si>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</si>
  <si>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</si>
  <si>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</si>
  <si>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</si>
  <si>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</si>
  <si>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</si>
  <si>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</si>
  <si>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</si>
  <si>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</si>
  <si>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</si>
  <si>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</si>
  <si>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</si>
  <si>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</si>
  <si>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</si>
  <si>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</si>
  <si>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</si>
  <si>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</si>
  <si>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</si>
  <si>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</si>
  <si>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</si>
  <si>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</si>
  <si>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</si>
  <si>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</si>
  <si>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</si>
  <si>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</si>
  <si>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</si>
  <si>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</si>
  <si>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</si>
  <si>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</si>
  <si>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</si>
  <si>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</si>
  <si>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</si>
  <si>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</si>
  <si>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44048</t>
  </si>
  <si>
    <t>NAZARETH</t>
  </si>
  <si>
    <t>Cultuurgrond (ha)</t>
  </si>
  <si>
    <t>Paarden&amp;pony's 200 - 600 kg</t>
  </si>
  <si>
    <t>Paarden&amp;pony's &lt; 200 kg</t>
  </si>
  <si>
    <t>Fluvius</t>
  </si>
  <si>
    <t>referentietaak LNE (2017); Jaarverslag De Lijn</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</si>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</sst>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102744.91638201228</c:v>
                </c:pt>
                <c:pt idx="1">
                  <c:v>49587.239991770548</c:v>
                </c:pt>
                <c:pt idx="2">
                  <c:v>1011.422</c:v>
                </c:pt>
                <c:pt idx="3">
                  <c:v>8503.4889076820473</c:v>
                </c:pt>
                <c:pt idx="4">
                  <c:v>106165.06219493566</c:v>
                </c:pt>
                <c:pt idx="5">
                  <c:v>350318.27566060441</c:v>
                </c:pt>
                <c:pt idx="6">
                  <c:v>838.07480843121959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102744.91638201228</c:v>
                </c:pt>
                <c:pt idx="1">
                  <c:v>49587.239991770548</c:v>
                </c:pt>
                <c:pt idx="2">
                  <c:v>1011.422</c:v>
                </c:pt>
                <c:pt idx="3">
                  <c:v>8503.4889076820473</c:v>
                </c:pt>
                <c:pt idx="4">
                  <c:v>106165.06219493566</c:v>
                </c:pt>
                <c:pt idx="5">
                  <c:v>350318.27566060441</c:v>
                </c:pt>
                <c:pt idx="6">
                  <c:v>838.07480843121959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21121.202716398431</c:v>
                </c:pt>
                <c:pt idx="2">
                  <c:v>10259.993244802648</c:v>
                </c:pt>
                <c:pt idx="3">
                  <c:v>210.91942350775852</c:v>
                </c:pt>
                <c:pt idx="4">
                  <c:v>2131.6101691622002</c:v>
                </c:pt>
                <c:pt idx="5">
                  <c:v>22154.195784437728</c:v>
                </c:pt>
                <c:pt idx="6">
                  <c:v>88823.900713903786</c:v>
                </c:pt>
                <c:pt idx="7">
                  <c:v>214.23040145139726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21121.202716398431</c:v>
                </c:pt>
                <c:pt idx="2">
                  <c:v>10259.993244802648</c:v>
                </c:pt>
                <c:pt idx="3">
                  <c:v>210.91942350775852</c:v>
                </c:pt>
                <c:pt idx="4">
                  <c:v>2131.6101691622002</c:v>
                </c:pt>
                <c:pt idx="5">
                  <c:v>22154.195784437728</c:v>
                </c:pt>
                <c:pt idx="6">
                  <c:v>88823.900713903786</c:v>
                </c:pt>
                <c:pt idx="7">
                  <c:v>214.23040145139726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44048</v>
      </c>
      <c r="B6" s="395"/>
      <c r="C6" s="396"/>
    </row>
    <row r="7" spans="1:7" s="393" customFormat="1" ht="15.75" customHeight="1">
      <c r="A7" s="397" t="str">
        <f>txtMunicipality</f>
        <v>NAZARETH</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0.20853750809035054</v>
      </c>
      <c r="C17" s="508">
        <f ca="1">'EF ele_warmte'!B22</f>
        <v>0.23748674954225696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0.20853750809035054</v>
      </c>
      <c r="C29" s="509">
        <f ca="1">'EF ele_warmte'!B22</f>
        <v>0.23748674954225696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4522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2051</v>
      </c>
      <c r="C14" s="332"/>
      <c r="D14" s="332"/>
      <c r="E14" s="332"/>
      <c r="F14" s="332"/>
    </row>
    <row r="15" spans="1:6">
      <c r="A15" s="1306" t="s">
        <v>183</v>
      </c>
      <c r="B15" s="1307">
        <v>44</v>
      </c>
      <c r="C15" s="332"/>
      <c r="D15" s="332"/>
      <c r="E15" s="332"/>
      <c r="F15" s="332"/>
    </row>
    <row r="16" spans="1:6">
      <c r="A16" s="1306" t="s">
        <v>6</v>
      </c>
      <c r="B16" s="1307">
        <v>1379</v>
      </c>
      <c r="C16" s="332"/>
      <c r="D16" s="332"/>
      <c r="E16" s="332"/>
      <c r="F16" s="332"/>
    </row>
    <row r="17" spans="1:6">
      <c r="A17" s="1306" t="s">
        <v>7</v>
      </c>
      <c r="B17" s="1307">
        <v>485</v>
      </c>
      <c r="C17" s="332"/>
      <c r="D17" s="332"/>
      <c r="E17" s="332"/>
      <c r="F17" s="332"/>
    </row>
    <row r="18" spans="1:6">
      <c r="A18" s="1306" t="s">
        <v>8</v>
      </c>
      <c r="B18" s="1307">
        <v>1063</v>
      </c>
      <c r="C18" s="332"/>
      <c r="D18" s="332"/>
      <c r="E18" s="332"/>
      <c r="F18" s="332"/>
    </row>
    <row r="19" spans="1:6">
      <c r="A19" s="1306" t="s">
        <v>9</v>
      </c>
      <c r="B19" s="1307">
        <v>1233</v>
      </c>
      <c r="C19" s="332"/>
      <c r="D19" s="332"/>
      <c r="E19" s="332"/>
      <c r="F19" s="332"/>
    </row>
    <row r="20" spans="1:6">
      <c r="A20" s="1306" t="s">
        <v>10</v>
      </c>
      <c r="B20" s="1307">
        <v>774</v>
      </c>
      <c r="C20" s="332"/>
      <c r="D20" s="332"/>
      <c r="E20" s="332"/>
      <c r="F20" s="332"/>
    </row>
    <row r="21" spans="1:6">
      <c r="A21" s="1306" t="s">
        <v>11</v>
      </c>
      <c r="B21" s="1307">
        <v>10486</v>
      </c>
      <c r="C21" s="332"/>
      <c r="D21" s="332"/>
      <c r="E21" s="332"/>
      <c r="F21" s="332"/>
    </row>
    <row r="22" spans="1:6">
      <c r="A22" s="1306" t="s">
        <v>12</v>
      </c>
      <c r="B22" s="1307">
        <v>20514</v>
      </c>
      <c r="C22" s="332"/>
      <c r="D22" s="332"/>
      <c r="E22" s="332"/>
      <c r="F22" s="332"/>
    </row>
    <row r="23" spans="1:6">
      <c r="A23" s="1306" t="s">
        <v>13</v>
      </c>
      <c r="B23" s="1307">
        <v>159</v>
      </c>
      <c r="C23" s="332"/>
      <c r="D23" s="332"/>
      <c r="E23" s="332"/>
      <c r="F23" s="332"/>
    </row>
    <row r="24" spans="1:6">
      <c r="A24" s="1306" t="s">
        <v>14</v>
      </c>
      <c r="B24" s="1307">
        <v>12</v>
      </c>
      <c r="C24" s="332"/>
      <c r="D24" s="332"/>
      <c r="E24" s="332"/>
      <c r="F24" s="332"/>
    </row>
    <row r="25" spans="1:6">
      <c r="A25" s="1306" t="s">
        <v>15</v>
      </c>
      <c r="B25" s="1307">
        <v>1062</v>
      </c>
      <c r="C25" s="332"/>
      <c r="D25" s="332"/>
      <c r="E25" s="332"/>
      <c r="F25" s="332"/>
    </row>
    <row r="26" spans="1:6">
      <c r="A26" s="1306" t="s">
        <v>16</v>
      </c>
      <c r="B26" s="1307">
        <v>104</v>
      </c>
      <c r="C26" s="332"/>
      <c r="D26" s="332"/>
      <c r="E26" s="332"/>
      <c r="F26" s="332"/>
    </row>
    <row r="27" spans="1:6">
      <c r="A27" s="1306" t="s">
        <v>17</v>
      </c>
      <c r="B27" s="1307">
        <v>4</v>
      </c>
      <c r="C27" s="332"/>
      <c r="D27" s="332"/>
      <c r="E27" s="332"/>
      <c r="F27" s="332"/>
    </row>
    <row r="28" spans="1:6" s="43" customFormat="1">
      <c r="A28" s="1308" t="s">
        <v>18</v>
      </c>
      <c r="B28" s="1309">
        <v>71585</v>
      </c>
      <c r="C28" s="338"/>
      <c r="D28" s="338"/>
      <c r="E28" s="338"/>
      <c r="F28" s="338"/>
    </row>
    <row r="29" spans="1:6">
      <c r="A29" s="1308" t="s">
        <v>916</v>
      </c>
      <c r="B29" s="1309">
        <v>130</v>
      </c>
      <c r="C29" s="338"/>
      <c r="D29" s="338"/>
      <c r="E29" s="338"/>
      <c r="F29" s="338"/>
    </row>
    <row r="30" spans="1:6">
      <c r="A30" s="1301" t="s">
        <v>917</v>
      </c>
      <c r="B30" s="1310">
        <v>40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26736.894200610001</v>
      </c>
      <c r="E38" s="1307">
        <v>3</v>
      </c>
      <c r="F38" s="1307">
        <v>25807.731231834001</v>
      </c>
    </row>
    <row r="39" spans="1:6">
      <c r="A39" s="1306" t="s">
        <v>29</v>
      </c>
      <c r="B39" s="1306" t="s">
        <v>30</v>
      </c>
      <c r="C39" s="1307">
        <v>1370</v>
      </c>
      <c r="D39" s="1307">
        <v>22868749.330192</v>
      </c>
      <c r="E39" s="1307">
        <v>4305</v>
      </c>
      <c r="F39" s="1307">
        <v>22407327.496808998</v>
      </c>
    </row>
    <row r="40" spans="1:6">
      <c r="A40" s="1306" t="s">
        <v>29</v>
      </c>
      <c r="B40" s="1306" t="s">
        <v>28</v>
      </c>
      <c r="C40" s="1307">
        <v>0</v>
      </c>
      <c r="D40" s="1307">
        <v>0</v>
      </c>
      <c r="E40" s="1307">
        <v>1</v>
      </c>
      <c r="F40" s="1307">
        <v>99</v>
      </c>
    </row>
    <row r="41" spans="1:6">
      <c r="A41" s="1306" t="s">
        <v>31</v>
      </c>
      <c r="B41" s="1306" t="s">
        <v>32</v>
      </c>
      <c r="C41" s="1307">
        <v>22</v>
      </c>
      <c r="D41" s="1307">
        <v>370830.48187909601</v>
      </c>
      <c r="E41" s="1307">
        <v>136</v>
      </c>
      <c r="F41" s="1307">
        <v>2723954.9194646101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509997.15418788098</v>
      </c>
    </row>
    <row r="45" spans="1:6">
      <c r="A45" s="1306" t="s">
        <v>31</v>
      </c>
      <c r="B45" s="1306" t="s">
        <v>36</v>
      </c>
      <c r="C45" s="1307">
        <v>0</v>
      </c>
      <c r="D45" s="1307">
        <v>0</v>
      </c>
      <c r="E45" s="1307">
        <v>3</v>
      </c>
      <c r="F45" s="1307">
        <v>36670.251633690597</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1622745.8569632701</v>
      </c>
    </row>
    <row r="48" spans="1:6">
      <c r="A48" s="1306" t="s">
        <v>31</v>
      </c>
      <c r="B48" s="1306" t="s">
        <v>28</v>
      </c>
      <c r="C48" s="1307">
        <v>30</v>
      </c>
      <c r="D48" s="1307">
        <v>43917056.160935797</v>
      </c>
      <c r="E48" s="1307">
        <v>48</v>
      </c>
      <c r="F48" s="1307">
        <v>40919184.841159798</v>
      </c>
    </row>
    <row r="49" spans="1:6">
      <c r="A49" s="1306" t="s">
        <v>31</v>
      </c>
      <c r="B49" s="1306" t="s">
        <v>39</v>
      </c>
      <c r="C49" s="1307">
        <v>0</v>
      </c>
      <c r="D49" s="1307">
        <v>0</v>
      </c>
      <c r="E49" s="1307">
        <v>0</v>
      </c>
      <c r="F49" s="1307">
        <v>0</v>
      </c>
    </row>
    <row r="50" spans="1:6">
      <c r="A50" s="1306" t="s">
        <v>31</v>
      </c>
      <c r="B50" s="1306" t="s">
        <v>40</v>
      </c>
      <c r="C50" s="1307">
        <v>0</v>
      </c>
      <c r="D50" s="1307">
        <v>0</v>
      </c>
      <c r="E50" s="1307">
        <v>5</v>
      </c>
      <c r="F50" s="1307">
        <v>1083479.92911404</v>
      </c>
    </row>
    <row r="51" spans="1:6">
      <c r="A51" s="1306" t="s">
        <v>41</v>
      </c>
      <c r="B51" s="1306" t="s">
        <v>42</v>
      </c>
      <c r="C51" s="1307">
        <v>3</v>
      </c>
      <c r="D51" s="1307">
        <v>65718.550836933195</v>
      </c>
      <c r="E51" s="1307">
        <v>106</v>
      </c>
      <c r="F51" s="1307">
        <v>1577580.1348912499</v>
      </c>
    </row>
    <row r="52" spans="1:6">
      <c r="A52" s="1306" t="s">
        <v>41</v>
      </c>
      <c r="B52" s="1306" t="s">
        <v>28</v>
      </c>
      <c r="C52" s="1307">
        <v>4</v>
      </c>
      <c r="D52" s="1307">
        <v>1026669.43823217</v>
      </c>
      <c r="E52" s="1307">
        <v>3</v>
      </c>
      <c r="F52" s="1307">
        <v>52110.544890483703</v>
      </c>
    </row>
    <row r="53" spans="1:6">
      <c r="A53" s="1306" t="s">
        <v>43</v>
      </c>
      <c r="B53" s="1306" t="s">
        <v>44</v>
      </c>
      <c r="C53" s="1307">
        <v>39</v>
      </c>
      <c r="D53" s="1307">
        <v>833726.55525623006</v>
      </c>
      <c r="E53" s="1307">
        <v>127</v>
      </c>
      <c r="F53" s="1307">
        <v>830405.46950422996</v>
      </c>
    </row>
    <row r="54" spans="1:6">
      <c r="A54" s="1306" t="s">
        <v>45</v>
      </c>
      <c r="B54" s="1306" t="s">
        <v>46</v>
      </c>
      <c r="C54" s="1307">
        <v>0</v>
      </c>
      <c r="D54" s="1307">
        <v>0</v>
      </c>
      <c r="E54" s="1307">
        <v>1</v>
      </c>
      <c r="F54" s="1307">
        <v>1011422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9</v>
      </c>
      <c r="D57" s="1307">
        <v>262303.30600848002</v>
      </c>
      <c r="E57" s="1307">
        <v>58</v>
      </c>
      <c r="F57" s="1307">
        <v>931769.24041181698</v>
      </c>
    </row>
    <row r="58" spans="1:6">
      <c r="A58" s="1306" t="s">
        <v>48</v>
      </c>
      <c r="B58" s="1306" t="s">
        <v>50</v>
      </c>
      <c r="C58" s="1307">
        <v>3</v>
      </c>
      <c r="D58" s="1307">
        <v>154318.57144933799</v>
      </c>
      <c r="E58" s="1307">
        <v>21</v>
      </c>
      <c r="F58" s="1307">
        <v>974959.47993188002</v>
      </c>
    </row>
    <row r="59" spans="1:6">
      <c r="A59" s="1306" t="s">
        <v>48</v>
      </c>
      <c r="B59" s="1306" t="s">
        <v>51</v>
      </c>
      <c r="C59" s="1307">
        <v>33</v>
      </c>
      <c r="D59" s="1307">
        <v>4290347.2860850599</v>
      </c>
      <c r="E59" s="1307">
        <v>217</v>
      </c>
      <c r="F59" s="1307">
        <v>6508923.9509567302</v>
      </c>
    </row>
    <row r="60" spans="1:6">
      <c r="A60" s="1306" t="s">
        <v>48</v>
      </c>
      <c r="B60" s="1306" t="s">
        <v>52</v>
      </c>
      <c r="C60" s="1307">
        <v>15</v>
      </c>
      <c r="D60" s="1307">
        <v>747456.928325666</v>
      </c>
      <c r="E60" s="1307">
        <v>43</v>
      </c>
      <c r="F60" s="1307">
        <v>1467994.0751696101</v>
      </c>
    </row>
    <row r="61" spans="1:6">
      <c r="A61" s="1306" t="s">
        <v>48</v>
      </c>
      <c r="B61" s="1306" t="s">
        <v>53</v>
      </c>
      <c r="C61" s="1307">
        <v>71</v>
      </c>
      <c r="D61" s="1307">
        <v>3943231.8434116002</v>
      </c>
      <c r="E61" s="1307">
        <v>251</v>
      </c>
      <c r="F61" s="1307">
        <v>4854130.0778901</v>
      </c>
    </row>
    <row r="62" spans="1:6">
      <c r="A62" s="1306" t="s">
        <v>48</v>
      </c>
      <c r="B62" s="1306" t="s">
        <v>54</v>
      </c>
      <c r="C62" s="1307">
        <v>4</v>
      </c>
      <c r="D62" s="1307">
        <v>308796.31495717698</v>
      </c>
      <c r="E62" s="1307">
        <v>9</v>
      </c>
      <c r="F62" s="1307">
        <v>233997.163604464</v>
      </c>
    </row>
    <row r="63" spans="1:6">
      <c r="A63" s="1306" t="s">
        <v>48</v>
      </c>
      <c r="B63" s="1306" t="s">
        <v>28</v>
      </c>
      <c r="C63" s="1307">
        <v>69</v>
      </c>
      <c r="D63" s="1307">
        <v>6742560.4810185898</v>
      </c>
      <c r="E63" s="1307">
        <v>108</v>
      </c>
      <c r="F63" s="1307">
        <v>12760704.410195</v>
      </c>
    </row>
    <row r="64" spans="1:6">
      <c r="A64" s="1306" t="s">
        <v>55</v>
      </c>
      <c r="B64" s="1306" t="s">
        <v>56</v>
      </c>
      <c r="C64" s="1307">
        <v>0</v>
      </c>
      <c r="D64" s="1307">
        <v>0</v>
      </c>
      <c r="E64" s="1307">
        <v>0</v>
      </c>
      <c r="F64" s="1307">
        <v>0</v>
      </c>
    </row>
    <row r="65" spans="1:6">
      <c r="A65" s="1306" t="s">
        <v>55</v>
      </c>
      <c r="B65" s="1306" t="s">
        <v>28</v>
      </c>
      <c r="C65" s="1307">
        <v>4</v>
      </c>
      <c r="D65" s="1307">
        <v>210065.17011098901</v>
      </c>
      <c r="E65" s="1307">
        <v>5</v>
      </c>
      <c r="F65" s="1307">
        <v>29803.813905981999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1519764.6819309201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90044768</v>
      </c>
      <c r="E73" s="456"/>
      <c r="F73" s="332"/>
    </row>
    <row r="74" spans="1:6">
      <c r="A74" s="1306" t="s">
        <v>63</v>
      </c>
      <c r="B74" s="1306" t="s">
        <v>724</v>
      </c>
      <c r="C74" s="1320" t="s">
        <v>725</v>
      </c>
      <c r="D74" s="1321">
        <v>11892090.857432352</v>
      </c>
      <c r="E74" s="456"/>
      <c r="F74" s="332"/>
    </row>
    <row r="75" spans="1:6">
      <c r="A75" s="1306" t="s">
        <v>64</v>
      </c>
      <c r="B75" s="1306" t="s">
        <v>722</v>
      </c>
      <c r="C75" s="1320" t="s">
        <v>726</v>
      </c>
      <c r="D75" s="1321">
        <v>21621850</v>
      </c>
      <c r="E75" s="456"/>
      <c r="F75" s="332"/>
    </row>
    <row r="76" spans="1:6">
      <c r="A76" s="1306" t="s">
        <v>64</v>
      </c>
      <c r="B76" s="1306" t="s">
        <v>724</v>
      </c>
      <c r="C76" s="1320" t="s">
        <v>727</v>
      </c>
      <c r="D76" s="1321">
        <v>2182193.8574323524</v>
      </c>
      <c r="E76" s="456"/>
      <c r="F76" s="332"/>
    </row>
    <row r="77" spans="1:6">
      <c r="A77" s="1306" t="s">
        <v>65</v>
      </c>
      <c r="B77" s="1306" t="s">
        <v>722</v>
      </c>
      <c r="C77" s="1320" t="s">
        <v>728</v>
      </c>
      <c r="D77" s="1321">
        <v>170035160</v>
      </c>
      <c r="E77" s="456"/>
      <c r="F77" s="332"/>
    </row>
    <row r="78" spans="1:6">
      <c r="A78" s="1301" t="s">
        <v>65</v>
      </c>
      <c r="B78" s="1301" t="s">
        <v>724</v>
      </c>
      <c r="C78" s="1301" t="s">
        <v>729</v>
      </c>
      <c r="D78" s="1322">
        <v>45690124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221760.28513529518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2367.9105667250005</v>
      </c>
      <c r="C91" s="332"/>
      <c r="D91" s="332"/>
      <c r="E91" s="332"/>
      <c r="F91" s="332"/>
    </row>
    <row r="92" spans="1:6">
      <c r="A92" s="1301" t="s">
        <v>68</v>
      </c>
      <c r="B92" s="1302">
        <v>3553.1294361116707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273</v>
      </c>
      <c r="C97" s="332"/>
      <c r="D97" s="332"/>
      <c r="E97" s="332"/>
      <c r="F97" s="332"/>
    </row>
    <row r="98" spans="1:6">
      <c r="A98" s="1306" t="s">
        <v>71</v>
      </c>
      <c r="B98" s="1307">
        <v>0</v>
      </c>
      <c r="C98" s="332"/>
      <c r="D98" s="332"/>
      <c r="E98" s="332"/>
      <c r="F98" s="332"/>
    </row>
    <row r="99" spans="1:6">
      <c r="A99" s="1306" t="s">
        <v>72</v>
      </c>
      <c r="B99" s="1307">
        <v>63</v>
      </c>
      <c r="C99" s="332"/>
      <c r="D99" s="332"/>
      <c r="E99" s="332"/>
      <c r="F99" s="332"/>
    </row>
    <row r="100" spans="1:6">
      <c r="A100" s="1306" t="s">
        <v>73</v>
      </c>
      <c r="B100" s="1307">
        <v>633</v>
      </c>
      <c r="C100" s="332"/>
      <c r="D100" s="332"/>
      <c r="E100" s="332"/>
      <c r="F100" s="332"/>
    </row>
    <row r="101" spans="1:6">
      <c r="A101" s="1306" t="s">
        <v>74</v>
      </c>
      <c r="B101" s="1307">
        <v>90</v>
      </c>
      <c r="C101" s="332"/>
      <c r="D101" s="332"/>
      <c r="E101" s="332"/>
      <c r="F101" s="332"/>
    </row>
    <row r="102" spans="1:6">
      <c r="A102" s="1306" t="s">
        <v>75</v>
      </c>
      <c r="B102" s="1307">
        <v>66</v>
      </c>
      <c r="C102" s="332"/>
      <c r="D102" s="332"/>
      <c r="E102" s="332"/>
      <c r="F102" s="332"/>
    </row>
    <row r="103" spans="1:6">
      <c r="A103" s="1306" t="s">
        <v>76</v>
      </c>
      <c r="B103" s="1307">
        <v>140</v>
      </c>
      <c r="C103" s="332"/>
      <c r="D103" s="332"/>
      <c r="E103" s="332"/>
      <c r="F103" s="332"/>
    </row>
    <row r="104" spans="1:6">
      <c r="A104" s="1306" t="s">
        <v>77</v>
      </c>
      <c r="B104" s="1307">
        <v>2713</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34</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104</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103796.52758622133</v>
      </c>
      <c r="C3" s="43" t="s">
        <v>169</v>
      </c>
      <c r="D3" s="43"/>
      <c r="E3" s="156"/>
      <c r="F3" s="43"/>
      <c r="G3" s="43"/>
      <c r="H3" s="43"/>
      <c r="I3" s="43"/>
      <c r="J3" s="43"/>
      <c r="K3" s="96"/>
    </row>
    <row r="4" spans="1:11">
      <c r="A4" s="363" t="s">
        <v>170</v>
      </c>
      <c r="B4" s="49">
        <f>IF(ISERROR('SEAP template'!B78+'SEAP template'!C78),0,'SEAP template'!B78+'SEAP template'!C78)</f>
        <v>6830.0400028366712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215.87545533391159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0.20853750809035054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312.21025895180281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1314.6428571428571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0.23748674954225696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1011.422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1011.422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0.20853750809035054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210.91942350775852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22407.426496808999</v>
      </c>
      <c r="C5" s="17">
        <f>IF(ISERROR('Eigen informatie GS &amp; warmtenet'!B57),0,'Eigen informatie GS &amp; warmtenet'!B57)</f>
        <v>0</v>
      </c>
      <c r="D5" s="30">
        <f>(SUM(HH_hh_gas_kWh,HH_rest_gas_kWh)/1000)*0.902</f>
        <v>20627.611895833186</v>
      </c>
      <c r="E5" s="17">
        <f>B46*B57</f>
        <v>2484.9823053997575</v>
      </c>
      <c r="F5" s="17">
        <f>B51*B62</f>
        <v>40613.531205788138</v>
      </c>
      <c r="G5" s="18"/>
      <c r="H5" s="17"/>
      <c r="I5" s="17"/>
      <c r="J5" s="17">
        <f>B50*B61+C50*C61</f>
        <v>1073.2605786470892</v>
      </c>
      <c r="K5" s="17"/>
      <c r="L5" s="17"/>
      <c r="M5" s="17"/>
      <c r="N5" s="17">
        <f>B48*B59+C48*C59</f>
        <v>12151.476666143411</v>
      </c>
      <c r="O5" s="17">
        <f>B69*B70*B71</f>
        <v>179.78333333333333</v>
      </c>
      <c r="P5" s="17">
        <f>B77*B78*B79/1000-B77*B78*B79/1000/B80</f>
        <v>838.93333333333339</v>
      </c>
    </row>
    <row r="6" spans="1:16">
      <c r="A6" s="16" t="s">
        <v>633</v>
      </c>
      <c r="B6" s="779">
        <f>kWh_PV_kleiner_dan_10kW</f>
        <v>2367.9105667250005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24775.337063534</v>
      </c>
      <c r="C8" s="21">
        <f>C5</f>
        <v>0</v>
      </c>
      <c r="D8" s="21">
        <f>D5</f>
        <v>20627.611895833186</v>
      </c>
      <c r="E8" s="21">
        <f>E5</f>
        <v>2484.9823053997575</v>
      </c>
      <c r="F8" s="21">
        <f>F5</f>
        <v>40613.531205788138</v>
      </c>
      <c r="G8" s="21"/>
      <c r="H8" s="21"/>
      <c r="I8" s="21"/>
      <c r="J8" s="21">
        <f>J5</f>
        <v>1073.2605786470892</v>
      </c>
      <c r="K8" s="21"/>
      <c r="L8" s="21">
        <f>L5</f>
        <v>0</v>
      </c>
      <c r="M8" s="21">
        <f>M5</f>
        <v>0</v>
      </c>
      <c r="N8" s="21">
        <f>N5</f>
        <v>12151.476666143411</v>
      </c>
      <c r="O8" s="21">
        <f>O5</f>
        <v>179.78333333333333</v>
      </c>
      <c r="P8" s="21">
        <f>P5</f>
        <v>838.93333333333339</v>
      </c>
    </row>
    <row r="9" spans="1:16">
      <c r="B9" s="19"/>
      <c r="C9" s="19"/>
      <c r="D9" s="261"/>
      <c r="E9" s="19"/>
      <c r="F9" s="19"/>
      <c r="G9" s="19"/>
      <c r="H9" s="19"/>
      <c r="I9" s="19"/>
      <c r="J9" s="19"/>
      <c r="K9" s="19"/>
      <c r="L9" s="19"/>
      <c r="M9" s="19"/>
      <c r="N9" s="19"/>
      <c r="O9" s="19"/>
      <c r="P9" s="19"/>
    </row>
    <row r="10" spans="1:16">
      <c r="A10" s="24" t="s">
        <v>213</v>
      </c>
      <c r="B10" s="25">
        <f ca="1">'EF ele_warmte'!B12</f>
        <v>0.20853750809035054</v>
      </c>
      <c r="C10" s="25">
        <f ca="1">'EF ele_warmte'!B22</f>
        <v>0.23748674954225696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5166.587053327883</v>
      </c>
      <c r="C12" s="23">
        <f ca="1">C10*C8</f>
        <v>0</v>
      </c>
      <c r="D12" s="23">
        <f>D8*D10</f>
        <v>4166.7776029583038</v>
      </c>
      <c r="E12" s="23">
        <f>E10*E8</f>
        <v>564.09098332574501</v>
      </c>
      <c r="F12" s="23">
        <f>F10*F8</f>
        <v>10843.812831945434</v>
      </c>
      <c r="G12" s="23"/>
      <c r="H12" s="23"/>
      <c r="I12" s="23"/>
      <c r="J12" s="23">
        <f>J10*J8</f>
        <v>379.93424484106959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273</v>
      </c>
      <c r="C18" s="168" t="s">
        <v>110</v>
      </c>
      <c r="D18" s="230"/>
      <c r="E18" s="15"/>
    </row>
    <row r="19" spans="1:7">
      <c r="A19" s="173" t="s">
        <v>71</v>
      </c>
      <c r="B19" s="37">
        <f>aantalw2001_ander</f>
        <v>0</v>
      </c>
      <c r="C19" s="168" t="s">
        <v>110</v>
      </c>
      <c r="D19" s="231"/>
      <c r="E19" s="15"/>
    </row>
    <row r="20" spans="1:7">
      <c r="A20" s="173" t="s">
        <v>72</v>
      </c>
      <c r="B20" s="37">
        <f>aantalw2001_propaan</f>
        <v>63</v>
      </c>
      <c r="C20" s="169">
        <f>IF(ISERROR(B20/SUM($B$20,$B$21,$B$22)*100),0,B20/SUM($B$20,$B$21,$B$22)*100)</f>
        <v>8.015267175572518</v>
      </c>
      <c r="D20" s="231"/>
      <c r="E20" s="15"/>
    </row>
    <row r="21" spans="1:7">
      <c r="A21" s="173" t="s">
        <v>73</v>
      </c>
      <c r="B21" s="37">
        <f>aantalw2001_elektriciteit</f>
        <v>633</v>
      </c>
      <c r="C21" s="169">
        <f>IF(ISERROR(B21/SUM($B$20,$B$21,$B$22)*100),0,B21/SUM($B$20,$B$21,$B$22)*100)</f>
        <v>80.534351145038158</v>
      </c>
      <c r="D21" s="231"/>
      <c r="E21" s="15"/>
    </row>
    <row r="22" spans="1:7">
      <c r="A22" s="173" t="s">
        <v>74</v>
      </c>
      <c r="B22" s="37">
        <f>aantalw2001_hout</f>
        <v>90</v>
      </c>
      <c r="C22" s="169">
        <f>IF(ISERROR(B22/SUM($B$20,$B$21,$B$22)*100),0,B22/SUM($B$20,$B$21,$B$22)*100)</f>
        <v>11.450381679389313</v>
      </c>
      <c r="D22" s="231"/>
      <c r="E22" s="15"/>
    </row>
    <row r="23" spans="1:7">
      <c r="A23" s="173" t="s">
        <v>75</v>
      </c>
      <c r="B23" s="37">
        <f>aantalw2001_niet_gespec</f>
        <v>66</v>
      </c>
      <c r="C23" s="168" t="s">
        <v>110</v>
      </c>
      <c r="D23" s="230"/>
      <c r="E23" s="15"/>
    </row>
    <row r="24" spans="1:7">
      <c r="A24" s="173" t="s">
        <v>76</v>
      </c>
      <c r="B24" s="37">
        <f>aantalw2001_steenkool</f>
        <v>140</v>
      </c>
      <c r="C24" s="168" t="s">
        <v>110</v>
      </c>
      <c r="D24" s="231"/>
      <c r="E24" s="15"/>
    </row>
    <row r="25" spans="1:7">
      <c r="A25" s="173" t="s">
        <v>77</v>
      </c>
      <c r="B25" s="37">
        <f>aantalw2001_stookolie</f>
        <v>2713</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4522</v>
      </c>
      <c r="C28" s="36"/>
      <c r="D28" s="230"/>
    </row>
    <row r="29" spans="1:7" s="15" customFormat="1">
      <c r="A29" s="232" t="s">
        <v>743</v>
      </c>
      <c r="B29" s="37">
        <f>SUM(HH_hh_gas_aantal,HH_rest_gas_aantal)</f>
        <v>1370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1370</v>
      </c>
      <c r="C32" s="169">
        <f>IF(ISERROR(B32/SUM($B$32,$B$34,$B$35,$B$36,$B$38,$B$39)*100),0,B32/SUM($B$32,$B$34,$B$35,$B$36,$B$38,$B$39)*100)</f>
        <v>30.594015185350603</v>
      </c>
      <c r="D32" s="235"/>
      <c r="G32" s="15"/>
    </row>
    <row r="33" spans="1:7">
      <c r="A33" s="173" t="s">
        <v>71</v>
      </c>
      <c r="B33" s="34" t="s">
        <v>110</v>
      </c>
      <c r="C33" s="169"/>
      <c r="D33" s="235"/>
      <c r="G33" s="15"/>
    </row>
    <row r="34" spans="1:7">
      <c r="A34" s="173" t="s">
        <v>72</v>
      </c>
      <c r="B34" s="33">
        <f>IF((($B$28-$B$32-$B$39-$B$77-$B$38)*C20/100)&lt;0,0,($B$28-$B$32-$B$39-$B$77-$B$38)*C20/100)</f>
        <v>108.36641221374046</v>
      </c>
      <c r="C34" s="169">
        <f>IF(ISERROR(B34/SUM($B$32,$B$34,$B$35,$B$36,$B$38,$B$39)*100),0,B34/SUM($B$32,$B$34,$B$35,$B$36,$B$38,$B$39)*100)</f>
        <v>2.4199734750723638</v>
      </c>
      <c r="D34" s="235"/>
      <c r="G34" s="15"/>
    </row>
    <row r="35" spans="1:7">
      <c r="A35" s="173" t="s">
        <v>73</v>
      </c>
      <c r="B35" s="33">
        <f>IF((($B$28-$B$32-$B$39-$B$77-$B$38)*C21/100)&lt;0,0,($B$28-$B$32-$B$39-$B$77-$B$38)*C21/100)</f>
        <v>1088.824427480916</v>
      </c>
      <c r="C35" s="169">
        <f>IF(ISERROR(B35/SUM($B$32,$B$34,$B$35,$B$36,$B$38,$B$39)*100),0,B35/SUM($B$32,$B$34,$B$35,$B$36,$B$38,$B$39)*100)</f>
        <v>24.314971582869944</v>
      </c>
      <c r="D35" s="235"/>
      <c r="G35" s="15"/>
    </row>
    <row r="36" spans="1:7">
      <c r="A36" s="173" t="s">
        <v>74</v>
      </c>
      <c r="B36" s="33">
        <f>IF((($B$28-$B$32-$B$39-$B$77-$B$38)*C22/100)&lt;0,0,($B$28-$B$32-$B$39-$B$77-$B$38)*C22/100)</f>
        <v>154.80916030534354</v>
      </c>
      <c r="C36" s="169">
        <f>IF(ISERROR(B36/SUM($B$32,$B$34,$B$35,$B$36,$B$38,$B$39)*100),0,B36/SUM($B$32,$B$34,$B$35,$B$36,$B$38,$B$39)*100)</f>
        <v>3.4571049643890919</v>
      </c>
      <c r="D36" s="235"/>
      <c r="G36" s="15"/>
    </row>
    <row r="37" spans="1:7">
      <c r="A37" s="173" t="s">
        <v>75</v>
      </c>
      <c r="B37" s="34" t="s">
        <v>110</v>
      </c>
      <c r="C37" s="169"/>
      <c r="D37" s="175"/>
      <c r="G37" s="15"/>
    </row>
    <row r="38" spans="1:7">
      <c r="A38" s="173" t="s">
        <v>76</v>
      </c>
      <c r="B38" s="33">
        <f>IF((B24-(B29-B18)*0.1)&lt;0,0,B24-(B29-B18)*0.1)</f>
        <v>30.299999999999997</v>
      </c>
      <c r="C38" s="169">
        <f>IF(ISERROR(B38/SUM($B$32,$B$34,$B$35,$B$36,$B$38,$B$39)*100),0,B38/SUM($B$32,$B$34,$B$35,$B$36,$B$38,$B$39)*100)</f>
        <v>0.67664135774899503</v>
      </c>
      <c r="D38" s="236"/>
      <c r="G38" s="15"/>
    </row>
    <row r="39" spans="1:7">
      <c r="A39" s="173" t="s">
        <v>77</v>
      </c>
      <c r="B39" s="33">
        <f>IF((B25-(B29-B18))&lt;0,0,B25-(B29-B18)*0.9)</f>
        <v>1725.6999999999998</v>
      </c>
      <c r="C39" s="169">
        <f>IF(ISERROR(B39/SUM($B$32,$B$34,$B$35,$B$36,$B$38,$B$39)*100),0,B39/SUM($B$32,$B$34,$B$35,$B$36,$B$38,$B$39)*100)</f>
        <v>38.537293434568994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1370</v>
      </c>
      <c r="C44" s="34" t="s">
        <v>110</v>
      </c>
      <c r="D44" s="176"/>
    </row>
    <row r="45" spans="1:7">
      <c r="A45" s="173" t="s">
        <v>71</v>
      </c>
      <c r="B45" s="33" t="str">
        <f t="shared" si="0"/>
        <v>-</v>
      </c>
      <c r="C45" s="34" t="s">
        <v>110</v>
      </c>
      <c r="D45" s="176"/>
    </row>
    <row r="46" spans="1:7">
      <c r="A46" s="173" t="s">
        <v>72</v>
      </c>
      <c r="B46" s="33">
        <f t="shared" si="0"/>
        <v>108.36641221374046</v>
      </c>
      <c r="C46" s="34" t="s">
        <v>110</v>
      </c>
      <c r="D46" s="176"/>
    </row>
    <row r="47" spans="1:7">
      <c r="A47" s="173" t="s">
        <v>73</v>
      </c>
      <c r="B47" s="33">
        <f t="shared" si="0"/>
        <v>1088.824427480916</v>
      </c>
      <c r="C47" s="34" t="s">
        <v>110</v>
      </c>
      <c r="D47" s="176"/>
    </row>
    <row r="48" spans="1:7">
      <c r="A48" s="173" t="s">
        <v>74</v>
      </c>
      <c r="B48" s="33">
        <f t="shared" si="0"/>
        <v>154.80916030534354</v>
      </c>
      <c r="C48" s="33">
        <f>B48*10</f>
        <v>1548.0916030534354</v>
      </c>
      <c r="D48" s="236"/>
    </row>
    <row r="49" spans="1:6">
      <c r="A49" s="173" t="s">
        <v>75</v>
      </c>
      <c r="B49" s="33" t="str">
        <f t="shared" si="0"/>
        <v>-</v>
      </c>
      <c r="C49" s="34" t="s">
        <v>110</v>
      </c>
      <c r="D49" s="236"/>
    </row>
    <row r="50" spans="1:6">
      <c r="A50" s="173" t="s">
        <v>76</v>
      </c>
      <c r="B50" s="33">
        <f t="shared" si="0"/>
        <v>30.299999999999997</v>
      </c>
      <c r="C50" s="33">
        <f>B50*2</f>
        <v>60.599999999999994</v>
      </c>
      <c r="D50" s="236"/>
    </row>
    <row r="51" spans="1:6">
      <c r="A51" s="173" t="s">
        <v>77</v>
      </c>
      <c r="B51" s="33">
        <f t="shared" si="0"/>
        <v>1725.6999999999998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27732.478398159605</v>
      </c>
      <c r="C5" s="17">
        <f>IF(ISERROR('Eigen informatie GS &amp; warmtenet'!B58),0,'Eigen informatie GS &amp; warmtenet'!B58)</f>
        <v>0</v>
      </c>
      <c r="D5" s="30">
        <f>SUM(D6:D12)</f>
        <v>14837.011287592832</v>
      </c>
      <c r="E5" s="17">
        <f>SUM(E6:E12)</f>
        <v>355.69213662187144</v>
      </c>
      <c r="F5" s="17">
        <f>SUM(F6:F12)</f>
        <v>5337.9317297896378</v>
      </c>
      <c r="G5" s="18"/>
      <c r="H5" s="17"/>
      <c r="I5" s="17"/>
      <c r="J5" s="17">
        <f>SUM(J6:J12)</f>
        <v>0</v>
      </c>
      <c r="K5" s="17"/>
      <c r="L5" s="17"/>
      <c r="M5" s="17"/>
      <c r="N5" s="17">
        <f>SUM(N6:N12)</f>
        <v>1694.1392967494558</v>
      </c>
      <c r="O5" s="17">
        <f>B38*B39*B40</f>
        <v>1.5633333333333335</v>
      </c>
      <c r="P5" s="17">
        <f>B46*B47*B48/1000-B46*B47*B48/1000/B49</f>
        <v>19.066666666666666</v>
      </c>
      <c r="R5" s="32"/>
    </row>
    <row r="6" spans="1:18">
      <c r="A6" s="32" t="s">
        <v>53</v>
      </c>
      <c r="B6" s="37">
        <f>B26</f>
        <v>4854.1300778900995</v>
      </c>
      <c r="C6" s="33"/>
      <c r="D6" s="37">
        <f>IF(ISERROR(TER_kantoor_gas_kWh/1000),0,TER_kantoor_gas_kWh/1000)*0.902</f>
        <v>3556.7951227572635</v>
      </c>
      <c r="E6" s="33">
        <f>$C$26*'E Balans VL '!I12/100/3.6*1000000</f>
        <v>18.859323031818096</v>
      </c>
      <c r="F6" s="33">
        <f>$C$26*('E Balans VL '!L12+'E Balans VL '!N12)/100/3.6*1000000</f>
        <v>738.26901578483864</v>
      </c>
      <c r="G6" s="34"/>
      <c r="H6" s="33"/>
      <c r="I6" s="33"/>
      <c r="J6" s="33">
        <f>$C$26*('E Balans VL '!D12+'E Balans VL '!E12)/100/3.6*1000000</f>
        <v>0</v>
      </c>
      <c r="K6" s="33"/>
      <c r="L6" s="33"/>
      <c r="M6" s="33"/>
      <c r="N6" s="33">
        <f>$C$26*'E Balans VL '!Y12/100/3.6*1000000</f>
        <v>2.6752071833799511</v>
      </c>
      <c r="O6" s="33"/>
      <c r="P6" s="33"/>
      <c r="R6" s="32"/>
    </row>
    <row r="7" spans="1:18">
      <c r="A7" s="32" t="s">
        <v>52</v>
      </c>
      <c r="B7" s="37">
        <f t="shared" ref="B7:B12" si="0">B27</f>
        <v>1467.9940751696101</v>
      </c>
      <c r="C7" s="33"/>
      <c r="D7" s="37">
        <f>IF(ISERROR(TER_horeca_gas_kWh/1000),0,TER_horeca_gas_kWh/1000)*0.902</f>
        <v>674.20614934975072</v>
      </c>
      <c r="E7" s="33">
        <f>$C$27*'E Balans VL '!I9/100/3.6*1000000</f>
        <v>82.69249873089332</v>
      </c>
      <c r="F7" s="33">
        <f>$C$27*('E Balans VL '!L9+'E Balans VL '!N9)/100/3.6*1000000</f>
        <v>423.28160426776037</v>
      </c>
      <c r="G7" s="34"/>
      <c r="H7" s="33"/>
      <c r="I7" s="33"/>
      <c r="J7" s="33">
        <f>$C$27*('E Balans VL '!D9+'E Balans VL '!E9)/100/3.6*1000000</f>
        <v>0</v>
      </c>
      <c r="K7" s="33"/>
      <c r="L7" s="33"/>
      <c r="M7" s="33"/>
      <c r="N7" s="33">
        <f>$C$27*'E Balans VL '!Y9/100/3.6*1000000</f>
        <v>0.40530553573938061</v>
      </c>
      <c r="O7" s="33"/>
      <c r="P7" s="33"/>
      <c r="R7" s="32"/>
    </row>
    <row r="8" spans="1:18">
      <c r="A8" s="6" t="s">
        <v>51</v>
      </c>
      <c r="B8" s="37">
        <f t="shared" si="0"/>
        <v>6508.9239509567306</v>
      </c>
      <c r="C8" s="33"/>
      <c r="D8" s="37">
        <f>IF(ISERROR(TER_handel_gas_kWh/1000),0,TER_handel_gas_kWh/1000)*0.902</f>
        <v>3869.8932520487242</v>
      </c>
      <c r="E8" s="33">
        <f>$C$28*'E Balans VL '!I13/100/3.6*1000000</f>
        <v>93.815676715572266</v>
      </c>
      <c r="F8" s="33">
        <f>$C$28*('E Balans VL '!L13+'E Balans VL '!N13)/100/3.6*1000000</f>
        <v>1130.7516728913813</v>
      </c>
      <c r="G8" s="34"/>
      <c r="H8" s="33"/>
      <c r="I8" s="33"/>
      <c r="J8" s="33">
        <f>$C$28*('E Balans VL '!D13+'E Balans VL '!E13)/100/3.6*1000000</f>
        <v>0</v>
      </c>
      <c r="K8" s="33"/>
      <c r="L8" s="33"/>
      <c r="M8" s="33"/>
      <c r="N8" s="33">
        <f>$C$28*'E Balans VL '!Y13/100/3.6*1000000</f>
        <v>19.501460745407215</v>
      </c>
      <c r="O8" s="33"/>
      <c r="P8" s="33"/>
      <c r="R8" s="32"/>
    </row>
    <row r="9" spans="1:18">
      <c r="A9" s="32" t="s">
        <v>50</v>
      </c>
      <c r="B9" s="37">
        <f t="shared" si="0"/>
        <v>974.95947993187997</v>
      </c>
      <c r="C9" s="33"/>
      <c r="D9" s="37">
        <f>IF(ISERROR(TER_gezond_gas_kWh/1000),0,TER_gezond_gas_kWh/1000)*0.902</f>
        <v>139.19535144730287</v>
      </c>
      <c r="E9" s="33">
        <f>$C$29*'E Balans VL '!I10/100/3.6*1000000</f>
        <v>1.0415094247843248</v>
      </c>
      <c r="F9" s="33">
        <f>$C$29*('E Balans VL '!L10+'E Balans VL '!N10)/100/3.6*1000000</f>
        <v>159.04552130736249</v>
      </c>
      <c r="G9" s="34"/>
      <c r="H9" s="33"/>
      <c r="I9" s="33"/>
      <c r="J9" s="33">
        <f>$C$29*('E Balans VL '!D10+'E Balans VL '!E10)/100/3.6*1000000</f>
        <v>0</v>
      </c>
      <c r="K9" s="33"/>
      <c r="L9" s="33"/>
      <c r="M9" s="33"/>
      <c r="N9" s="33">
        <f>$C$29*'E Balans VL '!Y10/100/3.6*1000000</f>
        <v>10.036651545117827</v>
      </c>
      <c r="O9" s="33"/>
      <c r="P9" s="33"/>
      <c r="R9" s="32"/>
    </row>
    <row r="10" spans="1:18">
      <c r="A10" s="32" t="s">
        <v>49</v>
      </c>
      <c r="B10" s="37">
        <f t="shared" si="0"/>
        <v>931.76924041181701</v>
      </c>
      <c r="C10" s="33"/>
      <c r="D10" s="37">
        <f>IF(ISERROR(TER_ander_gas_kWh/1000),0,TER_ander_gas_kWh/1000)*0.902</f>
        <v>236.597582019649</v>
      </c>
      <c r="E10" s="33">
        <f>$C$30*'E Balans VL '!I14/100/3.6*1000000</f>
        <v>4.2850650040311526</v>
      </c>
      <c r="F10" s="33">
        <f>$C$30*('E Balans VL '!L14+'E Balans VL '!N14)/100/3.6*1000000</f>
        <v>279.28063199484518</v>
      </c>
      <c r="G10" s="34"/>
      <c r="H10" s="33"/>
      <c r="I10" s="33"/>
      <c r="J10" s="33">
        <f>$C$30*('E Balans VL '!D14+'E Balans VL '!E14)/100/3.6*1000000</f>
        <v>0</v>
      </c>
      <c r="K10" s="33"/>
      <c r="L10" s="33"/>
      <c r="M10" s="33"/>
      <c r="N10" s="33">
        <f>$C$30*'E Balans VL '!Y14/100/3.6*1000000</f>
        <v>648.57289813042189</v>
      </c>
      <c r="O10" s="33"/>
      <c r="P10" s="33"/>
      <c r="R10" s="32"/>
    </row>
    <row r="11" spans="1:18">
      <c r="A11" s="32" t="s">
        <v>54</v>
      </c>
      <c r="B11" s="37">
        <f t="shared" si="0"/>
        <v>233.99716360446399</v>
      </c>
      <c r="C11" s="33"/>
      <c r="D11" s="37">
        <f>IF(ISERROR(TER_onderwijs_gas_kWh/1000),0,TER_onderwijs_gas_kWh/1000)*0.902</f>
        <v>278.53427609137367</v>
      </c>
      <c r="E11" s="33">
        <f>$C$31*'E Balans VL '!I11/100/3.6*1000000</f>
        <v>0.21706314192423373</v>
      </c>
      <c r="F11" s="33">
        <f>$C$31*('E Balans VL '!L11+'E Balans VL '!N11)/100/3.6*1000000</f>
        <v>82.197825536103309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12760.704410195</v>
      </c>
      <c r="C12" s="33"/>
      <c r="D12" s="37">
        <f>IF(ISERROR(TER_rest_gas_kWh/1000),0,TER_rest_gas_kWh/1000)*0.902</f>
        <v>6081.7895538787679</v>
      </c>
      <c r="E12" s="33">
        <f>$C$32*'E Balans VL '!I8/100/3.6*1000000</f>
        <v>154.78100057284806</v>
      </c>
      <c r="F12" s="33">
        <f>$C$32*('E Balans VL '!L8+'E Balans VL '!N8)/100/3.6*1000000</f>
        <v>2525.1054580073464</v>
      </c>
      <c r="G12" s="34"/>
      <c r="H12" s="33"/>
      <c r="I12" s="33"/>
      <c r="J12" s="33">
        <f>$C$32*('E Balans VL '!D8+'E Balans VL '!E8)/100/3.6*1000000</f>
        <v>0</v>
      </c>
      <c r="K12" s="33"/>
      <c r="L12" s="33"/>
      <c r="M12" s="33"/>
      <c r="N12" s="33">
        <f>$C$32*'E Balans VL '!Y8/100/3.6*1000000</f>
        <v>1012.9477736093894</v>
      </c>
      <c r="O12" s="33"/>
      <c r="P12" s="33"/>
      <c r="R12" s="32"/>
    </row>
    <row r="13" spans="1:18">
      <c r="A13" s="16" t="s">
        <v>496</v>
      </c>
      <c r="B13" s="249">
        <f ca="1">'lokale energieproductie'!N41+'lokale energieproductie'!N34</f>
        <v>909</v>
      </c>
      <c r="C13" s="249">
        <f ca="1">'lokale energieproductie'!O41+'lokale energieproductie'!O34</f>
        <v>1314.6428571428571</v>
      </c>
      <c r="D13" s="310">
        <f ca="1">('lokale energieproductie'!P34+'lokale energieproductie'!P41)*(-1)</f>
        <v>-2614.2857142857142</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28641.478398159605</v>
      </c>
      <c r="C16" s="21">
        <f t="shared" ca="1" si="1"/>
        <v>1314.6428571428571</v>
      </c>
      <c r="D16" s="21">
        <f t="shared" ca="1" si="1"/>
        <v>12222.725573307118</v>
      </c>
      <c r="E16" s="21">
        <f t="shared" si="1"/>
        <v>355.69213662187144</v>
      </c>
      <c r="F16" s="21">
        <f t="shared" ca="1" si="1"/>
        <v>5337.9317297896378</v>
      </c>
      <c r="G16" s="21">
        <f t="shared" si="1"/>
        <v>0</v>
      </c>
      <c r="H16" s="21">
        <f t="shared" si="1"/>
        <v>0</v>
      </c>
      <c r="I16" s="21">
        <f t="shared" si="1"/>
        <v>0</v>
      </c>
      <c r="J16" s="21">
        <f t="shared" si="1"/>
        <v>0</v>
      </c>
      <c r="K16" s="21">
        <f t="shared" si="1"/>
        <v>0</v>
      </c>
      <c r="L16" s="21">
        <f t="shared" ca="1" si="1"/>
        <v>0</v>
      </c>
      <c r="M16" s="21">
        <f t="shared" si="1"/>
        <v>0</v>
      </c>
      <c r="N16" s="21">
        <f t="shared" ca="1" si="1"/>
        <v>1694.1392967494558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0.20853750809035054</v>
      </c>
      <c r="C18" s="25">
        <f ca="1">'EF ele_warmte'!B22</f>
        <v>0.23748674954225696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5972.8225331758085</v>
      </c>
      <c r="C20" s="23">
        <f t="shared" ref="C20:P20" ca="1" si="2">C16*C18</f>
        <v>312.21025895180281</v>
      </c>
      <c r="D20" s="23">
        <f t="shared" ca="1" si="2"/>
        <v>2468.9905658080379</v>
      </c>
      <c r="E20" s="23">
        <f t="shared" si="2"/>
        <v>80.74211501316482</v>
      </c>
      <c r="F20" s="23">
        <f t="shared" ca="1" si="2"/>
        <v>1425.2277718538335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4854.1300778900995</v>
      </c>
      <c r="C26" s="39">
        <f>IF(ISERROR(B26*3.6/1000000/'E Balans VL '!Z12*100),0,B26*3.6/1000000/'E Balans VL '!Z12*100)</f>
        <v>0.10310412727785553</v>
      </c>
      <c r="D26" s="239" t="s">
        <v>689</v>
      </c>
      <c r="F26" s="6"/>
    </row>
    <row r="27" spans="1:18">
      <c r="A27" s="233" t="s">
        <v>52</v>
      </c>
      <c r="B27" s="33">
        <f>IF(ISERROR(TER_horeca_ele_kWh/1000),0,TER_horeca_ele_kWh/1000)</f>
        <v>1467.9940751696101</v>
      </c>
      <c r="C27" s="39">
        <f>IF(ISERROR(B27*3.6/1000000/'E Balans VL '!Z9*100),0,B27*3.6/1000000/'E Balans VL '!Z9*100)</f>
        <v>0.11414547954329271</v>
      </c>
      <c r="D27" s="239" t="s">
        <v>689</v>
      </c>
      <c r="F27" s="6"/>
    </row>
    <row r="28" spans="1:18">
      <c r="A28" s="173" t="s">
        <v>51</v>
      </c>
      <c r="B28" s="33">
        <f>IF(ISERROR(TER_handel_ele_kWh/1000),0,TER_handel_ele_kWh/1000)</f>
        <v>6508.9239509567306</v>
      </c>
      <c r="C28" s="39">
        <f>IF(ISERROR(B28*3.6/1000000/'E Balans VL '!Z13*100),0,B28*3.6/1000000/'E Balans VL '!Z13*100)</f>
        <v>0.18622797447406989</v>
      </c>
      <c r="D28" s="239" t="s">
        <v>689</v>
      </c>
      <c r="F28" s="6"/>
    </row>
    <row r="29" spans="1:18">
      <c r="A29" s="233" t="s">
        <v>50</v>
      </c>
      <c r="B29" s="33">
        <f>IF(ISERROR(TER_gezond_ele_kWh/1000),0,TER_gezond_ele_kWh/1000)</f>
        <v>974.95947993187997</v>
      </c>
      <c r="C29" s="39">
        <f>IF(ISERROR(B29*3.6/1000000/'E Balans VL '!Z10*100),0,B29*3.6/1000000/'E Balans VL '!Z10*100)</f>
        <v>0.1062932386537921</v>
      </c>
      <c r="D29" s="239" t="s">
        <v>689</v>
      </c>
      <c r="F29" s="6"/>
    </row>
    <row r="30" spans="1:18">
      <c r="A30" s="233" t="s">
        <v>49</v>
      </c>
      <c r="B30" s="33">
        <f>IF(ISERROR(TER_ander_ele_kWh/1000),0,TER_ander_ele_kWh/1000)</f>
        <v>931.76924041181701</v>
      </c>
      <c r="C30" s="39">
        <f>IF(ISERROR(B30*3.6/1000000/'E Balans VL '!Z14*100),0,B30*3.6/1000000/'E Balans VL '!Z14*100)</f>
        <v>6.8184759344920354E-2</v>
      </c>
      <c r="D30" s="239" t="s">
        <v>689</v>
      </c>
      <c r="F30" s="6"/>
    </row>
    <row r="31" spans="1:18">
      <c r="A31" s="233" t="s">
        <v>54</v>
      </c>
      <c r="B31" s="33">
        <f>IF(ISERROR(TER_onderwijs_ele_kWh/1000),0,TER_onderwijs_ele_kWh/1000)</f>
        <v>233.99716360446399</v>
      </c>
      <c r="C31" s="39">
        <f>IF(ISERROR(B31*3.6/1000000/'E Balans VL '!Z11*100),0,B31*3.6/1000000/'E Balans VL '!Z11*100)</f>
        <v>4.6998504071458821E-2</v>
      </c>
      <c r="D31" s="239" t="s">
        <v>689</v>
      </c>
    </row>
    <row r="32" spans="1:18">
      <c r="A32" s="233" t="s">
        <v>259</v>
      </c>
      <c r="B32" s="33">
        <f>IF(ISERROR(TER_rest_ele_kWh/1000),0,TER_rest_ele_kWh/1000)</f>
        <v>12760.704410195</v>
      </c>
      <c r="C32" s="39">
        <f>IF(ISERROR(B32*3.6/1000000/'E Balans VL '!Z8*100),0,B32*3.6/1000000/'E Balans VL '!Z8*100)</f>
        <v>0.10399199686505305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46896.032952523288</v>
      </c>
      <c r="C5" s="17">
        <f>IF(ISERROR('Eigen informatie GS &amp; warmtenet'!B59),0,'Eigen informatie GS &amp; warmtenet'!B59)</f>
        <v>0</v>
      </c>
      <c r="D5" s="30">
        <f>SUM(D6:D15)</f>
        <v>39947.673751819035</v>
      </c>
      <c r="E5" s="17">
        <f>SUM(E6:E15)</f>
        <v>3140.4208793669941</v>
      </c>
      <c r="F5" s="17">
        <f>SUM(F6:F15)</f>
        <v>13314.999463537366</v>
      </c>
      <c r="G5" s="18"/>
      <c r="H5" s="17"/>
      <c r="I5" s="17"/>
      <c r="J5" s="17">
        <f>SUM(J6:J15)</f>
        <v>105.09446030318976</v>
      </c>
      <c r="K5" s="17"/>
      <c r="L5" s="17"/>
      <c r="M5" s="17"/>
      <c r="N5" s="17">
        <f>SUM(N6:N15)</f>
        <v>2760.840687385753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509.99715418788099</v>
      </c>
      <c r="C8" s="33"/>
      <c r="D8" s="37">
        <f>IF( ISERROR(IND_metaal_Gas_kWH/1000),0,IND_metaal_Gas_kWH/1000)*0.902</f>
        <v>0</v>
      </c>
      <c r="E8" s="33">
        <f>C30*'E Balans VL '!I18/100/3.6*1000000</f>
        <v>14.649032562749882</v>
      </c>
      <c r="F8" s="33">
        <f>C30*'E Balans VL '!L18/100/3.6*1000000+C30*'E Balans VL '!N18/100/3.6*1000000</f>
        <v>130.80446139430208</v>
      </c>
      <c r="G8" s="34"/>
      <c r="H8" s="33"/>
      <c r="I8" s="33"/>
      <c r="J8" s="40">
        <f>C30*'E Balans VL '!D18/100/3.6*1000000+C30*'E Balans VL '!E18/100/3.6*1000000</f>
        <v>0</v>
      </c>
      <c r="K8" s="33"/>
      <c r="L8" s="33"/>
      <c r="M8" s="33"/>
      <c r="N8" s="33">
        <f>C30*'E Balans VL '!Y18/100/3.6*1000000</f>
        <v>13.847463787886499</v>
      </c>
      <c r="O8" s="33"/>
      <c r="P8" s="33"/>
      <c r="R8" s="32"/>
    </row>
    <row r="9" spans="1:18">
      <c r="A9" s="6" t="s">
        <v>32</v>
      </c>
      <c r="B9" s="37">
        <f t="shared" si="0"/>
        <v>2723.9549194646102</v>
      </c>
      <c r="C9" s="33"/>
      <c r="D9" s="37">
        <f>IF( ISERROR(IND_andere_gas_kWh/1000),0,IND_andere_gas_kWh/1000)*0.902</f>
        <v>334.48909465494461</v>
      </c>
      <c r="E9" s="33">
        <f>C31*'E Balans VL '!I19/100/3.6*1000000</f>
        <v>737.30762270929279</v>
      </c>
      <c r="F9" s="33">
        <f>C31*'E Balans VL '!L19/100/3.6*1000000+C31*'E Balans VL '!N19/100/3.6*1000000</f>
        <v>1814.4422310074947</v>
      </c>
      <c r="G9" s="34"/>
      <c r="H9" s="33"/>
      <c r="I9" s="33"/>
      <c r="J9" s="40">
        <f>C31*'E Balans VL '!D19/100/3.6*1000000+C31*'E Balans VL '!E19/100/3.6*1000000</f>
        <v>0</v>
      </c>
      <c r="K9" s="33"/>
      <c r="L9" s="33"/>
      <c r="M9" s="33"/>
      <c r="N9" s="33">
        <f>C31*'E Balans VL '!Y19/100/3.6*1000000</f>
        <v>230.29234429991993</v>
      </c>
      <c r="O9" s="33"/>
      <c r="P9" s="33"/>
      <c r="R9" s="32"/>
    </row>
    <row r="10" spans="1:18">
      <c r="A10" s="6" t="s">
        <v>40</v>
      </c>
      <c r="B10" s="37">
        <f t="shared" si="0"/>
        <v>1083.47992911404</v>
      </c>
      <c r="C10" s="33"/>
      <c r="D10" s="37">
        <f>IF( ISERROR(IND_voed_gas_kWh/1000),0,IND_voed_gas_kWh/1000)*0.902</f>
        <v>0</v>
      </c>
      <c r="E10" s="33">
        <f>C32*'E Balans VL '!I20/100/3.6*1000000</f>
        <v>88.371112248905121</v>
      </c>
      <c r="F10" s="33">
        <f>C32*'E Balans VL '!L20/100/3.6*1000000+C32*'E Balans VL '!N20/100/3.6*1000000</f>
        <v>1615.5668762215435</v>
      </c>
      <c r="G10" s="34"/>
      <c r="H10" s="33"/>
      <c r="I10" s="33"/>
      <c r="J10" s="40">
        <f>C32*'E Balans VL '!D20/100/3.6*1000000+C32*'E Balans VL '!E20/100/3.6*1000000</f>
        <v>1.4333124293975423E-2</v>
      </c>
      <c r="K10" s="33"/>
      <c r="L10" s="33"/>
      <c r="M10" s="33"/>
      <c r="N10" s="33">
        <f>C32*'E Balans VL '!Y20/100/3.6*1000000</f>
        <v>318.28817128946878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36.670251633690597</v>
      </c>
      <c r="C12" s="33"/>
      <c r="D12" s="37">
        <f>IF( ISERROR(IND_min_gas_kWh/1000),0,IND_min_gas_kWh/1000)*0.902</f>
        <v>0</v>
      </c>
      <c r="E12" s="33">
        <f>C34*'E Balans VL '!I22/100/3.6*1000000</f>
        <v>0.28565327011872205</v>
      </c>
      <c r="F12" s="33">
        <f>C34*'E Balans VL '!L22/100/3.6*1000000+C34*'E Balans VL '!N22/100/3.6*1000000</f>
        <v>13.829765460439607</v>
      </c>
      <c r="G12" s="34"/>
      <c r="H12" s="33"/>
      <c r="I12" s="33"/>
      <c r="J12" s="40">
        <f>C34*'E Balans VL '!D22/100/3.6*1000000+C34*'E Balans VL '!E22/100/3.6*1000000</f>
        <v>0.20168317779784814</v>
      </c>
      <c r="K12" s="33"/>
      <c r="L12" s="33"/>
      <c r="M12" s="33"/>
      <c r="N12" s="33">
        <f>C34*'E Balans VL '!Y22/100/3.6*1000000</f>
        <v>0</v>
      </c>
      <c r="O12" s="33"/>
      <c r="P12" s="33"/>
      <c r="R12" s="32"/>
    </row>
    <row r="13" spans="1:18">
      <c r="A13" s="6" t="s">
        <v>38</v>
      </c>
      <c r="B13" s="37">
        <f t="shared" si="0"/>
        <v>1622.7458569632702</v>
      </c>
      <c r="C13" s="33"/>
      <c r="D13" s="37">
        <f>IF( ISERROR(IND_papier_gas_kWh/1000),0,IND_papier_gas_kWh/1000)*0.902</f>
        <v>0</v>
      </c>
      <c r="E13" s="33">
        <f>C35*'E Balans VL '!I23/100/3.6*1000000</f>
        <v>17.001219133856214</v>
      </c>
      <c r="F13" s="33">
        <f>C35*'E Balans VL '!L23/100/3.6*1000000+C35*'E Balans VL '!N23/100/3.6*1000000</f>
        <v>121.08958347186493</v>
      </c>
      <c r="G13" s="34"/>
      <c r="H13" s="33"/>
      <c r="I13" s="33"/>
      <c r="J13" s="40">
        <f>C35*'E Balans VL '!D23/100/3.6*1000000+C35*'E Balans VL '!E23/100/3.6*1000000</f>
        <v>0</v>
      </c>
      <c r="K13" s="33"/>
      <c r="L13" s="33"/>
      <c r="M13" s="33"/>
      <c r="N13" s="33">
        <f>C35*'E Balans VL '!Y23/100/3.6*1000000</f>
        <v>299.36152281752123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40919.184841159797</v>
      </c>
      <c r="C15" s="33"/>
      <c r="D15" s="37">
        <f>IF( ISERROR(IND_rest_gas_kWh/1000),0,IND_rest_gas_kWh/1000)*0.902</f>
        <v>39613.184657164093</v>
      </c>
      <c r="E15" s="33">
        <f>C37*'E Balans VL '!I15/100/3.6*1000000</f>
        <v>2282.8062394420713</v>
      </c>
      <c r="F15" s="33">
        <f>C37*'E Balans VL '!L15/100/3.6*1000000+C37*'E Balans VL '!N15/100/3.6*1000000</f>
        <v>9619.2665459817217</v>
      </c>
      <c r="G15" s="34"/>
      <c r="H15" s="33"/>
      <c r="I15" s="33"/>
      <c r="J15" s="40">
        <f>C37*'E Balans VL '!D15/100/3.6*1000000+C37*'E Balans VL '!E15/100/3.6*1000000</f>
        <v>104.87844400109793</v>
      </c>
      <c r="K15" s="33"/>
      <c r="L15" s="33"/>
      <c r="M15" s="33"/>
      <c r="N15" s="33">
        <f>C37*'E Balans VL '!Y15/100/3.6*1000000</f>
        <v>1899.0511851909566</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46896.032952523288</v>
      </c>
      <c r="C18" s="21">
        <f>C5+C16</f>
        <v>0</v>
      </c>
      <c r="D18" s="21">
        <f>MAX((D5+D16),0)</f>
        <v>39947.673751819035</v>
      </c>
      <c r="E18" s="21">
        <f>MAX((E5+E16),0)</f>
        <v>3140.4208793669941</v>
      </c>
      <c r="F18" s="21">
        <f>MAX((F5+F16),0)</f>
        <v>13314.999463537366</v>
      </c>
      <c r="G18" s="21"/>
      <c r="H18" s="21"/>
      <c r="I18" s="21"/>
      <c r="J18" s="21">
        <f>MAX((J5+J16),0)</f>
        <v>105.09446030318976</v>
      </c>
      <c r="K18" s="21"/>
      <c r="L18" s="21">
        <f>MAX((L5+L16),0)</f>
        <v>0</v>
      </c>
      <c r="M18" s="21"/>
      <c r="N18" s="21">
        <f>MAX((N5+N16),0)</f>
        <v>2760.840687385753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0.20853750809035054</v>
      </c>
      <c r="C20" s="25">
        <f ca="1">'EF ele_warmte'!B22</f>
        <v>0.23748674954225696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9779.5818512421702</v>
      </c>
      <c r="C22" s="23">
        <f ca="1">C18*C20</f>
        <v>0</v>
      </c>
      <c r="D22" s="23">
        <f>D18*D20</f>
        <v>8069.4300978674455</v>
      </c>
      <c r="E22" s="23">
        <f>E18*E20</f>
        <v>712.87553961630772</v>
      </c>
      <c r="F22" s="23">
        <f>F18*F20</f>
        <v>3555.1048567644771</v>
      </c>
      <c r="G22" s="23"/>
      <c r="H22" s="23"/>
      <c r="I22" s="23"/>
      <c r="J22" s="23">
        <f>J18*J20</f>
        <v>37.203438947329175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509.99715418788099</v>
      </c>
      <c r="C30" s="39">
        <f>IF(ISERROR(B30*3.6/1000000/'E Balans VL '!Z18*100),0,B30*3.6/1000000/'E Balans VL '!Z18*100)</f>
        <v>5.0182418088036126E-2</v>
      </c>
      <c r="D30" s="239" t="s">
        <v>689</v>
      </c>
    </row>
    <row r="31" spans="1:18">
      <c r="A31" s="6" t="s">
        <v>32</v>
      </c>
      <c r="B31" s="37">
        <f>IF( ISERROR(IND_ander_ele_kWh/1000),0,IND_ander_ele_kWh/1000)</f>
        <v>2723.9549194646102</v>
      </c>
      <c r="C31" s="39">
        <f>IF(ISERROR(B31*3.6/1000000/'E Balans VL '!Z19*100),0,B31*3.6/1000000/'E Balans VL '!Z19*100)</f>
        <v>0.11862606386524878</v>
      </c>
      <c r="D31" s="239" t="s">
        <v>689</v>
      </c>
    </row>
    <row r="32" spans="1:18">
      <c r="A32" s="173" t="s">
        <v>40</v>
      </c>
      <c r="B32" s="37">
        <f>IF( ISERROR(IND_voed_ele_kWh/1000),0,IND_voed_ele_kWh/1000)</f>
        <v>1083.47992911404</v>
      </c>
      <c r="C32" s="39">
        <f>IF(ISERROR(B32*3.6/1000000/'E Balans VL '!Z20*100),0,B32*3.6/1000000/'E Balans VL '!Z20*100)</f>
        <v>0.20557469106896212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36.670251633690597</v>
      </c>
      <c r="C34" s="39">
        <f>IF(ISERROR(B34*3.6/1000000/'E Balans VL '!Z22*100),0,B34*3.6/1000000/'E Balans VL '!Z22*100)</f>
        <v>5.1562056108861729E-3</v>
      </c>
      <c r="D34" s="239" t="s">
        <v>689</v>
      </c>
    </row>
    <row r="35" spans="1:5">
      <c r="A35" s="173" t="s">
        <v>38</v>
      </c>
      <c r="B35" s="37">
        <f>IF( ISERROR(IND_papier_ele_kWh/1000),0,IND_papier_ele_kWh/1000)</f>
        <v>1622.7458569632702</v>
      </c>
      <c r="C35" s="39">
        <f>IF(ISERROR(B35*3.6/1000000/'E Balans VL '!Z22*100),0,B35*3.6/1000000/'E Balans VL '!Z22*100)</f>
        <v>0.22817436259501897</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40919.184841159797</v>
      </c>
      <c r="C37" s="39">
        <f>IF(ISERROR(B37*3.6/1000000/'E Balans VL '!Z15*100),0,B37*3.6/1000000/'E Balans VL '!Z15*100)</f>
        <v>0.31533257831996025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1629.6906797817335</v>
      </c>
      <c r="C5" s="17">
        <f>'Eigen informatie GS &amp; warmtenet'!B60</f>
        <v>0</v>
      </c>
      <c r="D5" s="30">
        <f>IF(ISERROR(SUM(LB_lb_gas_kWh,LB_rest_gas_kWh)/1000),0,SUM(LB_lb_gas_kWh,LB_rest_gas_kWh)/1000)*0.902</f>
        <v>985.3339661403312</v>
      </c>
      <c r="E5" s="17">
        <f>B17*'E Balans VL '!I25/3.6*1000000/100</f>
        <v>20.536202033710538</v>
      </c>
      <c r="F5" s="17">
        <f>B17*('E Balans VL '!L25/3.6*1000000+'E Balans VL '!N25/3.6*1000000)/100</f>
        <v>5622.8411071569162</v>
      </c>
      <c r="G5" s="18"/>
      <c r="H5" s="17"/>
      <c r="I5" s="17"/>
      <c r="J5" s="17">
        <f>('E Balans VL '!D25+'E Balans VL '!E25)/3.6*1000000*landbouw!B17/100</f>
        <v>245.0869525693567</v>
      </c>
      <c r="K5" s="17"/>
      <c r="L5" s="17">
        <f>L6*(-1)</f>
        <v>0</v>
      </c>
      <c r="M5" s="17"/>
      <c r="N5" s="17">
        <f>N6*(-1)</f>
        <v>0</v>
      </c>
      <c r="O5" s="17"/>
      <c r="P5" s="17"/>
      <c r="R5" s="32"/>
    </row>
    <row r="6" spans="1:18">
      <c r="A6" s="16" t="s">
        <v>496</v>
      </c>
      <c r="B6" s="17" t="s">
        <v>210</v>
      </c>
      <c r="C6" s="17">
        <f>'lokale energieproductie'!O42+'lokale energieproductie'!O35</f>
        <v>0</v>
      </c>
      <c r="D6" s="310">
        <f>('lokale energieproductie'!P35+'lokale energieproductie'!P42)*(-1)</f>
        <v>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1629.6906797817335</v>
      </c>
      <c r="C8" s="21">
        <f>C5+C6</f>
        <v>0</v>
      </c>
      <c r="D8" s="21">
        <f>MAX((D5+D6),0)</f>
        <v>985.3339661403312</v>
      </c>
      <c r="E8" s="21">
        <f>MAX((E5+E6),0)</f>
        <v>20.536202033710538</v>
      </c>
      <c r="F8" s="21">
        <f>MAX((F5+F6),0)</f>
        <v>5622.8411071569162</v>
      </c>
      <c r="G8" s="21"/>
      <c r="H8" s="21"/>
      <c r="I8" s="21"/>
      <c r="J8" s="21">
        <f>MAX((J5+J6),0)</f>
        <v>245.0869525693567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0.20853750809035054</v>
      </c>
      <c r="C10" s="31">
        <f ca="1">'EF ele_warmte'!B22</f>
        <v>0.23748674954225696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339.85163331975212</v>
      </c>
      <c r="C12" s="23">
        <f ca="1">C8*C10</f>
        <v>0</v>
      </c>
      <c r="D12" s="23">
        <f>D8*D10</f>
        <v>199.03746116034691</v>
      </c>
      <c r="E12" s="23">
        <f>E8*E10</f>
        <v>4.6617178616522921</v>
      </c>
      <c r="F12" s="23">
        <f>F8*F10</f>
        <v>1501.2985756108967</v>
      </c>
      <c r="G12" s="23"/>
      <c r="H12" s="23"/>
      <c r="I12" s="23"/>
      <c r="J12" s="23">
        <f>J8*J10</f>
        <v>86.760781209552263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0.22729048496086568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424.88758016330144</v>
      </c>
      <c r="C26" s="249">
        <f>B26*'GWP N2O_CH4'!B5</f>
        <v>8922.6391834293299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199.82814193383737</v>
      </c>
      <c r="C27" s="249">
        <f>B27*'GWP N2O_CH4'!B5</f>
        <v>4196.3909806105848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5.7183284819556084</v>
      </c>
      <c r="C28" s="249">
        <f>B28*'GWP N2O_CH4'!B4</f>
        <v>1772.6818294062386</v>
      </c>
      <c r="D28" s="50"/>
    </row>
    <row r="29" spans="1:4">
      <c r="A29" s="41" t="s">
        <v>276</v>
      </c>
      <c r="B29" s="249">
        <f>B34*'ha_N2O bodem landbouw'!B4</f>
        <v>12.217036143296578</v>
      </c>
      <c r="C29" s="249">
        <f>B29*'GWP N2O_CH4'!B4</f>
        <v>3787.2812044219395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3.0504718489488439E-3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4.37796817865581E-5</v>
      </c>
      <c r="C5" s="444" t="s">
        <v>210</v>
      </c>
      <c r="D5" s="429">
        <f>SUM(D6:D11)</f>
        <v>6.8279918178499487E-5</v>
      </c>
      <c r="E5" s="429">
        <f>SUM(E6:E11)</f>
        <v>2.7768156688819691E-3</v>
      </c>
      <c r="F5" s="442" t="s">
        <v>210</v>
      </c>
      <c r="G5" s="429">
        <f>SUM(G6:G11)</f>
        <v>1.075278773057402</v>
      </c>
      <c r="H5" s="429">
        <f>SUM(H6:H11)</f>
        <v>0.12856767372559924</v>
      </c>
      <c r="I5" s="444" t="s">
        <v>210</v>
      </c>
      <c r="J5" s="444" t="s">
        <v>210</v>
      </c>
      <c r="K5" s="444" t="s">
        <v>210</v>
      </c>
      <c r="L5" s="444" t="s">
        <v>210</v>
      </c>
      <c r="M5" s="429">
        <f>SUM(M6:M11)</f>
        <v>5.4410470326327363E-2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1.39939879597936E-5</v>
      </c>
      <c r="C6" s="883"/>
      <c r="D6" s="883">
        <f>vkm_GW_PW*SUMIFS(TableVerdeelsleutelVkm[CNG],TableVerdeelsleutelVkm[Voertuigtype],"Lichte voertuigen")*SUMIFS(TableECFTransport[EnergieConsumptieFactor (PJ per km)],TableECFTransport[Index],CONCATENATE($A6,"_CNG_CNG"))</f>
        <v>2.0738673336751834E-5</v>
      </c>
      <c r="E6" s="883">
        <f>vkm_GW_PW*SUMIFS(TableVerdeelsleutelVkm[LPG],TableVerdeelsleutelVkm[Voertuigtype],"Lichte voertuigen")*SUMIFS(TableECFTransport[EnergieConsumptieFactor (PJ per km)],TableECFTransport[Index],CONCATENATE($A6,"_LPG_LPG"))</f>
        <v>7.4278349902310822E-4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0.14948741367763418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3.8188696515644507E-2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8.490363515545175E-3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0.1125966312067983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2.616109003351929E-6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5.0839136477749862E-3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3.3602830601824998E-6</v>
      </c>
      <c r="C8" s="883"/>
      <c r="D8" s="432">
        <f>vkm_NGW_PW*SUMIFS(TableVerdeelsleutelVkm[CNG],TableVerdeelsleutelVkm[Voertuigtype],"Lichte voertuigen")*SUMIFS(TableECFTransport[EnergieConsumptieFactor (PJ per km)],TableECFTransport[Index],CONCATENATE($A8,"_CNG_CNG"))</f>
        <v>8.4509126540599193E-6</v>
      </c>
      <c r="E8" s="432">
        <f>vkm_NGW_PW*SUMIFS(TableVerdeelsleutelVkm[LPG],TableVerdeelsleutelVkm[Voertuigtype],"Lichte voertuigen")*SUMIFS(TableECFTransport[EnergieConsumptieFactor (PJ per km)],TableECFTransport[Index],CONCATENATE($A8,"_LPG_LPG"))</f>
        <v>2.8620387311431718E-4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5.4714757840677704E-2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1.4953429630996716E-2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3.1520900367237362E-3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2.6687928576675436E-2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7.1872509528879469E-7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1.2050061287965305E-3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2.6425410766582002E-5</v>
      </c>
      <c r="C10" s="883"/>
      <c r="D10" s="432">
        <f>vkm_SW_PW*SUMIFS(TableVerdeelsleutelVkm[CNG],TableVerdeelsleutelVkm[Voertuigtype],"Lichte voertuigen")*SUMIFS(TableECFTransport[EnergieConsumptieFactor (PJ per km)],TableECFTransport[Index],CONCATENATE($A10,"_CNG_CNG"))</f>
        <v>3.9090332187687731E-5</v>
      </c>
      <c r="E10" s="432">
        <f>vkm_SW_PW*SUMIFS(TableVerdeelsleutelVkm[LPG],TableVerdeelsleutelVkm[Voertuigtype],"Lichte voertuigen")*SUMIFS(TableECFTransport[EnergieConsumptieFactor (PJ per km)],TableECFTransport[Index],CONCATENATE($A10,"_LPG_LPG"))</f>
        <v>1.7478282967445435E-3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0.31887774308203637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7.5411979276715821E-2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1.7835342745273815E-2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0.4129142986735802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1.0233468143544575E-5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1.8643754252213117E-2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12.161022718488361</v>
      </c>
      <c r="C14" s="21"/>
      <c r="D14" s="21">
        <f t="shared" ref="D14:M14" si="0">((D5)*10^9/3600)+D12</f>
        <v>18.966643938472078</v>
      </c>
      <c r="E14" s="21">
        <f t="shared" si="0"/>
        <v>771.33768580054698</v>
      </c>
      <c r="F14" s="21"/>
      <c r="G14" s="21">
        <f t="shared" si="0"/>
        <v>298688.54807150061</v>
      </c>
      <c r="H14" s="21">
        <f t="shared" si="0"/>
        <v>35713.242701555348</v>
      </c>
      <c r="I14" s="21"/>
      <c r="J14" s="21"/>
      <c r="K14" s="21"/>
      <c r="L14" s="21"/>
      <c r="M14" s="21">
        <f t="shared" si="0"/>
        <v>15114.019535090934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0.20853750809035054</v>
      </c>
      <c r="C16" s="56">
        <f ca="1">'EF ele_warmte'!B22</f>
        <v>0.23748674954225696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2.5360293735437032</v>
      </c>
      <c r="C18" s="23"/>
      <c r="D18" s="23">
        <f t="shared" ref="D18:M18" si="1">D14*D16</f>
        <v>3.83126207557136</v>
      </c>
      <c r="E18" s="23">
        <f t="shared" si="1"/>
        <v>175.09365467672416</v>
      </c>
      <c r="F18" s="23"/>
      <c r="G18" s="23">
        <f t="shared" si="1"/>
        <v>79749.842335090667</v>
      </c>
      <c r="H18" s="23">
        <f t="shared" si="1"/>
        <v>8892.597432687282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2.8884997948503003E-3</v>
      </c>
      <c r="H50" s="321">
        <f t="shared" si="2"/>
        <v>0</v>
      </c>
      <c r="I50" s="321">
        <f t="shared" si="2"/>
        <v>0</v>
      </c>
      <c r="J50" s="321">
        <f t="shared" si="2"/>
        <v>0</v>
      </c>
      <c r="K50" s="321">
        <f t="shared" si="2"/>
        <v>0</v>
      </c>
      <c r="L50" s="321">
        <f t="shared" si="2"/>
        <v>0</v>
      </c>
      <c r="M50" s="321">
        <f t="shared" si="2"/>
        <v>1.285695155020907E-4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2.8884997948503003E-3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1.285695155020907E-4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802.36105412508334</v>
      </c>
      <c r="H54" s="21">
        <f t="shared" si="3"/>
        <v>0</v>
      </c>
      <c r="I54" s="21">
        <f t="shared" si="3"/>
        <v>0</v>
      </c>
      <c r="J54" s="21">
        <f t="shared" si="3"/>
        <v>0</v>
      </c>
      <c r="K54" s="21">
        <f t="shared" si="3"/>
        <v>0</v>
      </c>
      <c r="L54" s="21">
        <f t="shared" si="3"/>
        <v>0</v>
      </c>
      <c r="M54" s="21">
        <f t="shared" si="3"/>
        <v>35.713754306136302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0.20853750809035054</v>
      </c>
      <c r="C56" s="56">
        <f ca="1">'EF ele_warmte'!B22</f>
        <v>0.23748674954225696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214.23040145139726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29652.900398159603</v>
      </c>
      <c r="D10" s="686">
        <f ca="1">tertiair!C16</f>
        <v>1314.6428571428571</v>
      </c>
      <c r="E10" s="686">
        <f ca="1">tertiair!D16</f>
        <v>12222.725573307118</v>
      </c>
      <c r="F10" s="686">
        <f>tertiair!E16</f>
        <v>355.69213662187144</v>
      </c>
      <c r="G10" s="686">
        <f ca="1">tertiair!F16</f>
        <v>5337.9317297896378</v>
      </c>
      <c r="H10" s="686">
        <f>tertiair!G16</f>
        <v>0</v>
      </c>
      <c r="I10" s="686">
        <f>tertiair!H16</f>
        <v>0</v>
      </c>
      <c r="J10" s="686">
        <f>tertiair!I16</f>
        <v>0</v>
      </c>
      <c r="K10" s="686">
        <f>tertiair!J16</f>
        <v>0</v>
      </c>
      <c r="L10" s="686">
        <f>tertiair!K16</f>
        <v>0</v>
      </c>
      <c r="M10" s="686">
        <f ca="1">tertiair!L16</f>
        <v>0</v>
      </c>
      <c r="N10" s="686">
        <f>tertiair!M16</f>
        <v>0</v>
      </c>
      <c r="O10" s="686">
        <f ca="1">tertiair!N16</f>
        <v>1694.1392967494558</v>
      </c>
      <c r="P10" s="686">
        <f>tertiair!O16</f>
        <v>1.5633333333333335</v>
      </c>
      <c r="Q10" s="687">
        <f>tertiair!P16</f>
        <v>19.066666666666666</v>
      </c>
      <c r="R10" s="689">
        <f ca="1">SUM(C10:Q10)</f>
        <v>50598.661991770539</v>
      </c>
      <c r="S10" s="67"/>
    </row>
    <row r="11" spans="1:19" s="454" customFormat="1">
      <c r="A11" s="801" t="s">
        <v>224</v>
      </c>
      <c r="B11" s="806"/>
      <c r="C11" s="686">
        <f>huishoudens!B8</f>
        <v>24775.337063534</v>
      </c>
      <c r="D11" s="686">
        <f>huishoudens!C8</f>
        <v>0</v>
      </c>
      <c r="E11" s="686">
        <f>huishoudens!D8</f>
        <v>20627.611895833186</v>
      </c>
      <c r="F11" s="686">
        <f>huishoudens!E8</f>
        <v>2484.9823053997575</v>
      </c>
      <c r="G11" s="686">
        <f>huishoudens!F8</f>
        <v>40613.531205788138</v>
      </c>
      <c r="H11" s="686">
        <f>huishoudens!G8</f>
        <v>0</v>
      </c>
      <c r="I11" s="686">
        <f>huishoudens!H8</f>
        <v>0</v>
      </c>
      <c r="J11" s="686">
        <f>huishoudens!I8</f>
        <v>0</v>
      </c>
      <c r="K11" s="686">
        <f>huishoudens!J8</f>
        <v>1073.2605786470892</v>
      </c>
      <c r="L11" s="686">
        <f>huishoudens!K8</f>
        <v>0</v>
      </c>
      <c r="M11" s="686">
        <f>huishoudens!L8</f>
        <v>0</v>
      </c>
      <c r="N11" s="686">
        <f>huishoudens!M8</f>
        <v>0</v>
      </c>
      <c r="O11" s="686">
        <f>huishoudens!N8</f>
        <v>12151.476666143411</v>
      </c>
      <c r="P11" s="686">
        <f>huishoudens!O8</f>
        <v>179.78333333333333</v>
      </c>
      <c r="Q11" s="687">
        <f>huishoudens!P8</f>
        <v>838.93333333333339</v>
      </c>
      <c r="R11" s="689">
        <f>SUM(C11:Q11)</f>
        <v>102744.91638201228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46896.032952523288</v>
      </c>
      <c r="D13" s="686">
        <f>industrie!C18</f>
        <v>0</v>
      </c>
      <c r="E13" s="686">
        <f>industrie!D18</f>
        <v>39947.673751819035</v>
      </c>
      <c r="F13" s="686">
        <f>industrie!E18</f>
        <v>3140.4208793669941</v>
      </c>
      <c r="G13" s="686">
        <f>industrie!F18</f>
        <v>13314.999463537366</v>
      </c>
      <c r="H13" s="686">
        <f>industrie!G18</f>
        <v>0</v>
      </c>
      <c r="I13" s="686">
        <f>industrie!H18</f>
        <v>0</v>
      </c>
      <c r="J13" s="686">
        <f>industrie!I18</f>
        <v>0</v>
      </c>
      <c r="K13" s="686">
        <f>industrie!J18</f>
        <v>105.09446030318976</v>
      </c>
      <c r="L13" s="686">
        <f>industrie!K18</f>
        <v>0</v>
      </c>
      <c r="M13" s="686">
        <f>industrie!L18</f>
        <v>0</v>
      </c>
      <c r="N13" s="686">
        <f>industrie!M18</f>
        <v>0</v>
      </c>
      <c r="O13" s="686">
        <f>industrie!N18</f>
        <v>2760.840687385753</v>
      </c>
      <c r="P13" s="686">
        <f>industrie!O18</f>
        <v>0</v>
      </c>
      <c r="Q13" s="687">
        <f>industrie!P18</f>
        <v>0</v>
      </c>
      <c r="R13" s="689">
        <f>SUM(C13:Q13)</f>
        <v>106165.06219493566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101324.27041421688</v>
      </c>
      <c r="D16" s="721">
        <f t="shared" ref="D16:R16" ca="1" si="0">SUM(D9:D15)</f>
        <v>1314.6428571428571</v>
      </c>
      <c r="E16" s="721">
        <f t="shared" ca="1" si="0"/>
        <v>72798.011220959335</v>
      </c>
      <c r="F16" s="721">
        <f t="shared" si="0"/>
        <v>5981.0953213886232</v>
      </c>
      <c r="G16" s="721">
        <f t="shared" ca="1" si="0"/>
        <v>59266.462399115138</v>
      </c>
      <c r="H16" s="721">
        <f t="shared" si="0"/>
        <v>0</v>
      </c>
      <c r="I16" s="721">
        <f t="shared" si="0"/>
        <v>0</v>
      </c>
      <c r="J16" s="721">
        <f t="shared" si="0"/>
        <v>0</v>
      </c>
      <c r="K16" s="721">
        <f t="shared" si="0"/>
        <v>1178.3550389502791</v>
      </c>
      <c r="L16" s="721">
        <f t="shared" si="0"/>
        <v>0</v>
      </c>
      <c r="M16" s="721">
        <f t="shared" ca="1" si="0"/>
        <v>0</v>
      </c>
      <c r="N16" s="721">
        <f t="shared" si="0"/>
        <v>0</v>
      </c>
      <c r="O16" s="721">
        <f t="shared" ca="1" si="0"/>
        <v>16606.456650278618</v>
      </c>
      <c r="P16" s="721">
        <f t="shared" si="0"/>
        <v>181.34666666666666</v>
      </c>
      <c r="Q16" s="721">
        <f t="shared" si="0"/>
        <v>858.00000000000011</v>
      </c>
      <c r="R16" s="721">
        <f t="shared" ca="1" si="0"/>
        <v>259508.64056871846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802.36105412508334</v>
      </c>
      <c r="I19" s="686">
        <f>transport!H54</f>
        <v>0</v>
      </c>
      <c r="J19" s="686">
        <f>transport!I54</f>
        <v>0</v>
      </c>
      <c r="K19" s="686">
        <f>transport!J54</f>
        <v>0</v>
      </c>
      <c r="L19" s="686">
        <f>transport!K54</f>
        <v>0</v>
      </c>
      <c r="M19" s="686">
        <f>transport!L54</f>
        <v>0</v>
      </c>
      <c r="N19" s="686">
        <f>transport!M54</f>
        <v>35.713754306136302</v>
      </c>
      <c r="O19" s="686">
        <f>transport!N54</f>
        <v>0</v>
      </c>
      <c r="P19" s="686">
        <f>transport!O54</f>
        <v>0</v>
      </c>
      <c r="Q19" s="687">
        <f>transport!P54</f>
        <v>0</v>
      </c>
      <c r="R19" s="689">
        <f>SUM(C19:Q19)</f>
        <v>838.07480843121959</v>
      </c>
      <c r="S19" s="67"/>
    </row>
    <row r="20" spans="1:19" s="454" customFormat="1">
      <c r="A20" s="801" t="s">
        <v>306</v>
      </c>
      <c r="B20" s="806"/>
      <c r="C20" s="686">
        <f>transport!B14</f>
        <v>12.161022718488361</v>
      </c>
      <c r="D20" s="686">
        <f>transport!C14</f>
        <v>0</v>
      </c>
      <c r="E20" s="686">
        <f>transport!D14</f>
        <v>18.966643938472078</v>
      </c>
      <c r="F20" s="686">
        <f>transport!E14</f>
        <v>771.33768580054698</v>
      </c>
      <c r="G20" s="686">
        <f>transport!F14</f>
        <v>0</v>
      </c>
      <c r="H20" s="686">
        <f>transport!G14</f>
        <v>298688.54807150061</v>
      </c>
      <c r="I20" s="686">
        <f>transport!H14</f>
        <v>35713.242701555348</v>
      </c>
      <c r="J20" s="686">
        <f>transport!I14</f>
        <v>0</v>
      </c>
      <c r="K20" s="686">
        <f>transport!J14</f>
        <v>0</v>
      </c>
      <c r="L20" s="686">
        <f>transport!K14</f>
        <v>0</v>
      </c>
      <c r="M20" s="686">
        <f>transport!L14</f>
        <v>0</v>
      </c>
      <c r="N20" s="686">
        <f>transport!M14</f>
        <v>15114.019535090934</v>
      </c>
      <c r="O20" s="686">
        <f>transport!N14</f>
        <v>0</v>
      </c>
      <c r="P20" s="686">
        <f>transport!O14</f>
        <v>0</v>
      </c>
      <c r="Q20" s="687">
        <f>transport!P14</f>
        <v>0</v>
      </c>
      <c r="R20" s="689">
        <f>SUM(C20:Q20)</f>
        <v>350318.27566060441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12.161022718488361</v>
      </c>
      <c r="D22" s="804">
        <f t="shared" ref="D22:R22" si="1">SUM(D18:D21)</f>
        <v>0</v>
      </c>
      <c r="E22" s="804">
        <f t="shared" si="1"/>
        <v>18.966643938472078</v>
      </c>
      <c r="F22" s="804">
        <f t="shared" si="1"/>
        <v>771.33768580054698</v>
      </c>
      <c r="G22" s="804">
        <f t="shared" si="1"/>
        <v>0</v>
      </c>
      <c r="H22" s="804">
        <f t="shared" si="1"/>
        <v>299490.90912562568</v>
      </c>
      <c r="I22" s="804">
        <f t="shared" si="1"/>
        <v>35713.242701555348</v>
      </c>
      <c r="J22" s="804">
        <f t="shared" si="1"/>
        <v>0</v>
      </c>
      <c r="K22" s="804">
        <f t="shared" si="1"/>
        <v>0</v>
      </c>
      <c r="L22" s="804">
        <f t="shared" si="1"/>
        <v>0</v>
      </c>
      <c r="M22" s="804">
        <f t="shared" si="1"/>
        <v>0</v>
      </c>
      <c r="N22" s="804">
        <f t="shared" si="1"/>
        <v>15149.733289397071</v>
      </c>
      <c r="O22" s="804">
        <f t="shared" si="1"/>
        <v>0</v>
      </c>
      <c r="P22" s="804">
        <f t="shared" si="1"/>
        <v>0</v>
      </c>
      <c r="Q22" s="804">
        <f t="shared" si="1"/>
        <v>0</v>
      </c>
      <c r="R22" s="804">
        <f t="shared" si="1"/>
        <v>351156.35046903562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1629.6906797817335</v>
      </c>
      <c r="D24" s="686">
        <f>+landbouw!C8</f>
        <v>0</v>
      </c>
      <c r="E24" s="686">
        <f>+landbouw!D8</f>
        <v>985.3339661403312</v>
      </c>
      <c r="F24" s="686">
        <f>+landbouw!E8</f>
        <v>20.536202033710538</v>
      </c>
      <c r="G24" s="686">
        <f>+landbouw!F8</f>
        <v>5622.8411071569162</v>
      </c>
      <c r="H24" s="686">
        <f>+landbouw!G8</f>
        <v>0</v>
      </c>
      <c r="I24" s="686">
        <f>+landbouw!H8</f>
        <v>0</v>
      </c>
      <c r="J24" s="686">
        <f>+landbouw!I8</f>
        <v>0</v>
      </c>
      <c r="K24" s="686">
        <f>+landbouw!J8</f>
        <v>245.0869525693567</v>
      </c>
      <c r="L24" s="686">
        <f>+landbouw!K8</f>
        <v>0</v>
      </c>
      <c r="M24" s="686">
        <f>+landbouw!L8</f>
        <v>0</v>
      </c>
      <c r="N24" s="686">
        <f>+landbouw!M8</f>
        <v>0</v>
      </c>
      <c r="O24" s="686">
        <f>+landbouw!N8</f>
        <v>0</v>
      </c>
      <c r="P24" s="686">
        <f>+landbouw!O8</f>
        <v>0</v>
      </c>
      <c r="Q24" s="687">
        <f>+landbouw!P8</f>
        <v>0</v>
      </c>
      <c r="R24" s="689">
        <f>SUM(C24:Q24)</f>
        <v>8503.4889076820473</v>
      </c>
      <c r="S24" s="67"/>
    </row>
    <row r="25" spans="1:19" s="454" customFormat="1" ht="15" thickBot="1">
      <c r="A25" s="823" t="s">
        <v>856</v>
      </c>
      <c r="B25" s="991"/>
      <c r="C25" s="992">
        <f>IF(Onbekend_ele_kWh="---",0,Onbekend_ele_kWh)/1000+IF(REST_rest_ele_kWh="---",0,REST_rest_ele_kWh)/1000</f>
        <v>830.40546950422993</v>
      </c>
      <c r="D25" s="992"/>
      <c r="E25" s="992">
        <f>IF(onbekend_gas_kWh="---",0,onbekend_gas_kWh)/1000+IF(REST_rest_gas_kWh="---",0,REST_rest_gas_kWh)/1000</f>
        <v>833.72655525623009</v>
      </c>
      <c r="F25" s="992"/>
      <c r="G25" s="992"/>
      <c r="H25" s="992"/>
      <c r="I25" s="992"/>
      <c r="J25" s="992"/>
      <c r="K25" s="992"/>
      <c r="L25" s="992"/>
      <c r="M25" s="992"/>
      <c r="N25" s="992"/>
      <c r="O25" s="992"/>
      <c r="P25" s="992"/>
      <c r="Q25" s="993"/>
      <c r="R25" s="689">
        <f>SUM(C25:Q25)</f>
        <v>1664.1320247604599</v>
      </c>
      <c r="S25" s="67"/>
    </row>
    <row r="26" spans="1:19" s="454" customFormat="1" ht="15.75" thickBot="1">
      <c r="A26" s="694" t="s">
        <v>857</v>
      </c>
      <c r="B26" s="809"/>
      <c r="C26" s="804">
        <f>SUM(C24:C25)</f>
        <v>2460.0961492859633</v>
      </c>
      <c r="D26" s="804">
        <f t="shared" ref="D26:R26" si="2">SUM(D24:D25)</f>
        <v>0</v>
      </c>
      <c r="E26" s="804">
        <f t="shared" si="2"/>
        <v>1819.0605213965614</v>
      </c>
      <c r="F26" s="804">
        <f t="shared" si="2"/>
        <v>20.536202033710538</v>
      </c>
      <c r="G26" s="804">
        <f t="shared" si="2"/>
        <v>5622.8411071569162</v>
      </c>
      <c r="H26" s="804">
        <f t="shared" si="2"/>
        <v>0</v>
      </c>
      <c r="I26" s="804">
        <f t="shared" si="2"/>
        <v>0</v>
      </c>
      <c r="J26" s="804">
        <f t="shared" si="2"/>
        <v>0</v>
      </c>
      <c r="K26" s="804">
        <f t="shared" si="2"/>
        <v>245.0869525693567</v>
      </c>
      <c r="L26" s="804">
        <f t="shared" si="2"/>
        <v>0</v>
      </c>
      <c r="M26" s="804">
        <f t="shared" si="2"/>
        <v>0</v>
      </c>
      <c r="N26" s="804">
        <f t="shared" si="2"/>
        <v>0</v>
      </c>
      <c r="O26" s="804">
        <f t="shared" si="2"/>
        <v>0</v>
      </c>
      <c r="P26" s="804">
        <f t="shared" si="2"/>
        <v>0</v>
      </c>
      <c r="Q26" s="804">
        <f t="shared" si="2"/>
        <v>0</v>
      </c>
      <c r="R26" s="804">
        <f t="shared" si="2"/>
        <v>10167.620932442507</v>
      </c>
      <c r="S26" s="67"/>
    </row>
    <row r="27" spans="1:19" s="454" customFormat="1" ht="17.25" thickTop="1" thickBot="1">
      <c r="A27" s="695" t="s">
        <v>115</v>
      </c>
      <c r="B27" s="796"/>
      <c r="C27" s="696">
        <f ca="1">C22+C16+C26</f>
        <v>103796.52758622133</v>
      </c>
      <c r="D27" s="696">
        <f t="shared" ref="D27:R27" ca="1" si="3">D22+D16+D26</f>
        <v>1314.6428571428571</v>
      </c>
      <c r="E27" s="696">
        <f t="shared" ca="1" si="3"/>
        <v>74636.038386294371</v>
      </c>
      <c r="F27" s="696">
        <f t="shared" si="3"/>
        <v>6772.9692092228806</v>
      </c>
      <c r="G27" s="696">
        <f t="shared" ca="1" si="3"/>
        <v>64889.303506272052</v>
      </c>
      <c r="H27" s="696">
        <f t="shared" si="3"/>
        <v>299490.90912562568</v>
      </c>
      <c r="I27" s="696">
        <f t="shared" si="3"/>
        <v>35713.242701555348</v>
      </c>
      <c r="J27" s="696">
        <f t="shared" si="3"/>
        <v>0</v>
      </c>
      <c r="K27" s="696">
        <f t="shared" si="3"/>
        <v>1423.4419915196358</v>
      </c>
      <c r="L27" s="696">
        <f t="shared" si="3"/>
        <v>0</v>
      </c>
      <c r="M27" s="696">
        <f t="shared" ca="1" si="3"/>
        <v>0</v>
      </c>
      <c r="N27" s="696">
        <f t="shared" si="3"/>
        <v>15149.733289397071</v>
      </c>
      <c r="O27" s="696">
        <f t="shared" ca="1" si="3"/>
        <v>16606.456650278618</v>
      </c>
      <c r="P27" s="696">
        <f t="shared" si="3"/>
        <v>181.34666666666666</v>
      </c>
      <c r="Q27" s="696">
        <f t="shared" si="3"/>
        <v>858.00000000000011</v>
      </c>
      <c r="R27" s="696">
        <f t="shared" ca="1" si="3"/>
        <v>620832.61197019659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6183.741956683567</v>
      </c>
      <c r="D40" s="686">
        <f ca="1">tertiair!C20</f>
        <v>312.21025895180281</v>
      </c>
      <c r="E40" s="686">
        <f ca="1">tertiair!D20</f>
        <v>2468.9905658080379</v>
      </c>
      <c r="F40" s="686">
        <f>tertiair!E20</f>
        <v>80.74211501316482</v>
      </c>
      <c r="G40" s="686">
        <f ca="1">tertiair!F20</f>
        <v>1425.2277718538335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10470.912668310406</v>
      </c>
    </row>
    <row r="41" spans="1:18">
      <c r="A41" s="814" t="s">
        <v>224</v>
      </c>
      <c r="B41" s="821"/>
      <c r="C41" s="686">
        <f ca="1">huishoudens!B12</f>
        <v>5166.587053327883</v>
      </c>
      <c r="D41" s="686">
        <f ca="1">huishoudens!C12</f>
        <v>0</v>
      </c>
      <c r="E41" s="686">
        <f>huishoudens!D12</f>
        <v>4166.7776029583038</v>
      </c>
      <c r="F41" s="686">
        <f>huishoudens!E12</f>
        <v>564.09098332574501</v>
      </c>
      <c r="G41" s="686">
        <f>huishoudens!F12</f>
        <v>10843.812831945434</v>
      </c>
      <c r="H41" s="686">
        <f>huishoudens!G12</f>
        <v>0</v>
      </c>
      <c r="I41" s="686">
        <f>huishoudens!H12</f>
        <v>0</v>
      </c>
      <c r="J41" s="686">
        <f>huishoudens!I12</f>
        <v>0</v>
      </c>
      <c r="K41" s="686">
        <f>huishoudens!J12</f>
        <v>379.93424484106959</v>
      </c>
      <c r="L41" s="686">
        <f>huishoudens!K12</f>
        <v>0</v>
      </c>
      <c r="M41" s="686">
        <f>huishoudens!L12</f>
        <v>0</v>
      </c>
      <c r="N41" s="686">
        <f>huishoudens!M12</f>
        <v>0</v>
      </c>
      <c r="O41" s="686">
        <f>huishoudens!N12</f>
        <v>0</v>
      </c>
      <c r="P41" s="686">
        <f>huishoudens!O12</f>
        <v>0</v>
      </c>
      <c r="Q41" s="763">
        <f>huishoudens!P12</f>
        <v>0</v>
      </c>
      <c r="R41" s="842">
        <f t="shared" ca="1" si="4"/>
        <v>21121.202716398431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9779.5818512421702</v>
      </c>
      <c r="D43" s="686">
        <f ca="1">industrie!C22</f>
        <v>0</v>
      </c>
      <c r="E43" s="686">
        <f>industrie!D22</f>
        <v>8069.4300978674455</v>
      </c>
      <c r="F43" s="686">
        <f>industrie!E22</f>
        <v>712.87553961630772</v>
      </c>
      <c r="G43" s="686">
        <f>industrie!F22</f>
        <v>3555.1048567644771</v>
      </c>
      <c r="H43" s="686">
        <f>industrie!G22</f>
        <v>0</v>
      </c>
      <c r="I43" s="686">
        <f>industrie!H22</f>
        <v>0</v>
      </c>
      <c r="J43" s="686">
        <f>industrie!I22</f>
        <v>0</v>
      </c>
      <c r="K43" s="686">
        <f>industrie!J22</f>
        <v>37.203438947329175</v>
      </c>
      <c r="L43" s="686">
        <f>industrie!K22</f>
        <v>0</v>
      </c>
      <c r="M43" s="686">
        <f>industrie!L22</f>
        <v>0</v>
      </c>
      <c r="N43" s="686">
        <f>industrie!M22</f>
        <v>0</v>
      </c>
      <c r="O43" s="686">
        <f>industrie!N22</f>
        <v>0</v>
      </c>
      <c r="P43" s="686">
        <f>industrie!O22</f>
        <v>0</v>
      </c>
      <c r="Q43" s="763">
        <f>industrie!P22</f>
        <v>0</v>
      </c>
      <c r="R43" s="841">
        <f t="shared" ca="1" si="4"/>
        <v>22154.195784437728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21129.910861253622</v>
      </c>
      <c r="D46" s="721">
        <f t="shared" ref="D46:Q46" ca="1" si="5">SUM(D39:D45)</f>
        <v>312.21025895180281</v>
      </c>
      <c r="E46" s="721">
        <f t="shared" ca="1" si="5"/>
        <v>14705.198266633786</v>
      </c>
      <c r="F46" s="721">
        <f t="shared" si="5"/>
        <v>1357.7086379552175</v>
      </c>
      <c r="G46" s="721">
        <f t="shared" ca="1" si="5"/>
        <v>15824.145460563745</v>
      </c>
      <c r="H46" s="721">
        <f t="shared" si="5"/>
        <v>0</v>
      </c>
      <c r="I46" s="721">
        <f t="shared" si="5"/>
        <v>0</v>
      </c>
      <c r="J46" s="721">
        <f t="shared" si="5"/>
        <v>0</v>
      </c>
      <c r="K46" s="721">
        <f t="shared" si="5"/>
        <v>417.13768378839876</v>
      </c>
      <c r="L46" s="721">
        <f t="shared" si="5"/>
        <v>0</v>
      </c>
      <c r="M46" s="721">
        <f t="shared" ca="1" si="5"/>
        <v>0</v>
      </c>
      <c r="N46" s="721">
        <f t="shared" si="5"/>
        <v>0</v>
      </c>
      <c r="O46" s="721">
        <f t="shared" ca="1" si="5"/>
        <v>0</v>
      </c>
      <c r="P46" s="721">
        <f t="shared" si="5"/>
        <v>0</v>
      </c>
      <c r="Q46" s="721">
        <f t="shared" si="5"/>
        <v>0</v>
      </c>
      <c r="R46" s="721">
        <f ca="1">SUM(R39:R45)</f>
        <v>53746.31116914656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214.23040145139726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214.23040145139726</v>
      </c>
    </row>
    <row r="50" spans="1:18">
      <c r="A50" s="817" t="s">
        <v>306</v>
      </c>
      <c r="B50" s="827"/>
      <c r="C50" s="692">
        <f ca="1">transport!B18</f>
        <v>2.5360293735437032</v>
      </c>
      <c r="D50" s="692">
        <f>transport!C18</f>
        <v>0</v>
      </c>
      <c r="E50" s="692">
        <f>transport!D18</f>
        <v>3.83126207557136</v>
      </c>
      <c r="F50" s="692">
        <f>transport!E18</f>
        <v>175.09365467672416</v>
      </c>
      <c r="G50" s="692">
        <f>transport!F18</f>
        <v>0</v>
      </c>
      <c r="H50" s="692">
        <f>transport!G18</f>
        <v>79749.842335090667</v>
      </c>
      <c r="I50" s="692">
        <f>transport!H18</f>
        <v>8892.597432687282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88823.900713903786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2.5360293735437032</v>
      </c>
      <c r="D52" s="721">
        <f t="shared" ref="D52:Q52" ca="1" si="6">SUM(D48:D51)</f>
        <v>0</v>
      </c>
      <c r="E52" s="721">
        <f t="shared" si="6"/>
        <v>3.83126207557136</v>
      </c>
      <c r="F52" s="721">
        <f t="shared" si="6"/>
        <v>175.09365467672416</v>
      </c>
      <c r="G52" s="721">
        <f t="shared" si="6"/>
        <v>0</v>
      </c>
      <c r="H52" s="721">
        <f t="shared" si="6"/>
        <v>79964.072736542061</v>
      </c>
      <c r="I52" s="721">
        <f t="shared" si="6"/>
        <v>8892.597432687282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89038.13111535518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339.85163331975212</v>
      </c>
      <c r="D54" s="692">
        <f ca="1">+landbouw!C12</f>
        <v>0</v>
      </c>
      <c r="E54" s="692">
        <f>+landbouw!D12</f>
        <v>199.03746116034691</v>
      </c>
      <c r="F54" s="692">
        <f>+landbouw!E12</f>
        <v>4.6617178616522921</v>
      </c>
      <c r="G54" s="692">
        <f>+landbouw!F12</f>
        <v>1501.2985756108967</v>
      </c>
      <c r="H54" s="692">
        <f>+landbouw!G12</f>
        <v>0</v>
      </c>
      <c r="I54" s="692">
        <f>+landbouw!H12</f>
        <v>0</v>
      </c>
      <c r="J54" s="692">
        <f>+landbouw!I12</f>
        <v>0</v>
      </c>
      <c r="K54" s="692">
        <f>+landbouw!J12</f>
        <v>86.760781209552263</v>
      </c>
      <c r="L54" s="692">
        <f>+landbouw!K12</f>
        <v>0</v>
      </c>
      <c r="M54" s="692">
        <f>+landbouw!L12</f>
        <v>0</v>
      </c>
      <c r="N54" s="692">
        <f>+landbouw!M12</f>
        <v>0</v>
      </c>
      <c r="O54" s="692">
        <f>+landbouw!N12</f>
        <v>0</v>
      </c>
      <c r="P54" s="692">
        <f>+landbouw!O12</f>
        <v>0</v>
      </c>
      <c r="Q54" s="693">
        <f>+landbouw!P12</f>
        <v>0</v>
      </c>
      <c r="R54" s="720">
        <f ca="1">SUM(C54:Q54)</f>
        <v>2131.6101691622002</v>
      </c>
    </row>
    <row r="55" spans="1:18" ht="15" thickBot="1">
      <c r="A55" s="817" t="s">
        <v>856</v>
      </c>
      <c r="B55" s="827"/>
      <c r="C55" s="692">
        <f ca="1">C25*'EF ele_warmte'!B12</f>
        <v>173.1706873150097</v>
      </c>
      <c r="D55" s="692"/>
      <c r="E55" s="692">
        <f>E25*EF_CO2_aardgas</f>
        <v>168.41276416175847</v>
      </c>
      <c r="F55" s="692"/>
      <c r="G55" s="692"/>
      <c r="H55" s="692"/>
      <c r="I55" s="692"/>
      <c r="J55" s="692"/>
      <c r="K55" s="692"/>
      <c r="L55" s="692"/>
      <c r="M55" s="692"/>
      <c r="N55" s="692"/>
      <c r="O55" s="692"/>
      <c r="P55" s="692"/>
      <c r="Q55" s="693"/>
      <c r="R55" s="720">
        <f ca="1">SUM(C55:Q55)</f>
        <v>341.58345147676818</v>
      </c>
    </row>
    <row r="56" spans="1:18" ht="15.75" thickBot="1">
      <c r="A56" s="815" t="s">
        <v>857</v>
      </c>
      <c r="B56" s="828"/>
      <c r="C56" s="721">
        <f ca="1">SUM(C54:C55)</f>
        <v>513.02232063476185</v>
      </c>
      <c r="D56" s="721">
        <f t="shared" ref="D56:Q56" ca="1" si="7">SUM(D54:D55)</f>
        <v>0</v>
      </c>
      <c r="E56" s="721">
        <f t="shared" si="7"/>
        <v>367.45022532210538</v>
      </c>
      <c r="F56" s="721">
        <f t="shared" si="7"/>
        <v>4.6617178616522921</v>
      </c>
      <c r="G56" s="721">
        <f t="shared" si="7"/>
        <v>1501.2985756108967</v>
      </c>
      <c r="H56" s="721">
        <f t="shared" si="7"/>
        <v>0</v>
      </c>
      <c r="I56" s="721">
        <f t="shared" si="7"/>
        <v>0</v>
      </c>
      <c r="J56" s="721">
        <f t="shared" si="7"/>
        <v>0</v>
      </c>
      <c r="K56" s="721">
        <f t="shared" si="7"/>
        <v>86.760781209552263</v>
      </c>
      <c r="L56" s="721">
        <f t="shared" si="7"/>
        <v>0</v>
      </c>
      <c r="M56" s="721">
        <f t="shared" si="7"/>
        <v>0</v>
      </c>
      <c r="N56" s="721">
        <f t="shared" si="7"/>
        <v>0</v>
      </c>
      <c r="O56" s="721">
        <f t="shared" si="7"/>
        <v>0</v>
      </c>
      <c r="P56" s="721">
        <f t="shared" si="7"/>
        <v>0</v>
      </c>
      <c r="Q56" s="722">
        <f t="shared" si="7"/>
        <v>0</v>
      </c>
      <c r="R56" s="723">
        <f ca="1">SUM(R54:R55)</f>
        <v>2473.1936206389682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21645.469211261927</v>
      </c>
      <c r="D61" s="729">
        <f t="shared" ref="D61:Q61" ca="1" si="8">D46+D52+D56</f>
        <v>312.21025895180281</v>
      </c>
      <c r="E61" s="729">
        <f t="shared" ca="1" si="8"/>
        <v>15076.479754031463</v>
      </c>
      <c r="F61" s="729">
        <f t="shared" si="8"/>
        <v>1537.4640104935938</v>
      </c>
      <c r="G61" s="729">
        <f t="shared" ca="1" si="8"/>
        <v>17325.444036174642</v>
      </c>
      <c r="H61" s="729">
        <f t="shared" si="8"/>
        <v>79964.072736542061</v>
      </c>
      <c r="I61" s="729">
        <f t="shared" si="8"/>
        <v>8892.597432687282</v>
      </c>
      <c r="J61" s="729">
        <f t="shared" si="8"/>
        <v>0</v>
      </c>
      <c r="K61" s="729">
        <f t="shared" si="8"/>
        <v>503.89846499795101</v>
      </c>
      <c r="L61" s="729">
        <f t="shared" si="8"/>
        <v>0</v>
      </c>
      <c r="M61" s="729">
        <f t="shared" ca="1" si="8"/>
        <v>0</v>
      </c>
      <c r="N61" s="729">
        <f t="shared" si="8"/>
        <v>0</v>
      </c>
      <c r="O61" s="729">
        <f t="shared" ca="1" si="8"/>
        <v>0</v>
      </c>
      <c r="P61" s="729">
        <f t="shared" si="8"/>
        <v>0</v>
      </c>
      <c r="Q61" s="729">
        <f t="shared" si="8"/>
        <v>0</v>
      </c>
      <c r="R61" s="729">
        <f ca="1">R46+R52+R56</f>
        <v>145257.63590514072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0.20853750809035057</v>
      </c>
      <c r="D63" s="772">
        <f t="shared" ca="1" si="9"/>
        <v>0.23748674954225696</v>
      </c>
      <c r="E63" s="998">
        <f t="shared" ca="1" si="9"/>
        <v>0.20200000000000001</v>
      </c>
      <c r="F63" s="772">
        <f t="shared" si="9"/>
        <v>0.22699999999999998</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5921.0400028366712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909</v>
      </c>
      <c r="D76" s="1008">
        <f>'lokale energieproductie'!C8</f>
        <v>1068.6903729401563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215.87545533391159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5921.0400028366712</v>
      </c>
      <c r="C78" s="744">
        <f>SUM(C72:C77)</f>
        <v>909</v>
      </c>
      <c r="D78" s="745">
        <f t="shared" ref="D78:H78" si="10">SUM(D76:D77)</f>
        <v>1068.6903729401563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215.87545533391159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1314.6428571428571</v>
      </c>
      <c r="D87" s="766">
        <f>'lokale energieproductie'!C17</f>
        <v>1545.5953413455584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312.21025895180281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1314.6428571428571</v>
      </c>
      <c r="D90" s="744">
        <f t="shared" ref="D90:H90" si="12">SUM(D87:D89)</f>
        <v>1545.5953413455584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312.21025895180281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5921.0400028366712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909</v>
      </c>
      <c r="C8" s="556">
        <f>B51</f>
        <v>1068.6903729401563</v>
      </c>
      <c r="D8" s="1015"/>
      <c r="E8" s="1015">
        <f>E51</f>
        <v>0</v>
      </c>
      <c r="F8" s="1016"/>
      <c r="G8" s="557"/>
      <c r="H8" s="1015">
        <f>I51</f>
        <v>0</v>
      </c>
      <c r="I8" s="1015">
        <f>G51+F51</f>
        <v>0</v>
      </c>
      <c r="J8" s="1015">
        <f>H51+D51+C51</f>
        <v>0</v>
      </c>
      <c r="K8" s="1015"/>
      <c r="L8" s="1015"/>
      <c r="M8" s="1015"/>
      <c r="N8" s="558"/>
      <c r="O8" s="559">
        <f>C8*$C$12+D8*$D$12+E8*$E$12+F8*$F$12+G8*$G$12+H8*$H$12+I8*$I$12+J8*$J$12</f>
        <v>215.87545533391159</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6830.0400028366712</v>
      </c>
      <c r="C10" s="569">
        <f t="shared" ref="C10:L10" si="0">SUM(C8:C9)</f>
        <v>1068.6903729401563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215.87545533391159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1314.6428571428571</v>
      </c>
      <c r="C17" s="581">
        <f>B52</f>
        <v>1545.5953413455584</v>
      </c>
      <c r="D17" s="582"/>
      <c r="E17" s="582">
        <f>E52</f>
        <v>0</v>
      </c>
      <c r="F17" s="1021"/>
      <c r="G17" s="583"/>
      <c r="H17" s="581">
        <f>I52</f>
        <v>0</v>
      </c>
      <c r="I17" s="582">
        <f>G52+F52</f>
        <v>0</v>
      </c>
      <c r="J17" s="582">
        <f>H52+D52+C52</f>
        <v>0</v>
      </c>
      <c r="K17" s="582"/>
      <c r="L17" s="582"/>
      <c r="M17" s="582"/>
      <c r="N17" s="1022"/>
      <c r="O17" s="584">
        <f>C17*$C$22+E17*$E$22+H17*$H$22+I17*$I$22+J17*$J$22+D17*$D$22+F17*$F$22+G17*$G$22+K17*$K$22+L17*$L$22</f>
        <v>312.21025895180281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1314.6428571428571</v>
      </c>
      <c r="C20" s="568">
        <f>SUM(C17:C19)</f>
        <v>1545.5953413455584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312.21025895180281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44048</v>
      </c>
      <c r="C28" s="787">
        <v>9810</v>
      </c>
      <c r="D28" s="640" t="s">
        <v>920</v>
      </c>
      <c r="E28" s="639" t="s">
        <v>921</v>
      </c>
      <c r="F28" s="639" t="s">
        <v>922</v>
      </c>
      <c r="G28" s="639" t="s">
        <v>923</v>
      </c>
      <c r="H28" s="639" t="s">
        <v>924</v>
      </c>
      <c r="I28" s="639" t="s">
        <v>925</v>
      </c>
      <c r="J28" s="786">
        <v>39785</v>
      </c>
      <c r="K28" s="786">
        <v>40544</v>
      </c>
      <c r="L28" s="639" t="s">
        <v>926</v>
      </c>
      <c r="M28" s="639">
        <v>80</v>
      </c>
      <c r="N28" s="639">
        <v>360</v>
      </c>
      <c r="O28" s="639">
        <v>514.28571428571433</v>
      </c>
      <c r="P28" s="639">
        <v>1028.5714285714287</v>
      </c>
      <c r="Q28" s="639">
        <v>0</v>
      </c>
      <c r="R28" s="639">
        <v>0</v>
      </c>
      <c r="S28" s="639">
        <v>0</v>
      </c>
      <c r="T28" s="639">
        <v>0</v>
      </c>
      <c r="U28" s="639">
        <v>0</v>
      </c>
      <c r="V28" s="639">
        <v>0</v>
      </c>
      <c r="W28" s="639">
        <v>0</v>
      </c>
      <c r="X28" s="639">
        <v>1500</v>
      </c>
      <c r="Y28" s="639" t="s">
        <v>50</v>
      </c>
      <c r="Z28" s="641" t="s">
        <v>155</v>
      </c>
    </row>
    <row r="29" spans="1:26" s="593" customFormat="1" ht="25.5">
      <c r="A29" s="592"/>
      <c r="B29" s="787">
        <v>44048</v>
      </c>
      <c r="C29" s="787">
        <v>9810</v>
      </c>
      <c r="D29" s="640" t="s">
        <v>927</v>
      </c>
      <c r="E29" s="639" t="s">
        <v>928</v>
      </c>
      <c r="F29" s="639" t="s">
        <v>929</v>
      </c>
      <c r="G29" s="639" t="s">
        <v>923</v>
      </c>
      <c r="H29" s="639" t="s">
        <v>924</v>
      </c>
      <c r="I29" s="639" t="s">
        <v>928</v>
      </c>
      <c r="J29" s="786">
        <v>39800</v>
      </c>
      <c r="K29" s="786">
        <v>40087</v>
      </c>
      <c r="L29" s="639" t="s">
        <v>926</v>
      </c>
      <c r="M29" s="639">
        <v>120</v>
      </c>
      <c r="N29" s="639">
        <v>540</v>
      </c>
      <c r="O29" s="639">
        <v>771.42857142857144</v>
      </c>
      <c r="P29" s="639">
        <v>1542.8571428571429</v>
      </c>
      <c r="Q29" s="639">
        <v>0</v>
      </c>
      <c r="R29" s="639">
        <v>0</v>
      </c>
      <c r="S29" s="639">
        <v>0</v>
      </c>
      <c r="T29" s="639">
        <v>0</v>
      </c>
      <c r="U29" s="639">
        <v>0</v>
      </c>
      <c r="V29" s="639">
        <v>0</v>
      </c>
      <c r="W29" s="639">
        <v>0</v>
      </c>
      <c r="X29" s="639">
        <v>1100</v>
      </c>
      <c r="Y29" s="639" t="s">
        <v>51</v>
      </c>
      <c r="Z29" s="641" t="s">
        <v>155</v>
      </c>
    </row>
    <row r="30" spans="1:26" s="593" customFormat="1" ht="63.75">
      <c r="A30" s="592"/>
      <c r="B30" s="787">
        <v>44048</v>
      </c>
      <c r="C30" s="787">
        <v>9810</v>
      </c>
      <c r="D30" s="640" t="s">
        <v>930</v>
      </c>
      <c r="E30" s="639" t="s">
        <v>931</v>
      </c>
      <c r="F30" s="639" t="s">
        <v>932</v>
      </c>
      <c r="G30" s="639" t="s">
        <v>933</v>
      </c>
      <c r="H30" s="639" t="s">
        <v>924</v>
      </c>
      <c r="I30" s="639" t="s">
        <v>931</v>
      </c>
      <c r="J30" s="786">
        <v>40471</v>
      </c>
      <c r="K30" s="786">
        <v>40848</v>
      </c>
      <c r="L30" s="639" t="s">
        <v>926</v>
      </c>
      <c r="M30" s="639">
        <v>1</v>
      </c>
      <c r="N30" s="639">
        <v>4.5</v>
      </c>
      <c r="O30" s="639">
        <v>6.4285714285714288</v>
      </c>
      <c r="P30" s="639">
        <v>12.857142857142858</v>
      </c>
      <c r="Q30" s="639">
        <v>0</v>
      </c>
      <c r="R30" s="639">
        <v>0</v>
      </c>
      <c r="S30" s="639">
        <v>0</v>
      </c>
      <c r="T30" s="639">
        <v>0</v>
      </c>
      <c r="U30" s="639">
        <v>0</v>
      </c>
      <c r="V30" s="639">
        <v>0</v>
      </c>
      <c r="W30" s="639">
        <v>0</v>
      </c>
      <c r="X30" s="639">
        <v>1600</v>
      </c>
      <c r="Y30" s="639" t="s">
        <v>49</v>
      </c>
      <c r="Z30" s="641" t="s">
        <v>155</v>
      </c>
    </row>
    <row r="31" spans="1:26" s="593" customFormat="1" ht="63.75">
      <c r="A31" s="592"/>
      <c r="B31" s="787">
        <v>44048</v>
      </c>
      <c r="C31" s="787">
        <v>9810</v>
      </c>
      <c r="D31" s="640" t="s">
        <v>934</v>
      </c>
      <c r="E31" s="639" t="s">
        <v>935</v>
      </c>
      <c r="F31" s="639" t="s">
        <v>936</v>
      </c>
      <c r="G31" s="639" t="s">
        <v>933</v>
      </c>
      <c r="H31" s="639" t="s">
        <v>933</v>
      </c>
      <c r="I31" s="639" t="s">
        <v>935</v>
      </c>
      <c r="J31" s="786">
        <v>40535</v>
      </c>
      <c r="K31" s="786">
        <v>40634</v>
      </c>
      <c r="L31" s="639" t="s">
        <v>926</v>
      </c>
      <c r="M31" s="639">
        <v>1</v>
      </c>
      <c r="N31" s="639">
        <v>4.5</v>
      </c>
      <c r="O31" s="639">
        <v>22.5</v>
      </c>
      <c r="P31" s="639">
        <v>30</v>
      </c>
      <c r="Q31" s="639">
        <v>0</v>
      </c>
      <c r="R31" s="639">
        <v>0</v>
      </c>
      <c r="S31" s="639">
        <v>0</v>
      </c>
      <c r="T31" s="639">
        <v>0</v>
      </c>
      <c r="U31" s="639">
        <v>0</v>
      </c>
      <c r="V31" s="639">
        <v>0</v>
      </c>
      <c r="W31" s="639">
        <v>0</v>
      </c>
      <c r="X31" s="639">
        <v>1600</v>
      </c>
      <c r="Y31" s="639" t="s">
        <v>49</v>
      </c>
      <c r="Z31" s="641" t="s">
        <v>155</v>
      </c>
    </row>
    <row r="32" spans="1:26" s="576" customFormat="1">
      <c r="A32" s="595" t="s">
        <v>279</v>
      </c>
      <c r="B32" s="596"/>
      <c r="C32" s="596"/>
      <c r="D32" s="596"/>
      <c r="E32" s="596"/>
      <c r="F32" s="596"/>
      <c r="G32" s="596"/>
      <c r="H32" s="596"/>
      <c r="I32" s="596"/>
      <c r="J32" s="596"/>
      <c r="K32" s="596"/>
      <c r="L32" s="597"/>
      <c r="M32" s="597">
        <f>SUM(M28:M31)</f>
        <v>202</v>
      </c>
      <c r="N32" s="597">
        <f>SUM(N28:N31)</f>
        <v>909</v>
      </c>
      <c r="O32" s="597">
        <f>SUM(O28:O31)</f>
        <v>1314.6428571428571</v>
      </c>
      <c r="P32" s="597">
        <f>SUM(P28:P31)</f>
        <v>2614.2857142857142</v>
      </c>
      <c r="Q32" s="597">
        <f>SUM(Q28:Q31)</f>
        <v>0</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202</v>
      </c>
      <c r="N34" s="597">
        <f ca="1">SUMIF($Z$28:AD31,"tertiair",N28:N31)</f>
        <v>909</v>
      </c>
      <c r="O34" s="597">
        <f ca="1">SUMIF($Z$28:AE31,"tertiair",O28:O31)</f>
        <v>1314.6428571428571</v>
      </c>
      <c r="P34" s="597">
        <f ca="1">SUMIF($Z$28:AF31,"tertiair",P28:P31)</f>
        <v>2614.2857142857142</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0</v>
      </c>
      <c r="N35" s="602">
        <f>SUMIF($Z$28:$Z$31,"landbouw",N28:N31)</f>
        <v>0</v>
      </c>
      <c r="O35" s="602">
        <f>SUMIF($Z$28:$Z$31,"landbouw",O28:O31)</f>
        <v>0</v>
      </c>
      <c r="P35" s="602">
        <f>SUMIF($Z$28:$Z$31,"landbouw",P28:P31)</f>
        <v>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0.5912113327551316</v>
      </c>
      <c r="C48" s="622">
        <f>IF(ISERROR(N32/(O32+N32)),0,N32/(N32+O32))</f>
        <v>0.40878866724486851</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1068.6903729401563</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1545.5953413455584</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24775.337063534</v>
      </c>
      <c r="C4" s="458">
        <f>huishoudens!C8</f>
        <v>0</v>
      </c>
      <c r="D4" s="458">
        <f>huishoudens!D8</f>
        <v>20627.611895833186</v>
      </c>
      <c r="E4" s="458">
        <f>huishoudens!E8</f>
        <v>2484.9823053997575</v>
      </c>
      <c r="F4" s="458">
        <f>huishoudens!F8</f>
        <v>40613.531205788138</v>
      </c>
      <c r="G4" s="458">
        <f>huishoudens!G8</f>
        <v>0</v>
      </c>
      <c r="H4" s="458">
        <f>huishoudens!H8</f>
        <v>0</v>
      </c>
      <c r="I4" s="458">
        <f>huishoudens!I8</f>
        <v>0</v>
      </c>
      <c r="J4" s="458">
        <f>huishoudens!J8</f>
        <v>1073.2605786470892</v>
      </c>
      <c r="K4" s="458">
        <f>huishoudens!K8</f>
        <v>0</v>
      </c>
      <c r="L4" s="458">
        <f>huishoudens!L8</f>
        <v>0</v>
      </c>
      <c r="M4" s="458">
        <f>huishoudens!M8</f>
        <v>0</v>
      </c>
      <c r="N4" s="458">
        <f>huishoudens!N8</f>
        <v>12151.476666143411</v>
      </c>
      <c r="O4" s="458">
        <f>huishoudens!O8</f>
        <v>179.78333333333333</v>
      </c>
      <c r="P4" s="459">
        <f>huishoudens!P8</f>
        <v>838.93333333333339</v>
      </c>
      <c r="Q4" s="460">
        <f>SUM(B4:P4)</f>
        <v>102744.91638201228</v>
      </c>
    </row>
    <row r="5" spans="1:17">
      <c r="A5" s="457" t="s">
        <v>155</v>
      </c>
      <c r="B5" s="458">
        <f ca="1">tertiair!B16</f>
        <v>28641.478398159605</v>
      </c>
      <c r="C5" s="458">
        <f ca="1">tertiair!C16</f>
        <v>1314.6428571428571</v>
      </c>
      <c r="D5" s="458">
        <f ca="1">tertiair!D16</f>
        <v>12222.725573307118</v>
      </c>
      <c r="E5" s="458">
        <f>tertiair!E16</f>
        <v>355.69213662187144</v>
      </c>
      <c r="F5" s="458">
        <f ca="1">tertiair!F16</f>
        <v>5337.9317297896378</v>
      </c>
      <c r="G5" s="458">
        <f>tertiair!G16</f>
        <v>0</v>
      </c>
      <c r="H5" s="458">
        <f>tertiair!H16</f>
        <v>0</v>
      </c>
      <c r="I5" s="458">
        <f>tertiair!I16</f>
        <v>0</v>
      </c>
      <c r="J5" s="458">
        <f>tertiair!J16</f>
        <v>0</v>
      </c>
      <c r="K5" s="458">
        <f>tertiair!K16</f>
        <v>0</v>
      </c>
      <c r="L5" s="458">
        <f ca="1">tertiair!L16</f>
        <v>0</v>
      </c>
      <c r="M5" s="458">
        <f>tertiair!M16</f>
        <v>0</v>
      </c>
      <c r="N5" s="458">
        <f ca="1">tertiair!N16</f>
        <v>1694.1392967494558</v>
      </c>
      <c r="O5" s="458">
        <f>tertiair!O16</f>
        <v>1.5633333333333335</v>
      </c>
      <c r="P5" s="459">
        <f>tertiair!P16</f>
        <v>19.066666666666666</v>
      </c>
      <c r="Q5" s="457">
        <f t="shared" ref="Q5:Q14" ca="1" si="0">SUM(B5:P5)</f>
        <v>49587.239991770548</v>
      </c>
    </row>
    <row r="6" spans="1:17">
      <c r="A6" s="457" t="s">
        <v>193</v>
      </c>
      <c r="B6" s="458">
        <f>'openbare verlichting'!B8</f>
        <v>1011.422</v>
      </c>
      <c r="C6" s="458"/>
      <c r="D6" s="458"/>
      <c r="E6" s="458"/>
      <c r="F6" s="458"/>
      <c r="G6" s="458"/>
      <c r="H6" s="458"/>
      <c r="I6" s="458"/>
      <c r="J6" s="458"/>
      <c r="K6" s="458"/>
      <c r="L6" s="458"/>
      <c r="M6" s="458"/>
      <c r="N6" s="458"/>
      <c r="O6" s="458"/>
      <c r="P6" s="459"/>
      <c r="Q6" s="457">
        <f t="shared" si="0"/>
        <v>1011.422</v>
      </c>
    </row>
    <row r="7" spans="1:17">
      <c r="A7" s="457" t="s">
        <v>111</v>
      </c>
      <c r="B7" s="458">
        <f>landbouw!B8</f>
        <v>1629.6906797817335</v>
      </c>
      <c r="C7" s="458">
        <f>landbouw!C8</f>
        <v>0</v>
      </c>
      <c r="D7" s="458">
        <f>landbouw!D8</f>
        <v>985.3339661403312</v>
      </c>
      <c r="E7" s="458">
        <f>landbouw!E8</f>
        <v>20.536202033710538</v>
      </c>
      <c r="F7" s="458">
        <f>landbouw!F8</f>
        <v>5622.8411071569162</v>
      </c>
      <c r="G7" s="458">
        <f>landbouw!G8</f>
        <v>0</v>
      </c>
      <c r="H7" s="458">
        <f>landbouw!H8</f>
        <v>0</v>
      </c>
      <c r="I7" s="458">
        <f>landbouw!I8</f>
        <v>0</v>
      </c>
      <c r="J7" s="458">
        <f>landbouw!J8</f>
        <v>245.0869525693567</v>
      </c>
      <c r="K7" s="458">
        <f>landbouw!K8</f>
        <v>0</v>
      </c>
      <c r="L7" s="458">
        <f>landbouw!L8</f>
        <v>0</v>
      </c>
      <c r="M7" s="458">
        <f>landbouw!M8</f>
        <v>0</v>
      </c>
      <c r="N7" s="458">
        <f>landbouw!N8</f>
        <v>0</v>
      </c>
      <c r="O7" s="458">
        <f>landbouw!O8</f>
        <v>0</v>
      </c>
      <c r="P7" s="459">
        <f>landbouw!P8</f>
        <v>0</v>
      </c>
      <c r="Q7" s="457">
        <f t="shared" si="0"/>
        <v>8503.4889076820473</v>
      </c>
    </row>
    <row r="8" spans="1:17">
      <c r="A8" s="457" t="s">
        <v>655</v>
      </c>
      <c r="B8" s="458">
        <f>industrie!B18</f>
        <v>46896.032952523288</v>
      </c>
      <c r="C8" s="458">
        <f>industrie!C18</f>
        <v>0</v>
      </c>
      <c r="D8" s="458">
        <f>industrie!D18</f>
        <v>39947.673751819035</v>
      </c>
      <c r="E8" s="458">
        <f>industrie!E18</f>
        <v>3140.4208793669941</v>
      </c>
      <c r="F8" s="458">
        <f>industrie!F18</f>
        <v>13314.999463537366</v>
      </c>
      <c r="G8" s="458">
        <f>industrie!G18</f>
        <v>0</v>
      </c>
      <c r="H8" s="458">
        <f>industrie!H18</f>
        <v>0</v>
      </c>
      <c r="I8" s="458">
        <f>industrie!I18</f>
        <v>0</v>
      </c>
      <c r="J8" s="458">
        <f>industrie!J18</f>
        <v>105.09446030318976</v>
      </c>
      <c r="K8" s="458">
        <f>industrie!K18</f>
        <v>0</v>
      </c>
      <c r="L8" s="458">
        <f>industrie!L18</f>
        <v>0</v>
      </c>
      <c r="M8" s="458">
        <f>industrie!M18</f>
        <v>0</v>
      </c>
      <c r="N8" s="458">
        <f>industrie!N18</f>
        <v>2760.840687385753</v>
      </c>
      <c r="O8" s="458">
        <f>industrie!O18</f>
        <v>0</v>
      </c>
      <c r="P8" s="459">
        <f>industrie!P18</f>
        <v>0</v>
      </c>
      <c r="Q8" s="457">
        <f t="shared" si="0"/>
        <v>106165.06219493566</v>
      </c>
    </row>
    <row r="9" spans="1:17" s="463" customFormat="1">
      <c r="A9" s="461" t="s">
        <v>573</v>
      </c>
      <c r="B9" s="462">
        <f>transport!B14</f>
        <v>12.161022718488361</v>
      </c>
      <c r="C9" s="462">
        <f>transport!C14</f>
        <v>0</v>
      </c>
      <c r="D9" s="462">
        <f>transport!D14</f>
        <v>18.966643938472078</v>
      </c>
      <c r="E9" s="462">
        <f>transport!E14</f>
        <v>771.33768580054698</v>
      </c>
      <c r="F9" s="462">
        <f>transport!F14</f>
        <v>0</v>
      </c>
      <c r="G9" s="462">
        <f>transport!G14</f>
        <v>298688.54807150061</v>
      </c>
      <c r="H9" s="462">
        <f>transport!H14</f>
        <v>35713.242701555348</v>
      </c>
      <c r="I9" s="462">
        <f>transport!I14</f>
        <v>0</v>
      </c>
      <c r="J9" s="462">
        <f>transport!J14</f>
        <v>0</v>
      </c>
      <c r="K9" s="462">
        <f>transport!K14</f>
        <v>0</v>
      </c>
      <c r="L9" s="462">
        <f>transport!L14</f>
        <v>0</v>
      </c>
      <c r="M9" s="462">
        <f>transport!M14</f>
        <v>15114.019535090934</v>
      </c>
      <c r="N9" s="462">
        <f>transport!N14</f>
        <v>0</v>
      </c>
      <c r="O9" s="462">
        <f>transport!O14</f>
        <v>0</v>
      </c>
      <c r="P9" s="462">
        <f>transport!P14</f>
        <v>0</v>
      </c>
      <c r="Q9" s="461">
        <f>SUM(B9:P9)</f>
        <v>350318.27566060441</v>
      </c>
    </row>
    <row r="10" spans="1:17">
      <c r="A10" s="457" t="s">
        <v>563</v>
      </c>
      <c r="B10" s="458">
        <f>transport!B54</f>
        <v>0</v>
      </c>
      <c r="C10" s="458">
        <f>transport!C54</f>
        <v>0</v>
      </c>
      <c r="D10" s="458">
        <f>transport!D54</f>
        <v>0</v>
      </c>
      <c r="E10" s="458">
        <f>transport!E54</f>
        <v>0</v>
      </c>
      <c r="F10" s="458">
        <f>transport!F54</f>
        <v>0</v>
      </c>
      <c r="G10" s="458">
        <f>transport!G54</f>
        <v>802.36105412508334</v>
      </c>
      <c r="H10" s="458">
        <f>transport!H54</f>
        <v>0</v>
      </c>
      <c r="I10" s="458">
        <f>transport!I54</f>
        <v>0</v>
      </c>
      <c r="J10" s="458">
        <f>transport!J54</f>
        <v>0</v>
      </c>
      <c r="K10" s="458">
        <f>transport!K54</f>
        <v>0</v>
      </c>
      <c r="L10" s="458">
        <f>transport!L54</f>
        <v>0</v>
      </c>
      <c r="M10" s="458">
        <f>transport!M54</f>
        <v>35.713754306136302</v>
      </c>
      <c r="N10" s="458">
        <f>transport!N54</f>
        <v>0</v>
      </c>
      <c r="O10" s="458">
        <f>transport!O54</f>
        <v>0</v>
      </c>
      <c r="P10" s="459">
        <f>transport!P54</f>
        <v>0</v>
      </c>
      <c r="Q10" s="457">
        <f t="shared" si="0"/>
        <v>838.07480843121959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830.40546950422993</v>
      </c>
      <c r="C14" s="465"/>
      <c r="D14" s="465">
        <f>'SEAP template'!E25</f>
        <v>833.72655525623009</v>
      </c>
      <c r="E14" s="465"/>
      <c r="F14" s="465"/>
      <c r="G14" s="465"/>
      <c r="H14" s="465"/>
      <c r="I14" s="465"/>
      <c r="J14" s="465"/>
      <c r="K14" s="465"/>
      <c r="L14" s="465"/>
      <c r="M14" s="465"/>
      <c r="N14" s="465"/>
      <c r="O14" s="465"/>
      <c r="P14" s="466"/>
      <c r="Q14" s="457">
        <f t="shared" si="0"/>
        <v>1664.1320247604599</v>
      </c>
    </row>
    <row r="15" spans="1:17" s="470" customFormat="1">
      <c r="A15" s="467" t="s">
        <v>567</v>
      </c>
      <c r="B15" s="468">
        <f ca="1">SUM(B4:B14)</f>
        <v>103796.52758622135</v>
      </c>
      <c r="C15" s="468">
        <f t="shared" ref="C15:Q15" ca="1" si="1">SUM(C4:C14)</f>
        <v>1314.6428571428571</v>
      </c>
      <c r="D15" s="468">
        <f t="shared" ca="1" si="1"/>
        <v>74636.038386294371</v>
      </c>
      <c r="E15" s="468">
        <f t="shared" si="1"/>
        <v>6772.9692092228806</v>
      </c>
      <c r="F15" s="468">
        <f t="shared" ca="1" si="1"/>
        <v>64889.303506272052</v>
      </c>
      <c r="G15" s="468">
        <f t="shared" si="1"/>
        <v>299490.90912562568</v>
      </c>
      <c r="H15" s="468">
        <f t="shared" si="1"/>
        <v>35713.242701555348</v>
      </c>
      <c r="I15" s="468">
        <f t="shared" si="1"/>
        <v>0</v>
      </c>
      <c r="J15" s="468">
        <f t="shared" si="1"/>
        <v>1423.4419915196358</v>
      </c>
      <c r="K15" s="468">
        <f t="shared" si="1"/>
        <v>0</v>
      </c>
      <c r="L15" s="468">
        <f t="shared" ca="1" si="1"/>
        <v>0</v>
      </c>
      <c r="M15" s="468">
        <f t="shared" si="1"/>
        <v>15149.733289397071</v>
      </c>
      <c r="N15" s="468">
        <f t="shared" ca="1" si="1"/>
        <v>16606.456650278618</v>
      </c>
      <c r="O15" s="468">
        <f t="shared" si="1"/>
        <v>181.34666666666666</v>
      </c>
      <c r="P15" s="468">
        <f t="shared" si="1"/>
        <v>858.00000000000011</v>
      </c>
      <c r="Q15" s="468">
        <f t="shared" ca="1" si="1"/>
        <v>620832.61197019671</v>
      </c>
    </row>
    <row r="17" spans="1:17">
      <c r="A17" s="471" t="s">
        <v>568</v>
      </c>
      <c r="B17" s="777">
        <f ca="1">huishoudens!B10</f>
        <v>0.20853750809035054</v>
      </c>
      <c r="C17" s="777">
        <f ca="1">huishoudens!C10</f>
        <v>0.23748674954225696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5166.587053327883</v>
      </c>
      <c r="C22" s="458">
        <f t="shared" ref="C22:C32" ca="1" si="3">C4*$C$17</f>
        <v>0</v>
      </c>
      <c r="D22" s="458">
        <f t="shared" ref="D22:D32" si="4">D4*$D$17</f>
        <v>4166.7776029583038</v>
      </c>
      <c r="E22" s="458">
        <f t="shared" ref="E22:E32" si="5">E4*$E$17</f>
        <v>564.09098332574501</v>
      </c>
      <c r="F22" s="458">
        <f t="shared" ref="F22:F32" si="6">F4*$F$17</f>
        <v>10843.812831945434</v>
      </c>
      <c r="G22" s="458">
        <f t="shared" ref="G22:G32" si="7">G4*$G$17</f>
        <v>0</v>
      </c>
      <c r="H22" s="458">
        <f t="shared" ref="H22:H32" si="8">H4*$H$17</f>
        <v>0</v>
      </c>
      <c r="I22" s="458">
        <f t="shared" ref="I22:I32" si="9">I4*$I$17</f>
        <v>0</v>
      </c>
      <c r="J22" s="458">
        <f t="shared" ref="J22:J32" si="10">J4*$J$17</f>
        <v>379.93424484106959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21121.202716398431</v>
      </c>
    </row>
    <row r="23" spans="1:17">
      <c r="A23" s="457" t="s">
        <v>155</v>
      </c>
      <c r="B23" s="458">
        <f t="shared" ca="1" si="2"/>
        <v>5972.8225331758085</v>
      </c>
      <c r="C23" s="458">
        <f t="shared" ca="1" si="3"/>
        <v>312.21025895180281</v>
      </c>
      <c r="D23" s="458">
        <f t="shared" ca="1" si="4"/>
        <v>2468.9905658080379</v>
      </c>
      <c r="E23" s="458">
        <f t="shared" si="5"/>
        <v>80.74211501316482</v>
      </c>
      <c r="F23" s="458">
        <f t="shared" ca="1" si="6"/>
        <v>1425.2277718538335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10259.993244802648</v>
      </c>
    </row>
    <row r="24" spans="1:17">
      <c r="A24" s="457" t="s">
        <v>193</v>
      </c>
      <c r="B24" s="458">
        <f t="shared" ca="1" si="2"/>
        <v>210.91942350775852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210.91942350775852</v>
      </c>
    </row>
    <row r="25" spans="1:17">
      <c r="A25" s="457" t="s">
        <v>111</v>
      </c>
      <c r="B25" s="458">
        <f t="shared" ca="1" si="2"/>
        <v>339.85163331975212</v>
      </c>
      <c r="C25" s="458">
        <f t="shared" ca="1" si="3"/>
        <v>0</v>
      </c>
      <c r="D25" s="458">
        <f t="shared" si="4"/>
        <v>199.03746116034691</v>
      </c>
      <c r="E25" s="458">
        <f t="shared" si="5"/>
        <v>4.6617178616522921</v>
      </c>
      <c r="F25" s="458">
        <f t="shared" si="6"/>
        <v>1501.2985756108967</v>
      </c>
      <c r="G25" s="458">
        <f t="shared" si="7"/>
        <v>0</v>
      </c>
      <c r="H25" s="458">
        <f t="shared" si="8"/>
        <v>0</v>
      </c>
      <c r="I25" s="458">
        <f t="shared" si="9"/>
        <v>0</v>
      </c>
      <c r="J25" s="458">
        <f t="shared" si="10"/>
        <v>86.760781209552263</v>
      </c>
      <c r="K25" s="458">
        <f t="shared" si="11"/>
        <v>0</v>
      </c>
      <c r="L25" s="458">
        <f t="shared" si="12"/>
        <v>0</v>
      </c>
      <c r="M25" s="458">
        <f t="shared" si="13"/>
        <v>0</v>
      </c>
      <c r="N25" s="458">
        <f t="shared" si="14"/>
        <v>0</v>
      </c>
      <c r="O25" s="458">
        <f t="shared" si="15"/>
        <v>0</v>
      </c>
      <c r="P25" s="459">
        <f t="shared" si="16"/>
        <v>0</v>
      </c>
      <c r="Q25" s="457">
        <f t="shared" ca="1" si="17"/>
        <v>2131.6101691622002</v>
      </c>
    </row>
    <row r="26" spans="1:17">
      <c r="A26" s="457" t="s">
        <v>655</v>
      </c>
      <c r="B26" s="458">
        <f t="shared" ca="1" si="2"/>
        <v>9779.5818512421702</v>
      </c>
      <c r="C26" s="458">
        <f t="shared" ca="1" si="3"/>
        <v>0</v>
      </c>
      <c r="D26" s="458">
        <f t="shared" si="4"/>
        <v>8069.4300978674455</v>
      </c>
      <c r="E26" s="458">
        <f t="shared" si="5"/>
        <v>712.87553961630772</v>
      </c>
      <c r="F26" s="458">
        <f t="shared" si="6"/>
        <v>3555.1048567644771</v>
      </c>
      <c r="G26" s="458">
        <f t="shared" si="7"/>
        <v>0</v>
      </c>
      <c r="H26" s="458">
        <f t="shared" si="8"/>
        <v>0</v>
      </c>
      <c r="I26" s="458">
        <f t="shared" si="9"/>
        <v>0</v>
      </c>
      <c r="J26" s="458">
        <f t="shared" si="10"/>
        <v>37.203438947329175</v>
      </c>
      <c r="K26" s="458">
        <f t="shared" si="11"/>
        <v>0</v>
      </c>
      <c r="L26" s="458">
        <f t="shared" si="12"/>
        <v>0</v>
      </c>
      <c r="M26" s="458">
        <f t="shared" si="13"/>
        <v>0</v>
      </c>
      <c r="N26" s="458">
        <f t="shared" si="14"/>
        <v>0</v>
      </c>
      <c r="O26" s="458">
        <f t="shared" si="15"/>
        <v>0</v>
      </c>
      <c r="P26" s="459">
        <f t="shared" si="16"/>
        <v>0</v>
      </c>
      <c r="Q26" s="457">
        <f t="shared" ca="1" si="17"/>
        <v>22154.195784437728</v>
      </c>
    </row>
    <row r="27" spans="1:17" s="463" customFormat="1">
      <c r="A27" s="461" t="s">
        <v>573</v>
      </c>
      <c r="B27" s="771">
        <f t="shared" ca="1" si="2"/>
        <v>2.5360293735437032</v>
      </c>
      <c r="C27" s="462">
        <f t="shared" ca="1" si="3"/>
        <v>0</v>
      </c>
      <c r="D27" s="462">
        <f t="shared" si="4"/>
        <v>3.83126207557136</v>
      </c>
      <c r="E27" s="462">
        <f t="shared" si="5"/>
        <v>175.09365467672416</v>
      </c>
      <c r="F27" s="462">
        <f t="shared" si="6"/>
        <v>0</v>
      </c>
      <c r="G27" s="462">
        <f t="shared" si="7"/>
        <v>79749.842335090667</v>
      </c>
      <c r="H27" s="462">
        <f t="shared" si="8"/>
        <v>8892.597432687282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88823.900713903786</v>
      </c>
    </row>
    <row r="28" spans="1:17">
      <c r="A28" s="457" t="s">
        <v>563</v>
      </c>
      <c r="B28" s="458">
        <f t="shared" ca="1" si="2"/>
        <v>0</v>
      </c>
      <c r="C28" s="458">
        <f t="shared" ca="1" si="3"/>
        <v>0</v>
      </c>
      <c r="D28" s="458">
        <f t="shared" si="4"/>
        <v>0</v>
      </c>
      <c r="E28" s="458">
        <f t="shared" si="5"/>
        <v>0</v>
      </c>
      <c r="F28" s="458">
        <f t="shared" si="6"/>
        <v>0</v>
      </c>
      <c r="G28" s="458">
        <f t="shared" si="7"/>
        <v>214.23040145139726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214.23040145139726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173.1706873150097</v>
      </c>
      <c r="C32" s="458">
        <f t="shared" ca="1" si="3"/>
        <v>0</v>
      </c>
      <c r="D32" s="458">
        <f t="shared" si="4"/>
        <v>168.41276416175847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341.58345147676818</v>
      </c>
    </row>
    <row r="33" spans="1:17" s="470" customFormat="1">
      <c r="A33" s="467" t="s">
        <v>567</v>
      </c>
      <c r="B33" s="468">
        <f ca="1">SUM(B22:B32)</f>
        <v>21645.469211261923</v>
      </c>
      <c r="C33" s="468">
        <f t="shared" ref="C33:Q33" ca="1" si="18">SUM(C22:C32)</f>
        <v>312.21025895180281</v>
      </c>
      <c r="D33" s="468">
        <f t="shared" ca="1" si="18"/>
        <v>15076.479754031463</v>
      </c>
      <c r="E33" s="468">
        <f t="shared" si="18"/>
        <v>1537.4640104935941</v>
      </c>
      <c r="F33" s="468">
        <f t="shared" ca="1" si="18"/>
        <v>17325.444036174642</v>
      </c>
      <c r="G33" s="468">
        <f t="shared" si="18"/>
        <v>79964.072736542061</v>
      </c>
      <c r="H33" s="468">
        <f t="shared" si="18"/>
        <v>8892.597432687282</v>
      </c>
      <c r="I33" s="468">
        <f t="shared" si="18"/>
        <v>0</v>
      </c>
      <c r="J33" s="468">
        <f t="shared" si="18"/>
        <v>503.89846499795101</v>
      </c>
      <c r="K33" s="468">
        <f t="shared" si="18"/>
        <v>0</v>
      </c>
      <c r="L33" s="468">
        <f t="shared" ca="1" si="18"/>
        <v>0</v>
      </c>
      <c r="M33" s="468">
        <f t="shared" si="18"/>
        <v>0</v>
      </c>
      <c r="N33" s="468">
        <f t="shared" ca="1" si="18"/>
        <v>0</v>
      </c>
      <c r="O33" s="468">
        <f t="shared" si="18"/>
        <v>0</v>
      </c>
      <c r="P33" s="468">
        <f t="shared" si="18"/>
        <v>0</v>
      </c>
      <c r="Q33" s="468">
        <f t="shared" ca="1" si="18"/>
        <v>145257.63590514072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5921.0400028366712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909</v>
      </c>
      <c r="D8" s="1034">
        <f>'SEAP template'!D76</f>
        <v>1068.6903729401563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215.87545533391159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5921.0400028366712</v>
      </c>
      <c r="C10" s="1038">
        <f>SUM(C4:C9)</f>
        <v>909</v>
      </c>
      <c r="D10" s="1038">
        <f t="shared" ref="D10:H10" si="0">SUM(D8:D9)</f>
        <v>1068.6903729401563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215.87545533391159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0.20853750809035054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1314.6428571428571</v>
      </c>
      <c r="D17" s="1035">
        <f>'SEAP template'!D87</f>
        <v>1545.5953413455584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312.21025895180281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1314.6428571428571</v>
      </c>
      <c r="D20" s="1038">
        <f t="shared" ref="D20:H20" si="2">SUM(D17:D19)</f>
        <v>1545.5953413455584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312.21025895180281</v>
      </c>
    </row>
    <row r="22" spans="1:16">
      <c r="A22" s="471" t="s">
        <v>879</v>
      </c>
      <c r="B22" s="777" t="s">
        <v>873</v>
      </c>
      <c r="C22" s="777">
        <f ca="1">'EF ele_warmte'!B22</f>
        <v>0.23748674954225696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0.20853750809035054</v>
      </c>
      <c r="C17" s="508">
        <f ca="1">'EF ele_warmte'!B22</f>
        <v>0.23748674954225696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2020-06-20T16:21:49Z</dcterms:modified>
</cp:coreProperties>
</file>