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E9" i="18"/>
  <c r="D9" i="18"/>
  <c r="W42" i="18"/>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V39" i="18"/>
  <c r="J9" i="18" s="1"/>
  <c r="U39" i="18"/>
  <c r="T39" i="18"/>
  <c r="I9" i="18" s="1"/>
  <c r="S39" i="18"/>
  <c r="R39" i="18"/>
  <c r="Q39" i="18"/>
  <c r="P39" i="18"/>
  <c r="C9" i="18" s="1"/>
  <c r="O39" i="18"/>
  <c r="N39" i="18"/>
  <c r="B9" i="18" s="1"/>
  <c r="M39" i="18"/>
  <c r="W35" i="18"/>
  <c r="V35" i="18"/>
  <c r="U35" i="18"/>
  <c r="T35" i="18"/>
  <c r="S35" i="18"/>
  <c r="R35" i="18"/>
  <c r="Q35" i="18"/>
  <c r="P35" i="18"/>
  <c r="O35" i="18"/>
  <c r="N35" i="18"/>
  <c r="M35" i="18"/>
  <c r="W34" i="18"/>
  <c r="V34" i="18"/>
  <c r="U34" i="18"/>
  <c r="T34" i="18"/>
  <c r="S34" i="18"/>
  <c r="R34" i="18"/>
  <c r="Q34" i="18"/>
  <c r="P34" i="18"/>
  <c r="O34" i="18"/>
  <c r="N34" i="18"/>
  <c r="M34" i="18"/>
  <c r="W33" i="18"/>
  <c r="V33" i="18"/>
  <c r="U33" i="18"/>
  <c r="T33" i="18"/>
  <c r="S33" i="18"/>
  <c r="R33" i="18"/>
  <c r="Q33" i="18"/>
  <c r="P33" i="18"/>
  <c r="O33" i="18"/>
  <c r="N33" i="18"/>
  <c r="M33" i="18"/>
  <c r="W32" i="18"/>
  <c r="V32" i="18"/>
  <c r="U32" i="18"/>
  <c r="T32" i="18"/>
  <c r="S32" i="18"/>
  <c r="R32" i="18"/>
  <c r="Q32" i="18"/>
  <c r="P32" i="18"/>
  <c r="O32" i="18"/>
  <c r="B48" i="18" s="1"/>
  <c r="N32" i="18"/>
  <c r="B8" i="18" s="1"/>
  <c r="M32" i="18"/>
  <c r="G22" i="18"/>
  <c r="F22" i="18"/>
  <c r="E22" i="18"/>
  <c r="D22" i="18"/>
  <c r="C22" i="18"/>
  <c r="L20" i="18"/>
  <c r="D20" i="18"/>
  <c r="B17" i="18"/>
  <c r="G12" i="18"/>
  <c r="F12" i="18"/>
  <c r="E12" i="18"/>
  <c r="D12" i="18"/>
  <c r="C12" i="18"/>
  <c r="L10" i="18"/>
  <c r="K10" i="18"/>
  <c r="G10" i="18"/>
  <c r="D10" i="18"/>
  <c r="B6" i="18"/>
  <c r="B5" i="18"/>
  <c r="B4" i="18"/>
  <c r="I52" i="18" l="1"/>
  <c r="H17" i="18" s="1"/>
  <c r="G52" i="18"/>
  <c r="I17" i="18" s="1"/>
  <c r="I20" i="18" s="1"/>
  <c r="F52" i="18"/>
  <c r="C52" i="18"/>
  <c r="B52" i="18"/>
  <c r="C17" i="18" s="1"/>
  <c r="C20" i="18" s="1"/>
  <c r="B20" i="18"/>
  <c r="C48" i="18"/>
  <c r="E51" i="18" s="1"/>
  <c r="E8" i="18" s="1"/>
  <c r="E10" i="18" s="1"/>
  <c r="F20" i="18"/>
  <c r="O18" i="18"/>
  <c r="H20" i="18"/>
  <c r="G20" i="18"/>
  <c r="K20" i="18"/>
  <c r="B10" i="18"/>
  <c r="O19" i="18"/>
  <c r="O9" i="18"/>
  <c r="D52" i="18"/>
  <c r="H52" i="18"/>
  <c r="E52" i="18"/>
  <c r="E17" i="18" s="1"/>
  <c r="E20" i="18" s="1"/>
  <c r="N6" i="17"/>
  <c r="I51" i="18" l="1"/>
  <c r="H8" i="18" s="1"/>
  <c r="H10" i="18" s="1"/>
  <c r="G51" i="18"/>
  <c r="F51" i="18"/>
  <c r="D51" i="18"/>
  <c r="C51" i="18"/>
  <c r="H51" i="18"/>
  <c r="J8" i="18" s="1"/>
  <c r="J10" i="18" s="1"/>
  <c r="B51" i="18"/>
  <c r="C8" i="18" s="1"/>
  <c r="C10" i="18" s="1"/>
  <c r="J17" i="18"/>
  <c r="J20" i="18" s="1"/>
  <c r="L6" i="17"/>
  <c r="F6" i="17"/>
  <c r="D6" i="17"/>
  <c r="C6" i="17"/>
  <c r="N16" i="16"/>
  <c r="L16" i="16"/>
  <c r="F16" i="16"/>
  <c r="D16" i="16"/>
  <c r="C16" i="16"/>
  <c r="B16" i="16"/>
  <c r="B13" i="15"/>
  <c r="I8" i="18" l="1"/>
  <c r="I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L20" i="59"/>
  <c r="O8" i="18"/>
  <c r="O10" i="1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B7" i="48"/>
  <c r="C24" i="14"/>
  <c r="C26" i="14" s="1"/>
  <c r="C11" i="14"/>
  <c r="B4" i="48"/>
  <c r="P4" i="48"/>
  <c r="P22" i="48" s="1"/>
  <c r="Q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J20" i="15"/>
  <c r="K40" i="14" s="1"/>
  <c r="E20" i="15"/>
  <c r="F40" i="14" s="1"/>
  <c r="F10" i="14"/>
  <c r="R10" i="14" s="1"/>
  <c r="E5" i="48"/>
  <c r="N52" i="14"/>
  <c r="N61" i="14" s="1"/>
  <c r="H22" i="14"/>
  <c r="H27" i="14" s="1"/>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E33" i="48" s="1"/>
  <c r="F13" i="14"/>
  <c r="F16" i="14" s="1"/>
  <c r="F27" i="14" s="1"/>
  <c r="E8" i="48"/>
  <c r="E26" i="48" s="1"/>
  <c r="E22" i="16"/>
  <c r="F43" i="14" s="1"/>
  <c r="F46" i="14" s="1"/>
  <c r="F61" i="14" s="1"/>
  <c r="Q5" i="48"/>
  <c r="J22" i="16"/>
  <c r="K43" i="14" s="1"/>
  <c r="K46" i="14" s="1"/>
  <c r="K61" i="14" s="1"/>
  <c r="K63" i="14" s="1"/>
  <c r="K13" i="14"/>
  <c r="K16" i="14" s="1"/>
  <c r="K27" i="14" s="1"/>
  <c r="J8" i="48"/>
  <c r="E63" i="14"/>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<sst xmlns="http://schemas.openxmlformats.org/spreadsheetml/2006/main" count="2483" uniqueCount="937">
  <si>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</si>
  <si>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</si>
  <si>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</si>
  <si>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</si>
  <si>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</si>
  <si>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</si>
  <si>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</si>
  <si>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</si>
  <si>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</si>
  <si>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</si>
  <si>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</si>
  <si>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</si>
  <si>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</si>
  <si>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</si>
  <si>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</si>
  <si>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</si>
  <si>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</si>
  <si>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</si>
  <si>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</si>
  <si>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</si>
  <si>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</si>
  <si>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</si>
  <si>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</si>
  <si>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</si>
  <si>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</si>
  <si>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</si>
  <si>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</si>
  <si>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</si>
  <si>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</si>
  <si>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</si>
  <si>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</si>
  <si>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</si>
  <si>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</si>
  <si>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</si>
  <si>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</si>
  <si>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</si>
  <si>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</si>
  <si>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</si>
  <si>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</si>
  <si>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</si>
  <si>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</si>
  <si>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</si>
  <si>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</si>
  <si>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</si>
  <si>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</si>
  <si>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</si>
  <si>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</si>
  <si>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</si>
  <si>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</si>
  <si>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</si>
  <si>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</si>
  <si>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</si>
  <si>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</si>
  <si>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</si>
  <si>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</si>
  <si>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</si>
  <si>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</si>
  <si>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</si>
  <si>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</si>
  <si>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</si>
  <si>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</si>
  <si>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</si>
  <si>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</si>
  <si>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</si>
  <si>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</si>
  <si>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</si>
  <si>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</si>
  <si>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</si>
  <si>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</si>
  <si>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</si>
  <si>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</si>
  <si>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</si>
  <si>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</si>
  <si>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</si>
  <si>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</si>
  <si>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</si>
  <si>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</si>
  <si>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</si>
  <si>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</si>
  <si>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</si>
  <si>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</si>
  <si>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</si>
  <si>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</si>
  <si>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</si>
  <si>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</si>
  <si>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</si>
  <si>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</si>
  <si>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</si>
  <si>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</si>
  <si>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</si>
  <si>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</si>
  <si>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</si>
  <si>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</si>
  <si>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</si>
  <si>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</si>
  <si>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</si>
  <si>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</si>
  <si>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</si>
  <si>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</si>
  <si>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</si>
  <si>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</si>
  <si>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</si>
  <si>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</si>
  <si>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</si>
  <si>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</si>
  <si>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</si>
  <si>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</si>
  <si>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</si>
  <si>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</si>
  <si>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</si>
  <si>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</si>
  <si>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</si>
  <si>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</si>
  <si>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</si>
  <si>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</si>
  <si>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</si>
  <si>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</si>
  <si>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</si>
  <si>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</si>
  <si>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</si>
  <si>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</si>
  <si>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</si>
  <si>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</si>
  <si>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</si>
  <si>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</si>
  <si>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</si>
  <si>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</si>
  <si>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</si>
  <si>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</si>
  <si>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</si>
  <si>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</si>
  <si>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</si>
  <si>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</si>
  <si>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</si>
  <si>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</si>
  <si>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</si>
  <si>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</si>
  <si>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</si>
  <si>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</si>
  <si>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</si>
  <si>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</si>
  <si>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</si>
  <si>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</si>
  <si>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</si>
  <si>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</si>
  <si>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</si>
  <si>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</si>
  <si>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</si>
  <si>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</si>
  <si>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</si>
  <si>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</si>
  <si>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</si>
  <si>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</si>
  <si>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</si>
  <si>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</si>
  <si>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</si>
  <si>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</si>
  <si>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</si>
  <si>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</si>
  <si>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</si>
  <si>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</si>
  <si>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</si>
  <si>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</si>
  <si>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</si>
  <si>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</si>
  <si>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</si>
  <si>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</si>
  <si>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</si>
  <si>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</si>
  <si>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</si>
  <si>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</si>
  <si>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</si>
  <si>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</si>
  <si>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</si>
  <si>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</si>
  <si>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</si>
  <si>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</si>
  <si>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</si>
  <si>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</si>
  <si>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</si>
  <si>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</si>
  <si>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</si>
  <si>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</si>
  <si>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</si>
  <si>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</si>
  <si>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</si>
  <si>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</si>
  <si>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</si>
  <si>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</si>
  <si>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</si>
  <si>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</si>
  <si>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</si>
  <si>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</si>
  <si>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</si>
  <si>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</si>
  <si>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</si>
  <si>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</si>
  <si>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</si>
  <si>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</si>
  <si>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</si>
  <si>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</si>
  <si>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</si>
  <si>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</si>
  <si>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</si>
  <si>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</si>
  <si>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</si>
  <si>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</si>
  <si>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</si>
  <si>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</si>
  <si>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</si>
  <si>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</si>
  <si>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</si>
  <si>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</si>
  <si>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</si>
  <si>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</si>
  <si>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</si>
  <si>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</si>
  <si>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</si>
  <si>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</si>
  <si>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</si>
  <si>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</si>
  <si>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</si>
  <si>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</si>
  <si>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</si>
  <si>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</si>
  <si>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</si>
  <si>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</si>
  <si>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</si>
  <si>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</si>
  <si>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</si>
  <si>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</si>
  <si>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</si>
  <si>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</si>
  <si>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</si>
  <si>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</si>
  <si>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</si>
  <si>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</si>
  <si>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</si>
  <si>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</si>
  <si>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</si>
  <si>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</si>
  <si>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</si>
  <si>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</si>
  <si>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</si>
  <si>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</si>
  <si>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</si>
  <si>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</si>
  <si>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</si>
  <si>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</si>
  <si>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</si>
  <si>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</si>
  <si>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</si>
  <si>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</si>
  <si>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</si>
  <si>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</si>
  <si>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</si>
  <si>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</si>
  <si>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</si>
  <si>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</si>
  <si>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</si>
  <si>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</si>
  <si>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</si>
  <si>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</si>
  <si>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</si>
  <si>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</si>
  <si>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</si>
  <si>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</si>
  <si>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</si>
  <si>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</si>
  <si>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</si>
  <si>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</si>
  <si>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</si>
  <si>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</si>
  <si>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</si>
  <si>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</si>
  <si>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</si>
  <si>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</si>
  <si>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</si>
  <si>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</si>
  <si>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</si>
  <si>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</si>
  <si>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</si>
  <si>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</si>
  <si>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</si>
  <si>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</si>
  <si>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</si>
  <si>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</si>
  <si>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</si>
  <si>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</si>
  <si>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</si>
  <si>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</si>
  <si>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</si>
  <si>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</si>
  <si>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</si>
  <si>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</si>
  <si>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</si>
  <si>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</si>
  <si>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</si>
  <si>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</si>
  <si>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</si>
  <si>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</si>
  <si>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</si>
  <si>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</si>
  <si>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</si>
  <si>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</si>
  <si>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</si>
  <si>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</si>
  <si>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</si>
  <si>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</si>
  <si>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</si>
  <si>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</si>
  <si>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</si>
  <si>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</si>
  <si>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</si>
  <si>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</si>
  <si>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</si>
  <si>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</si>
  <si>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</si>
  <si>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</si>
  <si>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</si>
  <si>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</si>
  <si>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</si>
  <si>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</si>
  <si>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</si>
  <si>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</si>
  <si>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</si>
  <si>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</si>
  <si>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</si>
  <si>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</si>
  <si>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</si>
  <si>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</si>
  <si>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</si>
  <si>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</si>
  <si>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</si>
  <si>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</si>
  <si>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</si>
  <si>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</si>
  <si>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</si>
  <si>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</si>
  <si>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</si>
  <si>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</si>
  <si>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</si>
  <si>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</si>
  <si>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</si>
  <si>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</si>
  <si>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</si>
  <si>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</si>
  <si>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</si>
  <si>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</si>
  <si>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</si>
  <si>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</si>
  <si>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</si>
  <si>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</si>
  <si>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</si>
  <si>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</si>
  <si>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</si>
  <si>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</si>
  <si>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</si>
  <si>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</si>
  <si>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</si>
  <si>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</si>
  <si>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</si>
  <si>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</si>
  <si>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</si>
  <si>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</si>
  <si>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</si>
  <si>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</si>
  <si>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</si>
  <si>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</si>
  <si>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</si>
  <si>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</si>
  <si>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</si>
  <si>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</si>
  <si>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</si>
  <si>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</si>
  <si>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</si>
  <si>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</si>
  <si>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</si>
  <si>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</si>
  <si>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</si>
  <si>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</si>
  <si>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</si>
  <si>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</si>
  <si>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</si>
  <si>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</si>
  <si>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</si>
  <si>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</si>
  <si>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</si>
  <si>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</si>
  <si>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</si>
  <si>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</si>
  <si>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</si>
  <si>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</si>
  <si>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</si>
  <si>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</si>
  <si>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</si>
  <si>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</si>
  <si>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</si>
  <si>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</si>
  <si>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</si>
  <si>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</si>
  <si>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</si>
  <si>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</si>
  <si>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</si>
  <si>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</si>
  <si>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</si>
  <si>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</si>
  <si>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</si>
  <si>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</si>
  <si>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</si>
  <si>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</si>
  <si>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</si>
  <si>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</si>
  <si>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</si>
  <si>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</si>
  <si>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</si>
  <si>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</si>
  <si>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</si>
  <si>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</si>
  <si>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</si>
  <si>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</si>
  <si>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</si>
  <si>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</si>
  <si>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</si>
  <si>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</si>
  <si>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</si>
  <si>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</si>
  <si>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</si>
  <si>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</si>
  <si>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</si>
  <si>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</si>
  <si>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</si>
  <si>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</si>
  <si>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</si>
  <si>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</si>
  <si>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</si>
  <si>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</si>
  <si>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</si>
  <si>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</si>
  <si>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</si>
  <si>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</si>
  <si>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</si>
  <si>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</si>
  <si>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</si>
  <si>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</si>
  <si>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</si>
  <si>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</si>
  <si>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</si>
  <si>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</si>
  <si>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</si>
  <si>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</si>
  <si>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</si>
  <si>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</si>
  <si>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</si>
  <si>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</si>
  <si>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</si>
  <si>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</si>
  <si>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</si>
  <si>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</si>
  <si>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</si>
  <si>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</si>
  <si>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</si>
  <si>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</si>
  <si>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</si>
  <si>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</si>
  <si>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</si>
  <si>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</si>
  <si>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</si>
  <si>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</si>
  <si>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</si>
  <si>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</si>
  <si>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</si>
  <si>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</si>
  <si>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</si>
  <si>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</si>
  <si>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</si>
  <si>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</si>
  <si>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</si>
  <si>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</si>
  <si>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</si>
  <si>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</si>
  <si>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</si>
  <si>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</si>
  <si>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</si>
  <si>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</si>
  <si>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</si>
  <si>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</si>
  <si>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</si>
  <si>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</si>
  <si>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</si>
  <si>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</si>
  <si>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</si>
  <si>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</si>
  <si>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</si>
  <si>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</si>
  <si>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</si>
  <si>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</si>
  <si>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</si>
  <si>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</si>
  <si>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</si>
  <si>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</si>
  <si>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</si>
  <si>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</si>
  <si>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</si>
  <si>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</si>
  <si>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</si>
  <si>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</si>
  <si>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</si>
  <si>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</si>
  <si>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</si>
  <si>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</si>
  <si>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</si>
  <si>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</si>
  <si>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</si>
  <si>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</si>
  <si>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</si>
  <si>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</si>
  <si>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</si>
  <si>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</si>
  <si>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</si>
  <si>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</si>
  <si>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</si>
  <si>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</si>
  <si>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</si>
  <si>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</si>
  <si>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</si>
  <si>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</si>
  <si>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</si>
  <si>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</si>
  <si>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</si>
  <si>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</si>
  <si>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</si>
  <si>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</si>
  <si>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</si>
  <si>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</si>
  <si>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</si>
  <si>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</si>
  <si>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</si>
  <si>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</si>
  <si>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</si>
  <si>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</si>
  <si>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</si>
  <si>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</si>
  <si>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</si>
  <si>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</si>
  <si>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</si>
  <si>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</si>
  <si>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</si>
  <si>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</si>
  <si>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</si>
  <si>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</si>
  <si>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</si>
  <si>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</si>
  <si>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</si>
  <si>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</si>
  <si>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</si>
  <si>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</si>
  <si>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</si>
  <si>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</si>
  <si>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</si>
  <si>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</si>
  <si>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</si>
  <si>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</si>
  <si>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</si>
  <si>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</si>
  <si>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</si>
  <si>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</si>
  <si>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</si>
  <si>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</si>
  <si>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</si>
  <si>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</si>
  <si>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</si>
  <si>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</si>
  <si>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</si>
  <si>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</si>
  <si>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</si>
  <si>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</si>
  <si>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</si>
  <si>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</si>
  <si>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</si>
  <si>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</si>
  <si>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</si>
  <si>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</si>
  <si>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</si>
  <si>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</si>
  <si>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</si>
  <si>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</si>
  <si>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</si>
  <si>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</si>
  <si>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</si>
  <si>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</si>
  <si>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</si>
  <si>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</si>
  <si>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</si>
  <si>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</si>
  <si>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</si>
  <si>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</si>
  <si>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</si>
  <si>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</si>
  <si>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</si>
  <si>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</si>
  <si>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</si>
  <si>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</si>
  <si>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</si>
  <si>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</si>
  <si>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</si>
  <si>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</si>
  <si>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</si>
  <si>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</si>
  <si>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</si>
  <si>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</si>
  <si>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</si>
  <si>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</si>
  <si>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</si>
  <si>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</si>
  <si>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</si>
  <si>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</si>
  <si>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</si>
  <si>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</si>
  <si>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</si>
  <si>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</si>
  <si>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</si>
  <si>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</si>
  <si>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</si>
  <si>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</si>
  <si>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</si>
  <si>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</si>
  <si>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</si>
  <si>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</si>
  <si>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</si>
  <si>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</si>
  <si>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</si>
  <si>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</si>
  <si>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</si>
  <si>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</si>
  <si>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</si>
  <si>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</si>
  <si>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</si>
  <si>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</si>
  <si>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</si>
  <si>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</si>
  <si>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</si>
  <si>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</si>
  <si>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</si>
  <si>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</si>
  <si>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</si>
  <si>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</si>
  <si>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</si>
  <si>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</si>
  <si>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</si>
  <si>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</si>
  <si>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</si>
  <si>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</si>
  <si>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</si>
  <si>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</si>
  <si>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</si>
  <si>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</si>
  <si>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</si>
  <si>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</si>
  <si>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</si>
  <si>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</si>
  <si>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</si>
  <si>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</si>
  <si>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</si>
  <si>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</si>
  <si>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</si>
  <si>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</si>
  <si>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</si>
  <si>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</si>
  <si>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</si>
  <si>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</si>
  <si>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</si>
  <si>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</si>
  <si>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</si>
  <si>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</si>
  <si>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</si>
  <si>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</si>
  <si>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</si>
  <si>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</si>
  <si>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</si>
  <si>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</si>
  <si>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</si>
  <si>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</si>
  <si>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</si>
  <si>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</si>
  <si>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</si>
  <si>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</si>
  <si>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</si>
  <si>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</si>
  <si>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</si>
  <si>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</si>
  <si>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</si>
  <si>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</si>
  <si>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</si>
  <si>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</si>
  <si>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</si>
  <si>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</si>
  <si>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</si>
  <si>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</si>
  <si>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</si>
  <si>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</si>
  <si>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</si>
  <si>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</si>
  <si>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</si>
  <si>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</si>
  <si>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</si>
  <si>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</si>
  <si>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</si>
  <si>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</si>
  <si>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</si>
  <si>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</si>
  <si>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</si>
  <si>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</si>
  <si>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</si>
  <si>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</si>
  <si>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</si>
  <si>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</si>
  <si>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</si>
  <si>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</si>
  <si>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</si>
  <si>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</si>
  <si>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</si>
  <si>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</si>
  <si>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</si>
  <si>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</si>
  <si>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</si>
  <si>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</si>
  <si>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</si>
  <si>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</si>
  <si>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</si>
  <si>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</si>
  <si>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</si>
  <si>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</si>
  <si>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</si>
  <si>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</si>
  <si>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</si>
  <si>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</si>
  <si>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</si>
  <si>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</si>
  <si>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</si>
  <si>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</si>
  <si>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</si>
  <si>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</si>
  <si>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</si>
  <si>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</si>
  <si>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</si>
  <si>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</si>
  <si>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</si>
  <si>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</si>
  <si>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</si>
  <si>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</si>
  <si>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</si>
  <si>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</si>
  <si>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</si>
  <si>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</si>
  <si>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</si>
  <si>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</si>
  <si>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</si>
  <si>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</si>
  <si>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</si>
  <si>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</si>
  <si>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</si>
  <si>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</si>
  <si>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</si>
  <si>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</si>
  <si>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</si>
  <si>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</si>
  <si>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</si>
  <si>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</si>
  <si>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</si>
  <si>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</si>
  <si>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</si>
  <si>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</si>
  <si>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</si>
  <si>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</si>
  <si>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</si>
  <si>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</si>
  <si>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</si>
  <si>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</si>
  <si>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</si>
  <si>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</si>
  <si>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</si>
  <si>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</si>
  <si>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</si>
  <si>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</si>
  <si>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</si>
  <si>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</si>
  <si>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</si>
  <si>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</si>
  <si>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</si>
  <si>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</si>
  <si>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</si>
  <si>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</si>
  <si>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</si>
  <si>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</si>
  <si>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</si>
  <si>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</si>
  <si>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</si>
  <si>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</si>
  <si>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</si>
  <si>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</si>
  <si>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</si>
  <si>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</si>
  <si>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</si>
  <si>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</si>
  <si>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</si>
  <si>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</si>
  <si>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</si>
  <si>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</si>
  <si>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</si>
  <si>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</si>
  <si>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</si>
  <si>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</si>
  <si>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</si>
  <si>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</si>
  <si>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</si>
  <si>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</si>
  <si>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</si>
  <si>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</si>
  <si>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</si>
  <si>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</si>
  <si>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</si>
  <si>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</si>
  <si>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</si>
  <si>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</si>
  <si>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</si>
  <si>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</si>
  <si>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</si>
  <si>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</si>
  <si>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</si>
  <si>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</si>
  <si>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</si>
  <si>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</si>
  <si>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</si>
  <si>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</si>
  <si>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</si>
  <si>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</si>
  <si>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</si>
  <si>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</si>
  <si>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</si>
  <si>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</si>
  <si>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</si>
  <si>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</si>
  <si>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</si>
  <si>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</si>
  <si>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</si>
  <si>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</si>
  <si>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</si>
  <si>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</si>
  <si>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</si>
  <si>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</si>
  <si>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</si>
  <si>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</si>
  <si>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</si>
  <si>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</si>
  <si>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</si>
  <si>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</si>
  <si>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</si>
  <si>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</si>
  <si>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</si>
  <si>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</si>
  <si>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</si>
  <si>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</si>
  <si>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</si>
  <si>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</si>
  <si>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</si>
  <si>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</si>
  <si>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</si>
  <si>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</si>
  <si>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</si>
  <si>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</si>
  <si>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</si>
  <si>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</si>
  <si>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</si>
  <si>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</si>
  <si>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</si>
  <si>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</si>
  <si>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</si>
  <si>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</si>
  <si>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</si>
  <si>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</si>
  <si>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</si>
  <si>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</si>
  <si>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</si>
  <si>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</si>
  <si>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</si>
  <si>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</si>
  <si>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</si>
  <si>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</si>
  <si>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</si>
  <si>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</si>
  <si>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</si>
  <si>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</si>
  <si>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</si>
  <si>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</si>
  <si>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</si>
  <si>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</si>
  <si>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</si>
  <si>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</si>
  <si>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</si>
  <si>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</si>
  <si>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</si>
  <si>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</si>
  <si>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</si>
  <si>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</si>
  <si>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</si>
  <si>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</si>
  <si>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</si>
  <si>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</si>
  <si>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</si>
  <si>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</si>
  <si>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</si>
  <si>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</si>
  <si>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44034</t>
  </si>
  <si>
    <t>LOCHRISTI</t>
  </si>
  <si>
    <t>Cultuurgrond (ha)</t>
  </si>
  <si>
    <t>Paarden&amp;pony's 200 - 600 kg</t>
  </si>
  <si>
    <t>Paarden&amp;pony's &lt; 200 kg</t>
  </si>
  <si>
    <t>Fluvius</t>
  </si>
  <si>
    <t>referentietaak LNE (2017); Jaarverslag De Lijn</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</si>
  <si>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</si>
  <si>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</si>
  <si>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</si>
  <si>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</si>
  <si>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</si>
  <si>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</si>
  <si>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</si>
  <si>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</si>
  <si>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</si>
  <si>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</si>
  <si>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Biolectric nv</t>
  </si>
  <si>
    <t>Jan de Malschelaan 4 B, 9140 Temse</t>
  </si>
  <si>
    <t>WKK-0503 Kris De Mol</t>
  </si>
  <si>
    <t>Kapelstraat 30 , 9080 Zaffelare</t>
  </si>
  <si>
    <t>Floré NV</t>
  </si>
  <si>
    <t>WKK-0484 Floré</t>
  </si>
  <si>
    <t>Stationsstraat 111 , 9080 Lochristi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</si>
</sst>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169985.10624723358</c:v>
                </c:pt>
                <c:pt idx="1">
                  <c:v>72187.267028170012</c:v>
                </c:pt>
                <c:pt idx="2">
                  <c:v>1742.5609999999999</c:v>
                </c:pt>
                <c:pt idx="3">
                  <c:v>104370.20063498229</c:v>
                </c:pt>
                <c:pt idx="4">
                  <c:v>39013.170035679679</c:v>
                </c:pt>
                <c:pt idx="5">
                  <c:v>279715.43515723653</c:v>
                </c:pt>
                <c:pt idx="6">
                  <c:v>2371.244546884278</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169985.10624723358</c:v>
                </c:pt>
                <c:pt idx="1">
                  <c:v>72187.267028170012</c:v>
                </c:pt>
                <c:pt idx="2">
                  <c:v>1742.5609999999999</c:v>
                </c:pt>
                <c:pt idx="3">
                  <c:v>104370.20063498229</c:v>
                </c:pt>
                <c:pt idx="4">
                  <c:v>39013.170035679679</c:v>
                </c:pt>
                <c:pt idx="5">
                  <c:v>279715.43515723653</c:v>
                </c:pt>
                <c:pt idx="6">
                  <c:v>2371.244546884278</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31488.125901518819</c:v>
                </c:pt>
                <c:pt idx="2">
                  <c:v>14295.646850580053</c:v>
                </c:pt>
                <c:pt idx="3">
                  <c:v>334.34195127876222</c:v>
                </c:pt>
                <c:pt idx="4">
                  <c:v>24018.757227134363</c:v>
                </c:pt>
                <c:pt idx="5">
                  <c:v>7968.9735423907905</c:v>
                </c:pt>
                <c:pt idx="6">
                  <c:v>70880.279897964298</c:v>
                </c:pt>
                <c:pt idx="7">
                  <c:v>606.1423945785458</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31488.125901518819</c:v>
                </c:pt>
                <c:pt idx="2">
                  <c:v>14295.646850580053</c:v>
                </c:pt>
                <c:pt idx="3">
                  <c:v>334.34195127876222</c:v>
                </c:pt>
                <c:pt idx="4">
                  <c:v>24018.757227134363</c:v>
                </c:pt>
                <c:pt idx="5">
                  <c:v>7968.9735423907905</c:v>
                </c:pt>
                <c:pt idx="6">
                  <c:v>70880.279897964298</c:v>
                </c:pt>
                <c:pt idx="7">
                  <c:v>606.1423945785458</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44034</v>
      </c>
      <c r="B6" s="395"/>
      <c r="C6" s="396"/>
    </row>
    <row r="7" spans="1:7" s="393" customFormat="1" ht="15.75" customHeight="1">
      <c r="A7" s="397" t="str">
        <f>txtMunicipality</f>
        <v>LOCHRISTI</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0.19186814767389046</v>
      </c>
      <c r="C17" s="508">
        <f ca="1">'EF ele_warmte'!B22</f>
        <v>0.2363019129575154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0.19186814767389046</v>
      </c>
      <c r="C29" s="509">
        <f ca="1">'EF ele_warmte'!B22</f>
        <v>0.2363019129575154</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8463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3317</v>
      </c>
      <c r="C14" s="332"/>
      <c r="D14" s="332"/>
      <c r="E14" s="332"/>
      <c r="F14" s="332"/>
    </row>
    <row r="15" spans="1:6">
      <c r="A15" s="1306" t="s">
        <v>183</v>
      </c>
      <c r="B15" s="1307">
        <v>54</v>
      </c>
      <c r="C15" s="332"/>
      <c r="D15" s="332"/>
      <c r="E15" s="332"/>
      <c r="F15" s="332"/>
    </row>
    <row r="16" spans="1:6">
      <c r="A16" s="1306" t="s">
        <v>6</v>
      </c>
      <c r="B16" s="1307">
        <v>1946</v>
      </c>
      <c r="C16" s="332"/>
      <c r="D16" s="332"/>
      <c r="E16" s="332"/>
      <c r="F16" s="332"/>
    </row>
    <row r="17" spans="1:6">
      <c r="A17" s="1306" t="s">
        <v>7</v>
      </c>
      <c r="B17" s="1307">
        <v>1503</v>
      </c>
      <c r="C17" s="332"/>
      <c r="D17" s="332"/>
      <c r="E17" s="332"/>
      <c r="F17" s="332"/>
    </row>
    <row r="18" spans="1:6">
      <c r="A18" s="1306" t="s">
        <v>8</v>
      </c>
      <c r="B18" s="1307">
        <v>2483</v>
      </c>
      <c r="C18" s="332"/>
      <c r="D18" s="332"/>
      <c r="E18" s="332"/>
      <c r="F18" s="332"/>
    </row>
    <row r="19" spans="1:6">
      <c r="A19" s="1306" t="s">
        <v>9</v>
      </c>
      <c r="B19" s="1307">
        <v>2839</v>
      </c>
      <c r="C19" s="332"/>
      <c r="D19" s="332"/>
      <c r="E19" s="332"/>
      <c r="F19" s="332"/>
    </row>
    <row r="20" spans="1:6">
      <c r="A20" s="1306" t="s">
        <v>10</v>
      </c>
      <c r="B20" s="1307">
        <v>1833</v>
      </c>
      <c r="C20" s="332"/>
      <c r="D20" s="332"/>
      <c r="E20" s="332"/>
      <c r="F20" s="332"/>
    </row>
    <row r="21" spans="1:6">
      <c r="A21" s="1306" t="s">
        <v>11</v>
      </c>
      <c r="B21" s="1307">
        <v>13766</v>
      </c>
      <c r="C21" s="332"/>
      <c r="D21" s="332"/>
      <c r="E21" s="332"/>
      <c r="F21" s="332"/>
    </row>
    <row r="22" spans="1:6">
      <c r="A22" s="1306" t="s">
        <v>12</v>
      </c>
      <c r="B22" s="1307">
        <v>10519</v>
      </c>
      <c r="C22" s="332"/>
      <c r="D22" s="332"/>
      <c r="E22" s="332"/>
      <c r="F22" s="332"/>
    </row>
    <row r="23" spans="1:6">
      <c r="A23" s="1306" t="s">
        <v>13</v>
      </c>
      <c r="B23" s="1307">
        <v>317</v>
      </c>
      <c r="C23" s="332"/>
      <c r="D23" s="332"/>
      <c r="E23" s="332"/>
      <c r="F23" s="332"/>
    </row>
    <row r="24" spans="1:6">
      <c r="A24" s="1306" t="s">
        <v>14</v>
      </c>
      <c r="B24" s="1307">
        <v>18</v>
      </c>
      <c r="C24" s="332"/>
      <c r="D24" s="332"/>
      <c r="E24" s="332"/>
      <c r="F24" s="332"/>
    </row>
    <row r="25" spans="1:6">
      <c r="A25" s="1306" t="s">
        <v>15</v>
      </c>
      <c r="B25" s="1307">
        <v>3671</v>
      </c>
      <c r="C25" s="332"/>
      <c r="D25" s="332"/>
      <c r="E25" s="332"/>
      <c r="F25" s="332"/>
    </row>
    <row r="26" spans="1:6">
      <c r="A26" s="1306" t="s">
        <v>16</v>
      </c>
      <c r="B26" s="1307">
        <v>242</v>
      </c>
      <c r="C26" s="332"/>
      <c r="D26" s="332"/>
      <c r="E26" s="332"/>
      <c r="F26" s="332"/>
    </row>
    <row r="27" spans="1:6">
      <c r="A27" s="1306" t="s">
        <v>17</v>
      </c>
      <c r="B27" s="1307">
        <v>1015</v>
      </c>
      <c r="C27" s="332"/>
      <c r="D27" s="332"/>
      <c r="E27" s="332"/>
      <c r="F27" s="332"/>
    </row>
    <row r="28" spans="1:6" s="43" customFormat="1">
      <c r="A28" s="1308" t="s">
        <v>18</v>
      </c>
      <c r="B28" s="1309">
        <v>48865</v>
      </c>
      <c r="C28" s="338"/>
      <c r="D28" s="338"/>
      <c r="E28" s="338"/>
      <c r="F28" s="338"/>
    </row>
    <row r="29" spans="1:6">
      <c r="A29" s="1308" t="s">
        <v>916</v>
      </c>
      <c r="B29" s="1309">
        <v>190</v>
      </c>
      <c r="C29" s="338"/>
      <c r="D29" s="338"/>
      <c r="E29" s="338"/>
      <c r="F29" s="338"/>
    </row>
    <row r="30" spans="1:6">
      <c r="A30" s="1301" t="s">
        <v>917</v>
      </c>
      <c r="B30" s="1310">
        <v>53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2</v>
      </c>
      <c r="D38" s="1307">
        <v>214114.08938139101</v>
      </c>
      <c r="E38" s="1307">
        <v>6</v>
      </c>
      <c r="F38" s="1307">
        <v>112554.65460789</v>
      </c>
    </row>
    <row r="39" spans="1:6">
      <c r="A39" s="1306" t="s">
        <v>29</v>
      </c>
      <c r="B39" s="1306" t="s">
        <v>30</v>
      </c>
      <c r="C39" s="1307">
        <v>4664</v>
      </c>
      <c r="D39" s="1307">
        <v>83589020.5417234</v>
      </c>
      <c r="E39" s="1307">
        <v>8008</v>
      </c>
      <c r="F39" s="1307">
        <v>37661344.690311499</v>
      </c>
    </row>
    <row r="40" spans="1:6">
      <c r="A40" s="1306" t="s">
        <v>29</v>
      </c>
      <c r="B40" s="1306" t="s">
        <v>28</v>
      </c>
      <c r="C40" s="1307">
        <v>0</v>
      </c>
      <c r="D40" s="1307">
        <v>0</v>
      </c>
      <c r="E40" s="1307">
        <v>0</v>
      </c>
      <c r="F40" s="1307">
        <v>0</v>
      </c>
    </row>
    <row r="41" spans="1:6">
      <c r="A41" s="1306" t="s">
        <v>31</v>
      </c>
      <c r="B41" s="1306" t="s">
        <v>32</v>
      </c>
      <c r="C41" s="1307">
        <v>72</v>
      </c>
      <c r="D41" s="1307">
        <v>2164727.09527566</v>
      </c>
      <c r="E41" s="1307">
        <v>177</v>
      </c>
      <c r="F41" s="1307">
        <v>3669555.7261608099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8</v>
      </c>
      <c r="D44" s="1307">
        <v>255632.10847084</v>
      </c>
      <c r="E44" s="1307">
        <v>30</v>
      </c>
      <c r="F44" s="1307">
        <v>648683.77412068704</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8</v>
      </c>
      <c r="D47" s="1307">
        <v>232451.12166504801</v>
      </c>
      <c r="E47" s="1307">
        <v>12</v>
      </c>
      <c r="F47" s="1307">
        <v>125339.265890989</v>
      </c>
    </row>
    <row r="48" spans="1:6">
      <c r="A48" s="1306" t="s">
        <v>31</v>
      </c>
      <c r="B48" s="1306" t="s">
        <v>28</v>
      </c>
      <c r="C48" s="1307">
        <v>23</v>
      </c>
      <c r="D48" s="1307">
        <v>25058991.9707807</v>
      </c>
      <c r="E48" s="1307">
        <v>30</v>
      </c>
      <c r="F48" s="1307">
        <v>2596782.9773072298</v>
      </c>
    </row>
    <row r="49" spans="1:6">
      <c r="A49" s="1306" t="s">
        <v>31</v>
      </c>
      <c r="B49" s="1306" t="s">
        <v>39</v>
      </c>
      <c r="C49" s="1307">
        <v>0</v>
      </c>
      <c r="D49" s="1307">
        <v>0</v>
      </c>
      <c r="E49" s="1307">
        <v>3</v>
      </c>
      <c r="F49" s="1307">
        <v>82269.760736425204</v>
      </c>
    </row>
    <row r="50" spans="1:6">
      <c r="A50" s="1306" t="s">
        <v>31</v>
      </c>
      <c r="B50" s="1306" t="s">
        <v>40</v>
      </c>
      <c r="C50" s="1307">
        <v>7</v>
      </c>
      <c r="D50" s="1307">
        <v>557416.76314435399</v>
      </c>
      <c r="E50" s="1307">
        <v>12</v>
      </c>
      <c r="F50" s="1307">
        <v>530822.13263241795</v>
      </c>
    </row>
    <row r="51" spans="1:6">
      <c r="A51" s="1306" t="s">
        <v>41</v>
      </c>
      <c r="B51" s="1306" t="s">
        <v>42</v>
      </c>
      <c r="C51" s="1307">
        <v>102</v>
      </c>
      <c r="D51" s="1307">
        <v>70127287.180937499</v>
      </c>
      <c r="E51" s="1307">
        <v>433</v>
      </c>
      <c r="F51" s="1307">
        <v>10896319.8422547</v>
      </c>
    </row>
    <row r="52" spans="1:6">
      <c r="A52" s="1306" t="s">
        <v>41</v>
      </c>
      <c r="B52" s="1306" t="s">
        <v>28</v>
      </c>
      <c r="C52" s="1307">
        <v>7</v>
      </c>
      <c r="D52" s="1307">
        <v>484759.19860517798</v>
      </c>
      <c r="E52" s="1307">
        <v>3</v>
      </c>
      <c r="F52" s="1307">
        <v>43830.843389366899</v>
      </c>
    </row>
    <row r="53" spans="1:6">
      <c r="A53" s="1306" t="s">
        <v>43</v>
      </c>
      <c r="B53" s="1306" t="s">
        <v>44</v>
      </c>
      <c r="C53" s="1307">
        <v>102</v>
      </c>
      <c r="D53" s="1307">
        <v>1984830.9805070099</v>
      </c>
      <c r="E53" s="1307">
        <v>222</v>
      </c>
      <c r="F53" s="1307">
        <v>1098395.4542962599</v>
      </c>
    </row>
    <row r="54" spans="1:6">
      <c r="A54" s="1306" t="s">
        <v>45</v>
      </c>
      <c r="B54" s="1306" t="s">
        <v>46</v>
      </c>
      <c r="C54" s="1307">
        <v>0</v>
      </c>
      <c r="D54" s="1307">
        <v>0</v>
      </c>
      <c r="E54" s="1307">
        <v>4</v>
      </c>
      <c r="F54" s="1307">
        <v>1742561</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42</v>
      </c>
      <c r="D57" s="1307">
        <v>1829725.4941104599</v>
      </c>
      <c r="E57" s="1307">
        <v>144</v>
      </c>
      <c r="F57" s="1307">
        <v>2207491.6349848402</v>
      </c>
    </row>
    <row r="58" spans="1:6">
      <c r="A58" s="1306" t="s">
        <v>48</v>
      </c>
      <c r="B58" s="1306" t="s">
        <v>50</v>
      </c>
      <c r="C58" s="1307">
        <v>25</v>
      </c>
      <c r="D58" s="1307">
        <v>4141331.39650456</v>
      </c>
      <c r="E58" s="1307">
        <v>50</v>
      </c>
      <c r="F58" s="1307">
        <v>1520329.5571242401</v>
      </c>
    </row>
    <row r="59" spans="1:6">
      <c r="A59" s="1306" t="s">
        <v>48</v>
      </c>
      <c r="B59" s="1306" t="s">
        <v>51</v>
      </c>
      <c r="C59" s="1307">
        <v>138</v>
      </c>
      <c r="D59" s="1307">
        <v>8963326.0146598499</v>
      </c>
      <c r="E59" s="1307">
        <v>301</v>
      </c>
      <c r="F59" s="1307">
        <v>13506087.806184201</v>
      </c>
    </row>
    <row r="60" spans="1:6">
      <c r="A60" s="1306" t="s">
        <v>48</v>
      </c>
      <c r="B60" s="1306" t="s">
        <v>52</v>
      </c>
      <c r="C60" s="1307">
        <v>72</v>
      </c>
      <c r="D60" s="1307">
        <v>4465840.6781350505</v>
      </c>
      <c r="E60" s="1307">
        <v>100</v>
      </c>
      <c r="F60" s="1307">
        <v>2784419.7810522802</v>
      </c>
    </row>
    <row r="61" spans="1:6">
      <c r="A61" s="1306" t="s">
        <v>48</v>
      </c>
      <c r="B61" s="1306" t="s">
        <v>53</v>
      </c>
      <c r="C61" s="1307">
        <v>162</v>
      </c>
      <c r="D61" s="1307">
        <v>8736060.2298830803</v>
      </c>
      <c r="E61" s="1307">
        <v>321</v>
      </c>
      <c r="F61" s="1307">
        <v>9174235.2964637093</v>
      </c>
    </row>
    <row r="62" spans="1:6">
      <c r="A62" s="1306" t="s">
        <v>48</v>
      </c>
      <c r="B62" s="1306" t="s">
        <v>54</v>
      </c>
      <c r="C62" s="1307">
        <v>8</v>
      </c>
      <c r="D62" s="1307">
        <v>410712.79018291802</v>
      </c>
      <c r="E62" s="1307">
        <v>13</v>
      </c>
      <c r="F62" s="1307">
        <v>168593.43654767901</v>
      </c>
    </row>
    <row r="63" spans="1:6">
      <c r="A63" s="1306" t="s">
        <v>48</v>
      </c>
      <c r="B63" s="1306" t="s">
        <v>28</v>
      </c>
      <c r="C63" s="1307">
        <v>102</v>
      </c>
      <c r="D63" s="1307">
        <v>7175210.1162074199</v>
      </c>
      <c r="E63" s="1307">
        <v>92</v>
      </c>
      <c r="F63" s="1307">
        <v>2413431.1917038099</v>
      </c>
    </row>
    <row r="64" spans="1:6">
      <c r="A64" s="1306" t="s">
        <v>55</v>
      </c>
      <c r="B64" s="1306" t="s">
        <v>56</v>
      </c>
      <c r="C64" s="1307">
        <v>0</v>
      </c>
      <c r="D64" s="1307">
        <v>0</v>
      </c>
      <c r="E64" s="1307">
        <v>0</v>
      </c>
      <c r="F64" s="1307">
        <v>0</v>
      </c>
    </row>
    <row r="65" spans="1:6">
      <c r="A65" s="1306" t="s">
        <v>55</v>
      </c>
      <c r="B65" s="1306" t="s">
        <v>28</v>
      </c>
      <c r="C65" s="1307">
        <v>4</v>
      </c>
      <c r="D65" s="1307">
        <v>121457.089873921</v>
      </c>
      <c r="E65" s="1307">
        <v>2</v>
      </c>
      <c r="F65" s="1307">
        <v>6504.151057008</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5</v>
      </c>
      <c r="D68" s="1310">
        <v>257086.23147393999</v>
      </c>
      <c r="E68" s="1310">
        <v>20</v>
      </c>
      <c r="F68" s="1310">
        <v>259208.74378854901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63078166</v>
      </c>
      <c r="E73" s="456"/>
      <c r="F73" s="332"/>
    </row>
    <row r="74" spans="1:6">
      <c r="A74" s="1306" t="s">
        <v>63</v>
      </c>
      <c r="B74" s="1306" t="s">
        <v>724</v>
      </c>
      <c r="C74" s="1320" t="s">
        <v>725</v>
      </c>
      <c r="D74" s="1321">
        <v>7442314.2956525935</v>
      </c>
      <c r="E74" s="456"/>
      <c r="F74" s="332"/>
    </row>
    <row r="75" spans="1:6">
      <c r="A75" s="1306" t="s">
        <v>64</v>
      </c>
      <c r="B75" s="1306" t="s">
        <v>722</v>
      </c>
      <c r="C75" s="1320" t="s">
        <v>726</v>
      </c>
      <c r="D75" s="1321">
        <v>29498695</v>
      </c>
      <c r="E75" s="456"/>
      <c r="F75" s="332"/>
    </row>
    <row r="76" spans="1:6">
      <c r="A76" s="1306" t="s">
        <v>64</v>
      </c>
      <c r="B76" s="1306" t="s">
        <v>724</v>
      </c>
      <c r="C76" s="1320" t="s">
        <v>727</v>
      </c>
      <c r="D76" s="1321">
        <v>1344137.295652593</v>
      </c>
      <c r="E76" s="456"/>
      <c r="F76" s="332"/>
    </row>
    <row r="77" spans="1:6">
      <c r="A77" s="1306" t="s">
        <v>65</v>
      </c>
      <c r="B77" s="1306" t="s">
        <v>722</v>
      </c>
      <c r="C77" s="1320" t="s">
        <v>728</v>
      </c>
      <c r="D77" s="1321">
        <v>143298545</v>
      </c>
      <c r="E77" s="456"/>
      <c r="F77" s="332"/>
    </row>
    <row r="78" spans="1:6">
      <c r="A78" s="1301" t="s">
        <v>65</v>
      </c>
      <c r="B78" s="1301" t="s">
        <v>724</v>
      </c>
      <c r="C78" s="1301" t="s">
        <v>729</v>
      </c>
      <c r="D78" s="1322">
        <v>34892329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627447.40869481384</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7544.6336670000001</v>
      </c>
      <c r="C90" s="332"/>
      <c r="D90" s="332"/>
      <c r="E90" s="332"/>
      <c r="F90" s="332"/>
    </row>
    <row r="91" spans="1:6">
      <c r="A91" s="1306" t="s">
        <v>67</v>
      </c>
      <c r="B91" s="1307">
        <v>5100.9007164292807</v>
      </c>
      <c r="C91" s="332"/>
      <c r="D91" s="332"/>
      <c r="E91" s="332"/>
      <c r="F91" s="332"/>
    </row>
    <row r="92" spans="1:6">
      <c r="A92" s="1301" t="s">
        <v>68</v>
      </c>
      <c r="B92" s="1302">
        <v>513.84732922224032</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1839</v>
      </c>
      <c r="C97" s="332"/>
      <c r="D97" s="332"/>
      <c r="E97" s="332"/>
      <c r="F97" s="332"/>
    </row>
    <row r="98" spans="1:6">
      <c r="A98" s="1306" t="s">
        <v>71</v>
      </c>
      <c r="B98" s="1307">
        <v>1</v>
      </c>
      <c r="C98" s="332"/>
      <c r="D98" s="332"/>
      <c r="E98" s="332"/>
      <c r="F98" s="332"/>
    </row>
    <row r="99" spans="1:6">
      <c r="A99" s="1306" t="s">
        <v>72</v>
      </c>
      <c r="B99" s="1307">
        <v>88</v>
      </c>
      <c r="C99" s="332"/>
      <c r="D99" s="332"/>
      <c r="E99" s="332"/>
      <c r="F99" s="332"/>
    </row>
    <row r="100" spans="1:6">
      <c r="A100" s="1306" t="s">
        <v>73</v>
      </c>
      <c r="B100" s="1307">
        <v>900</v>
      </c>
      <c r="C100" s="332"/>
      <c r="D100" s="332"/>
      <c r="E100" s="332"/>
      <c r="F100" s="332"/>
    </row>
    <row r="101" spans="1:6">
      <c r="A101" s="1306" t="s">
        <v>74</v>
      </c>
      <c r="B101" s="1307">
        <v>104</v>
      </c>
      <c r="C101" s="332"/>
      <c r="D101" s="332"/>
      <c r="E101" s="332"/>
      <c r="F101" s="332"/>
    </row>
    <row r="102" spans="1:6">
      <c r="A102" s="1306" t="s">
        <v>75</v>
      </c>
      <c r="B102" s="1307">
        <v>110</v>
      </c>
      <c r="C102" s="332"/>
      <c r="D102" s="332"/>
      <c r="E102" s="332"/>
      <c r="F102" s="332"/>
    </row>
    <row r="103" spans="1:6">
      <c r="A103" s="1306" t="s">
        <v>76</v>
      </c>
      <c r="B103" s="1307">
        <v>301</v>
      </c>
      <c r="C103" s="332"/>
      <c r="D103" s="332"/>
      <c r="E103" s="332"/>
      <c r="F103" s="332"/>
    </row>
    <row r="104" spans="1:6">
      <c r="A104" s="1306" t="s">
        <v>77</v>
      </c>
      <c r="B104" s="1307">
        <v>3609</v>
      </c>
      <c r="C104" s="332"/>
      <c r="D104" s="332"/>
      <c r="E104" s="332"/>
      <c r="F104" s="332"/>
    </row>
    <row r="105" spans="1:6">
      <c r="A105" s="1301" t="s">
        <v>78</v>
      </c>
      <c r="B105" s="1310">
        <v>12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1</v>
      </c>
      <c r="C121" s="1307">
        <v>0</v>
      </c>
      <c r="D121" s="332"/>
      <c r="E121" s="332"/>
      <c r="F121" s="332"/>
    </row>
    <row r="122" spans="1:6">
      <c r="A122" s="1306" t="s">
        <v>86</v>
      </c>
      <c r="B122" s="1307">
        <v>0</v>
      </c>
      <c r="C122" s="1307">
        <v>0</v>
      </c>
      <c r="D122" s="332"/>
      <c r="E122" s="332"/>
      <c r="F122" s="332"/>
    </row>
    <row r="123" spans="1:6">
      <c r="A123" s="1306" t="s">
        <v>87</v>
      </c>
      <c r="B123" s="1307">
        <v>28</v>
      </c>
      <c r="C123" s="1307">
        <v>47</v>
      </c>
      <c r="D123" s="332"/>
      <c r="E123" s="332"/>
      <c r="F123" s="332"/>
    </row>
    <row r="124" spans="1:6" s="43" customFormat="1">
      <c r="A124" s="1308" t="s">
        <v>88</v>
      </c>
      <c r="B124" s="1329">
        <v>4</v>
      </c>
      <c r="C124" s="1329">
        <v>2</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161</v>
      </c>
      <c r="C129" s="332"/>
      <c r="D129" s="332"/>
      <c r="E129" s="332"/>
      <c r="F129" s="332"/>
    </row>
    <row r="130" spans="1:6">
      <c r="A130" s="1306" t="s">
        <v>294</v>
      </c>
      <c r="B130" s="1307">
        <v>1</v>
      </c>
      <c r="C130" s="332"/>
      <c r="D130" s="332"/>
      <c r="E130" s="332"/>
      <c r="F130" s="332"/>
    </row>
    <row r="131" spans="1:6">
      <c r="A131" s="1306" t="s">
        <v>295</v>
      </c>
      <c r="B131" s="1307">
        <v>1</v>
      </c>
      <c r="C131" s="332"/>
      <c r="D131" s="332"/>
      <c r="E131" s="332"/>
      <c r="F131" s="332"/>
    </row>
    <row r="132" spans="1:6">
      <c r="A132" s="1301" t="s">
        <v>296</v>
      </c>
      <c r="B132" s="1302">
        <v>13</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96116.577592830916</v>
      </c>
      <c r="C3" s="43" t="s">
        <v>169</v>
      </c>
      <c r="D3" s="43"/>
      <c r="E3" s="156"/>
      <c r="F3" s="43"/>
      <c r="G3" s="43"/>
      <c r="H3" s="43"/>
      <c r="I3" s="43"/>
      <c r="J3" s="43"/>
      <c r="K3" s="96"/>
    </row>
    <row r="4" spans="1:11">
      <c r="A4" s="363" t="s">
        <v>170</v>
      </c>
      <c r="B4" s="49">
        <f>IF(ISERROR('SEAP template'!B78+'SEAP template'!C78),0,'SEAP template'!B78+'SEAP template'!C78)</f>
        <v>20228.394212651521</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1670.4211764705885</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0.19186814767389046</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2386.3159663865549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10098.589285714286</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0.2363019129575154</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1742.5609999999999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1742.5609999999999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0.19186814767389046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334.34195127876222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37661.344690311496</v>
      </c>
      <c r="C5" s="17">
        <f>IF(ISERROR('Eigen informatie GS &amp; warmtenet'!B57),0,'Eigen informatie GS &amp; warmtenet'!B57)</f>
        <v>0</v>
      </c>
      <c r="D5" s="30">
        <f>(SUM(HH_hh_gas_kWh,HH_rest_gas_kWh)/1000)*0.902</f>
        <v>75397.296528634499</v>
      </c>
      <c r="E5" s="17">
        <f>B46*B57</f>
        <v>4932.1606411620487</v>
      </c>
      <c r="F5" s="17">
        <f>B51*B62</f>
        <v>25099.57178592632</v>
      </c>
      <c r="G5" s="18"/>
      <c r="H5" s="17"/>
      <c r="I5" s="17"/>
      <c r="J5" s="17">
        <f>B50*B61+C50*C61</f>
        <v>655.29111237528559</v>
      </c>
      <c r="K5" s="17"/>
      <c r="L5" s="17"/>
      <c r="M5" s="17"/>
      <c r="N5" s="17">
        <f>B48*B59+C48*C59</f>
        <v>19952.240772394645</v>
      </c>
      <c r="O5" s="17">
        <f>B69*B70*B71</f>
        <v>328.3</v>
      </c>
      <c r="P5" s="17">
        <f>B77*B78*B79/1000-B77*B78*B79/1000/B80</f>
        <v>858</v>
      </c>
    </row>
    <row r="6" spans="1:16">
      <c r="A6" s="16" t="s">
        <v>633</v>
      </c>
      <c r="B6" s="779">
        <f>kWh_PV_kleiner_dan_10kW</f>
        <v>5100.9007164292807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42762.245406740774</v>
      </c>
      <c r="C8" s="21">
        <f>C5</f>
        <v>0</v>
      </c>
      <c r="D8" s="21">
        <f>D5</f>
        <v>75397.296528634499</v>
      </c>
      <c r="E8" s="21">
        <f>E5</f>
        <v>4932.1606411620487</v>
      </c>
      <c r="F8" s="21">
        <f>F5</f>
        <v>25099.57178592632</v>
      </c>
      <c r="G8" s="21"/>
      <c r="H8" s="21"/>
      <c r="I8" s="21"/>
      <c r="J8" s="21">
        <f>J5</f>
        <v>655.29111237528559</v>
      </c>
      <c r="K8" s="21"/>
      <c r="L8" s="21">
        <f>L5</f>
        <v>0</v>
      </c>
      <c r="M8" s="21">
        <f>M5</f>
        <v>0</v>
      </c>
      <c r="N8" s="21">
        <f>N5</f>
        <v>19952.240772394645</v>
      </c>
      <c r="O8" s="21">
        <f>O5</f>
        <v>328.3</v>
      </c>
      <c r="P8" s="21">
        <f>P5</f>
        <v>858</v>
      </c>
    </row>
    <row r="9" spans="1:16">
      <c r="B9" s="19"/>
      <c r="C9" s="19"/>
      <c r="D9" s="261"/>
      <c r="E9" s="19"/>
      <c r="F9" s="19"/>
      <c r="G9" s="19"/>
      <c r="H9" s="19"/>
      <c r="I9" s="19"/>
      <c r="J9" s="19"/>
      <c r="K9" s="19"/>
      <c r="L9" s="19"/>
      <c r="M9" s="19"/>
      <c r="N9" s="19"/>
      <c r="O9" s="19"/>
      <c r="P9" s="19"/>
    </row>
    <row r="10" spans="1:16">
      <c r="A10" s="24" t="s">
        <v>213</v>
      </c>
      <c r="B10" s="25">
        <f ca="1">'EF ele_warmte'!B12</f>
        <v>0.19186814767389046</v>
      </c>
      <c r="C10" s="25">
        <f ca="1">'EF ele_warmte'!B22</f>
        <v>0.2363019129575154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8204.7128165676822</v>
      </c>
      <c r="C12" s="23">
        <f ca="1">C10*C8</f>
        <v>0</v>
      </c>
      <c r="D12" s="23">
        <f>D8*D10</f>
        <v>15230.253898784169</v>
      </c>
      <c r="E12" s="23">
        <f>E10*E8</f>
        <v>1119.600465543785</v>
      </c>
      <c r="F12" s="23">
        <f>F10*F8</f>
        <v>6701.5856668423276</v>
      </c>
      <c r="G12" s="23"/>
      <c r="H12" s="23"/>
      <c r="I12" s="23"/>
      <c r="J12" s="23">
        <f>J10*J8</f>
        <v>231.97305378085107</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1839</v>
      </c>
      <c r="C18" s="168" t="s">
        <v>110</v>
      </c>
      <c r="D18" s="230"/>
      <c r="E18" s="15"/>
    </row>
    <row r="19" spans="1:7">
      <c r="A19" s="173" t="s">
        <v>71</v>
      </c>
      <c r="B19" s="37">
        <f>aantalw2001_ander</f>
        <v>1</v>
      </c>
      <c r="C19" s="168" t="s">
        <v>110</v>
      </c>
      <c r="D19" s="231"/>
      <c r="E19" s="15"/>
    </row>
    <row r="20" spans="1:7">
      <c r="A20" s="173" t="s">
        <v>72</v>
      </c>
      <c r="B20" s="37">
        <f>aantalw2001_propaan</f>
        <v>88</v>
      </c>
      <c r="C20" s="169">
        <f>IF(ISERROR(B20/SUM($B$20,$B$21,$B$22)*100),0,B20/SUM($B$20,$B$21,$B$22)*100)</f>
        <v>8.0586080586080584</v>
      </c>
      <c r="D20" s="231"/>
      <c r="E20" s="15"/>
    </row>
    <row r="21" spans="1:7">
      <c r="A21" s="173" t="s">
        <v>73</v>
      </c>
      <c r="B21" s="37">
        <f>aantalw2001_elektriciteit</f>
        <v>900</v>
      </c>
      <c r="C21" s="169">
        <f>IF(ISERROR(B21/SUM($B$20,$B$21,$B$22)*100),0,B21/SUM($B$20,$B$21,$B$22)*100)</f>
        <v>82.417582417582409</v>
      </c>
      <c r="D21" s="231"/>
      <c r="E21" s="15"/>
    </row>
    <row r="22" spans="1:7">
      <c r="A22" s="173" t="s">
        <v>74</v>
      </c>
      <c r="B22" s="37">
        <f>aantalw2001_hout</f>
        <v>104</v>
      </c>
      <c r="C22" s="169">
        <f>IF(ISERROR(B22/SUM($B$20,$B$21,$B$22)*100),0,B22/SUM($B$20,$B$21,$B$22)*100)</f>
        <v>9.5238095238095237</v>
      </c>
      <c r="D22" s="231"/>
      <c r="E22" s="15"/>
    </row>
    <row r="23" spans="1:7">
      <c r="A23" s="173" t="s">
        <v>75</v>
      </c>
      <c r="B23" s="37">
        <f>aantalw2001_niet_gespec</f>
        <v>110</v>
      </c>
      <c r="C23" s="168" t="s">
        <v>110</v>
      </c>
      <c r="D23" s="230"/>
      <c r="E23" s="15"/>
    </row>
    <row r="24" spans="1:7">
      <c r="A24" s="173" t="s">
        <v>76</v>
      </c>
      <c r="B24" s="37">
        <f>aantalw2001_steenkool</f>
        <v>301</v>
      </c>
      <c r="C24" s="168" t="s">
        <v>110</v>
      </c>
      <c r="D24" s="231"/>
      <c r="E24" s="15"/>
    </row>
    <row r="25" spans="1:7">
      <c r="A25" s="173" t="s">
        <v>77</v>
      </c>
      <c r="B25" s="37">
        <f>aantalw2001_stookolie</f>
        <v>3609</v>
      </c>
      <c r="C25" s="168" t="s">
        <v>110</v>
      </c>
      <c r="D25" s="230"/>
      <c r="E25" s="52"/>
    </row>
    <row r="26" spans="1:7">
      <c r="A26" s="173" t="s">
        <v>78</v>
      </c>
      <c r="B26" s="37">
        <f>aantalw2001_WP</f>
        <v>12</v>
      </c>
      <c r="C26" s="168" t="s">
        <v>110</v>
      </c>
      <c r="D26" s="230"/>
      <c r="E26" s="15"/>
    </row>
    <row r="27" spans="1:7" s="15" customFormat="1">
      <c r="A27" s="173"/>
      <c r="B27" s="29"/>
      <c r="C27" s="36"/>
      <c r="D27" s="230"/>
    </row>
    <row r="28" spans="1:7" s="15" customFormat="1">
      <c r="A28" s="232" t="s">
        <v>742</v>
      </c>
      <c r="B28" s="37">
        <f>aantalHuishoudens</f>
        <v>8463</v>
      </c>
      <c r="C28" s="36"/>
      <c r="D28" s="230"/>
    </row>
    <row r="29" spans="1:7" s="15" customFormat="1">
      <c r="A29" s="232" t="s">
        <v>743</v>
      </c>
      <c r="B29" s="37">
        <f>SUM(HH_hh_gas_aantal,HH_rest_gas_aantal)</f>
        <v>4664</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4664</v>
      </c>
      <c r="C32" s="169">
        <f>IF(ISERROR(B32/SUM($B$32,$B$34,$B$35,$B$36,$B$38,$B$39)*100),0,B32/SUM($B$32,$B$34,$B$35,$B$36,$B$38,$B$39)*100)</f>
        <v>55.405084343074364</v>
      </c>
      <c r="D32" s="235"/>
      <c r="G32" s="15"/>
    </row>
    <row r="33" spans="1:7">
      <c r="A33" s="173" t="s">
        <v>71</v>
      </c>
      <c r="B33" s="34" t="s">
        <v>110</v>
      </c>
      <c r="C33" s="169"/>
      <c r="D33" s="235"/>
      <c r="G33" s="15"/>
    </row>
    <row r="34" spans="1:7">
      <c r="A34" s="173" t="s">
        <v>72</v>
      </c>
      <c r="B34" s="33">
        <f>IF((($B$28-$B$32-$B$39-$B$77-$B$38)*C20/100)&lt;0,0,($B$28-$B$32-$B$39-$B$77-$B$38)*C20/100)</f>
        <v>215.08424908424911</v>
      </c>
      <c r="C34" s="169">
        <f>IF(ISERROR(B34/SUM($B$32,$B$34,$B$35,$B$36,$B$38,$B$39)*100),0,B34/SUM($B$32,$B$34,$B$35,$B$36,$B$38,$B$39)*100)</f>
        <v>2.5550516641036958</v>
      </c>
      <c r="D34" s="235"/>
      <c r="G34" s="15"/>
    </row>
    <row r="35" spans="1:7">
      <c r="A35" s="173" t="s">
        <v>73</v>
      </c>
      <c r="B35" s="33">
        <f>IF((($B$28-$B$32-$B$39-$B$77-$B$38)*C21/100)&lt;0,0,($B$28-$B$32-$B$39-$B$77-$B$38)*C21/100)</f>
        <v>2199.7252747252742</v>
      </c>
      <c r="C35" s="169">
        <f>IF(ISERROR(B35/SUM($B$32,$B$34,$B$35,$B$36,$B$38,$B$39)*100),0,B35/SUM($B$32,$B$34,$B$35,$B$36,$B$38,$B$39)*100)</f>
        <v>26.131210201060519</v>
      </c>
      <c r="D35" s="235"/>
      <c r="G35" s="15"/>
    </row>
    <row r="36" spans="1:7">
      <c r="A36" s="173" t="s">
        <v>74</v>
      </c>
      <c r="B36" s="33">
        <f>IF((($B$28-$B$32-$B$39-$B$77-$B$38)*C22/100)&lt;0,0,($B$28-$B$32-$B$39-$B$77-$B$38)*C22/100)</f>
        <v>254.19047619047618</v>
      </c>
      <c r="C36" s="169">
        <f>IF(ISERROR(B36/SUM($B$32,$B$34,$B$35,$B$36,$B$38,$B$39)*100),0,B36/SUM($B$32,$B$34,$B$35,$B$36,$B$38,$B$39)*100)</f>
        <v>3.0196065121225488</v>
      </c>
      <c r="D36" s="235"/>
      <c r="G36" s="15"/>
    </row>
    <row r="37" spans="1:7">
      <c r="A37" s="173" t="s">
        <v>75</v>
      </c>
      <c r="B37" s="34" t="s">
        <v>110</v>
      </c>
      <c r="C37" s="169"/>
      <c r="D37" s="175"/>
      <c r="G37" s="15"/>
    </row>
    <row r="38" spans="1:7">
      <c r="A38" s="173" t="s">
        <v>76</v>
      </c>
      <c r="B38" s="33">
        <f>IF((B24-(B29-B18)*0.1)&lt;0,0,B24-(B29-B18)*0.1)</f>
        <v>18.5</v>
      </c>
      <c r="C38" s="169">
        <f>IF(ISERROR(B38/SUM($B$32,$B$34,$B$35,$B$36,$B$38,$B$39)*100),0,B38/SUM($B$32,$B$34,$B$35,$B$36,$B$38,$B$39)*100)</f>
        <v>0.2197671655975291</v>
      </c>
      <c r="D38" s="236"/>
      <c r="G38" s="15"/>
    </row>
    <row r="39" spans="1:7">
      <c r="A39" s="173" t="s">
        <v>77</v>
      </c>
      <c r="B39" s="33">
        <f>IF((B25-(B29-B18))&lt;0,0,B25-(B29-B18)*0.9)</f>
        <v>1066.5</v>
      </c>
      <c r="C39" s="169">
        <f>IF(ISERROR(B39/SUM($B$32,$B$34,$B$35,$B$36,$B$38,$B$39)*100),0,B39/SUM($B$32,$B$34,$B$35,$B$36,$B$38,$B$39)*100)</f>
        <v>12.66928011404134</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4664</v>
      </c>
      <c r="C44" s="34" t="s">
        <v>110</v>
      </c>
      <c r="D44" s="176"/>
    </row>
    <row r="45" spans="1:7">
      <c r="A45" s="173" t="s">
        <v>71</v>
      </c>
      <c r="B45" s="33" t="str">
        <f t="shared" si="0"/>
        <v>-</v>
      </c>
      <c r="C45" s="34" t="s">
        <v>110</v>
      </c>
      <c r="D45" s="176"/>
    </row>
    <row r="46" spans="1:7">
      <c r="A46" s="173" t="s">
        <v>72</v>
      </c>
      <c r="B46" s="33">
        <f t="shared" si="0"/>
        <v>215.08424908424911</v>
      </c>
      <c r="C46" s="34" t="s">
        <v>110</v>
      </c>
      <c r="D46" s="176"/>
    </row>
    <row r="47" spans="1:7">
      <c r="A47" s="173" t="s">
        <v>73</v>
      </c>
      <c r="B47" s="33">
        <f t="shared" si="0"/>
        <v>2199.7252747252742</v>
      </c>
      <c r="C47" s="34" t="s">
        <v>110</v>
      </c>
      <c r="D47" s="176"/>
    </row>
    <row r="48" spans="1:7">
      <c r="A48" s="173" t="s">
        <v>74</v>
      </c>
      <c r="B48" s="33">
        <f t="shared" si="0"/>
        <v>254.19047619047618</v>
      </c>
      <c r="C48" s="33">
        <f>B48*10</f>
        <v>2541.9047619047619</v>
      </c>
      <c r="D48" s="236"/>
    </row>
    <row r="49" spans="1:6">
      <c r="A49" s="173" t="s">
        <v>75</v>
      </c>
      <c r="B49" s="33" t="str">
        <f t="shared" si="0"/>
        <v>-</v>
      </c>
      <c r="C49" s="34" t="s">
        <v>110</v>
      </c>
      <c r="D49" s="236"/>
    </row>
    <row r="50" spans="1:6">
      <c r="A50" s="173" t="s">
        <v>76</v>
      </c>
      <c r="B50" s="33">
        <f t="shared" si="0"/>
        <v>18.5</v>
      </c>
      <c r="C50" s="33">
        <f>B50*2</f>
        <v>37</v>
      </c>
      <c r="D50" s="236"/>
    </row>
    <row r="51" spans="1:6">
      <c r="A51" s="173" t="s">
        <v>77</v>
      </c>
      <c r="B51" s="33">
        <f t="shared" si="0"/>
        <v>1066.5</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210</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45</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31774.588704060759</v>
      </c>
      <c r="C5" s="17">
        <f>IF(ISERROR('Eigen informatie GS &amp; warmtenet'!B58),0,'Eigen informatie GS &amp; warmtenet'!B58)</f>
        <v>0</v>
      </c>
      <c r="D5" s="30">
        <f>SUM(D6:D12)</f>
        <v>32221.43046115437</v>
      </c>
      <c r="E5" s="17">
        <f>SUM(E6:E12)</f>
        <v>428.36564138805687</v>
      </c>
      <c r="F5" s="17">
        <f>SUM(F6:F12)</f>
        <v>5990.9625208897605</v>
      </c>
      <c r="G5" s="18"/>
      <c r="H5" s="17"/>
      <c r="I5" s="17"/>
      <c r="J5" s="17">
        <f>SUM(J6:J12)</f>
        <v>0</v>
      </c>
      <c r="K5" s="17"/>
      <c r="L5" s="17"/>
      <c r="M5" s="17"/>
      <c r="N5" s="17">
        <f>SUM(N6:N12)</f>
        <v>1790.0801768675478</v>
      </c>
      <c r="O5" s="17">
        <f>B38*B39*B40</f>
        <v>1.5633333333333335</v>
      </c>
      <c r="P5" s="17">
        <f>B46*B47*B48/1000-B46*B47*B48/1000/B49</f>
        <v>38.133333333333333</v>
      </c>
      <c r="R5" s="32"/>
    </row>
    <row r="6" spans="1:18">
      <c r="A6" s="32" t="s">
        <v>53</v>
      </c>
      <c r="B6" s="37">
        <f>B26</f>
        <v>9174.2352964637084</v>
      </c>
      <c r="C6" s="33"/>
      <c r="D6" s="37">
        <f>IF(ISERROR(TER_kantoor_gas_kWh/1000),0,TER_kantoor_gas_kWh/1000)*0.902</f>
        <v>7879.9263273545384</v>
      </c>
      <c r="E6" s="33">
        <f>$C$26*'E Balans VL '!I12/100/3.6*1000000</f>
        <v>35.643846425541504</v>
      </c>
      <c r="F6" s="33">
        <f>$C$26*('E Balans VL '!L12+'E Balans VL '!N12)/100/3.6*1000000</f>
        <v>1395.3177097064465</v>
      </c>
      <c r="G6" s="34"/>
      <c r="H6" s="33"/>
      <c r="I6" s="33"/>
      <c r="J6" s="33">
        <f>$C$26*('E Balans VL '!D12+'E Balans VL '!E12)/100/3.6*1000000</f>
        <v>0</v>
      </c>
      <c r="K6" s="33"/>
      <c r="L6" s="33"/>
      <c r="M6" s="33"/>
      <c r="N6" s="33">
        <f>$C$26*'E Balans VL '!Y12/100/3.6*1000000</f>
        <v>5.0561026946738687</v>
      </c>
      <c r="O6" s="33"/>
      <c r="P6" s="33"/>
      <c r="R6" s="32"/>
    </row>
    <row r="7" spans="1:18">
      <c r="A7" s="32" t="s">
        <v>52</v>
      </c>
      <c r="B7" s="37">
        <f t="shared" ref="B7:B12" si="0">B27</f>
        <v>2784.4197810522801</v>
      </c>
      <c r="C7" s="33"/>
      <c r="D7" s="37">
        <f>IF(ISERROR(TER_horeca_gas_kWh/1000),0,TER_horeca_gas_kWh/1000)*0.902</f>
        <v>4028.1882916778154</v>
      </c>
      <c r="E7" s="33">
        <f>$C$27*'E Balans VL '!I9/100/3.6*1000000</f>
        <v>156.84711069718529</v>
      </c>
      <c r="F7" s="33">
        <f>$C$27*('E Balans VL '!L9+'E Balans VL '!N9)/100/3.6*1000000</f>
        <v>802.85996504619538</v>
      </c>
      <c r="G7" s="34"/>
      <c r="H7" s="33"/>
      <c r="I7" s="33"/>
      <c r="J7" s="33">
        <f>$C$27*('E Balans VL '!D9+'E Balans VL '!E9)/100/3.6*1000000</f>
        <v>0</v>
      </c>
      <c r="K7" s="33"/>
      <c r="L7" s="33"/>
      <c r="M7" s="33"/>
      <c r="N7" s="33">
        <f>$C$27*'E Balans VL '!Y9/100/3.6*1000000</f>
        <v>0.76876383234198886</v>
      </c>
      <c r="O7" s="33"/>
      <c r="P7" s="33"/>
      <c r="R7" s="32"/>
    </row>
    <row r="8" spans="1:18">
      <c r="A8" s="6" t="s">
        <v>51</v>
      </c>
      <c r="B8" s="37">
        <f t="shared" si="0"/>
        <v>13506.087806184201</v>
      </c>
      <c r="C8" s="33"/>
      <c r="D8" s="37">
        <f>IF(ISERROR(TER_handel_gas_kWh/1000),0,TER_handel_gas_kWh/1000)*0.902</f>
        <v>8084.9200652231848</v>
      </c>
      <c r="E8" s="33">
        <f>$C$28*'E Balans VL '!I13/100/3.6*1000000</f>
        <v>194.66854688490631</v>
      </c>
      <c r="F8" s="33">
        <f>$C$28*('E Balans VL '!L13+'E Balans VL '!N13)/100/3.6*1000000</f>
        <v>2346.3219874947035</v>
      </c>
      <c r="G8" s="34"/>
      <c r="H8" s="33"/>
      <c r="I8" s="33"/>
      <c r="J8" s="33">
        <f>$C$28*('E Balans VL '!D13+'E Balans VL '!E13)/100/3.6*1000000</f>
        <v>0</v>
      </c>
      <c r="K8" s="33"/>
      <c r="L8" s="33"/>
      <c r="M8" s="33"/>
      <c r="N8" s="33">
        <f>$C$28*'E Balans VL '!Y13/100/3.6*1000000</f>
        <v>40.465742595995373</v>
      </c>
      <c r="O8" s="33"/>
      <c r="P8" s="33"/>
      <c r="R8" s="32"/>
    </row>
    <row r="9" spans="1:18">
      <c r="A9" s="32" t="s">
        <v>50</v>
      </c>
      <c r="B9" s="37">
        <f t="shared" si="0"/>
        <v>1520.3295571242402</v>
      </c>
      <c r="C9" s="33"/>
      <c r="D9" s="37">
        <f>IF(ISERROR(TER_gezond_gas_kWh/1000),0,TER_gezond_gas_kWh/1000)*0.902</f>
        <v>3735.4809196471133</v>
      </c>
      <c r="E9" s="33">
        <f>$C$29*'E Balans VL '!I10/100/3.6*1000000</f>
        <v>1.6241060219586858</v>
      </c>
      <c r="F9" s="33">
        <f>$C$29*('E Balans VL '!L10+'E Balans VL '!N10)/100/3.6*1000000</f>
        <v>248.01195531604137</v>
      </c>
      <c r="G9" s="34"/>
      <c r="H9" s="33"/>
      <c r="I9" s="33"/>
      <c r="J9" s="33">
        <f>$C$29*('E Balans VL '!D10+'E Balans VL '!E10)/100/3.6*1000000</f>
        <v>0</v>
      </c>
      <c r="K9" s="33"/>
      <c r="L9" s="33"/>
      <c r="M9" s="33"/>
      <c r="N9" s="33">
        <f>$C$29*'E Balans VL '!Y10/100/3.6*1000000</f>
        <v>15.650925307855305</v>
      </c>
      <c r="O9" s="33"/>
      <c r="P9" s="33"/>
      <c r="R9" s="32"/>
    </row>
    <row r="10" spans="1:18">
      <c r="A10" s="32" t="s">
        <v>49</v>
      </c>
      <c r="B10" s="37">
        <f t="shared" si="0"/>
        <v>2207.4916349848399</v>
      </c>
      <c r="C10" s="33"/>
      <c r="D10" s="37">
        <f>IF(ISERROR(TER_ander_gas_kWh/1000),0,TER_ander_gas_kWh/1000)*0.902</f>
        <v>1650.4123956876349</v>
      </c>
      <c r="E10" s="33">
        <f>$C$30*'E Balans VL '!I14/100/3.6*1000000</f>
        <v>10.151918244891101</v>
      </c>
      <c r="F10" s="33">
        <f>$C$30*('E Balans VL '!L14+'E Balans VL '!N14)/100/3.6*1000000</f>
        <v>661.65487354939887</v>
      </c>
      <c r="G10" s="34"/>
      <c r="H10" s="33"/>
      <c r="I10" s="33"/>
      <c r="J10" s="33">
        <f>$C$30*('E Balans VL '!D14+'E Balans VL '!E14)/100/3.6*1000000</f>
        <v>0</v>
      </c>
      <c r="K10" s="33"/>
      <c r="L10" s="33"/>
      <c r="M10" s="33"/>
      <c r="N10" s="33">
        <f>$C$30*'E Balans VL '!Y14/100/3.6*1000000</f>
        <v>1536.559896169141</v>
      </c>
      <c r="O10" s="33"/>
      <c r="P10" s="33"/>
      <c r="R10" s="32"/>
    </row>
    <row r="11" spans="1:18">
      <c r="A11" s="32" t="s">
        <v>54</v>
      </c>
      <c r="B11" s="37">
        <f t="shared" si="0"/>
        <v>168.593436547679</v>
      </c>
      <c r="C11" s="33"/>
      <c r="D11" s="37">
        <f>IF(ISERROR(TER_onderwijs_gas_kWh/1000),0,TER_onderwijs_gas_kWh/1000)*0.902</f>
        <v>370.46293674499208</v>
      </c>
      <c r="E11" s="33">
        <f>$C$31*'E Balans VL '!I11/100/3.6*1000000</f>
        <v>0.15639258391482919</v>
      </c>
      <c r="F11" s="33">
        <f>$C$31*('E Balans VL '!L11+'E Balans VL '!N11)/100/3.6*1000000</f>
        <v>59.22299941764701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2413.4311917038099</v>
      </c>
      <c r="C12" s="33"/>
      <c r="D12" s="37">
        <f>IF(ISERROR(TER_rest_gas_kWh/1000),0,TER_rest_gas_kWh/1000)*0.902</f>
        <v>6472.0395248190925</v>
      </c>
      <c r="E12" s="33">
        <f>$C$32*'E Balans VL '!I8/100/3.6*1000000</f>
        <v>29.273720529659109</v>
      </c>
      <c r="F12" s="33">
        <f>$C$32*('E Balans VL '!L8+'E Balans VL '!N8)/100/3.6*1000000</f>
        <v>477.57303035932802</v>
      </c>
      <c r="G12" s="34"/>
      <c r="H12" s="33"/>
      <c r="I12" s="33"/>
      <c r="J12" s="33">
        <f>$C$32*('E Balans VL '!D8+'E Balans VL '!E8)/100/3.6*1000000</f>
        <v>0</v>
      </c>
      <c r="K12" s="33"/>
      <c r="L12" s="33"/>
      <c r="M12" s="33"/>
      <c r="N12" s="33">
        <f>$C$32*'E Balans VL '!Y8/100/3.6*1000000</f>
        <v>191.57874626754034</v>
      </c>
      <c r="O12" s="33"/>
      <c r="P12" s="33"/>
      <c r="R12" s="32"/>
    </row>
    <row r="13" spans="1:18">
      <c r="A13" s="16" t="s">
        <v>496</v>
      </c>
      <c r="B13" s="249">
        <f ca="1">'lokale energieproductie'!N41+'lokale energieproductie'!N34</f>
        <v>135</v>
      </c>
      <c r="C13" s="249">
        <f ca="1">'lokale energieproductie'!O41+'lokale energieproductie'!O34</f>
        <v>192.85714285714286</v>
      </c>
      <c r="D13" s="310">
        <f ca="1">('lokale energieproductie'!P34+'lokale energieproductie'!P41)*(-1)</f>
        <v>-385.71428571428572</v>
      </c>
      <c r="E13" s="250"/>
      <c r="F13" s="310">
        <f ca="1">('lokale energieproductie'!S34+'lokale energieproductie'!S41)*(-1)</f>
        <v>0</v>
      </c>
      <c r="G13" s="251"/>
      <c r="H13" s="250"/>
      <c r="I13" s="250"/>
      <c r="J13" s="250"/>
      <c r="K13" s="250"/>
      <c r="L13" s="310">
        <f ca="1">('lokale energieproductie'!U34+'lokale energieproductie'!T34+'lokale energieproductie'!U41+'lokale energieproductie'!T41)*(-1)</f>
        <v>0</v>
      </c>
      <c r="M13" s="250"/>
      <c r="N13" s="310">
        <f ca="1">('lokale energieproductie'!Q34+'lokale energieproductie'!R34+'lokale energieproductie'!V34+'lokale energieproductie'!Q41+'lokale energieproductie'!R41+'lokale energieproductie'!V41)*(-1)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31909.588704060759</v>
      </c>
      <c r="C16" s="21">
        <f t="shared" ca="1" si="1"/>
        <v>192.85714285714286</v>
      </c>
      <c r="D16" s="21">
        <f t="shared" ca="1" si="1"/>
        <v>31835.716175440084</v>
      </c>
      <c r="E16" s="21">
        <f t="shared" si="1"/>
        <v>428.36564138805687</v>
      </c>
      <c r="F16" s="21">
        <f t="shared" ca="1" si="1"/>
        <v>5990.9625208897605</v>
      </c>
      <c r="G16" s="21">
        <f t="shared" si="1"/>
        <v>0</v>
      </c>
      <c r="H16" s="21">
        <f t="shared" si="1"/>
        <v>0</v>
      </c>
      <c r="I16" s="21">
        <f t="shared" si="1"/>
        <v>0</v>
      </c>
      <c r="J16" s="21">
        <f t="shared" si="1"/>
        <v>0</v>
      </c>
      <c r="K16" s="21">
        <f t="shared" si="1"/>
        <v>0</v>
      </c>
      <c r="L16" s="21">
        <f t="shared" ca="1" si="1"/>
        <v>0</v>
      </c>
      <c r="M16" s="21">
        <f t="shared" si="1"/>
        <v>0</v>
      </c>
      <c r="N16" s="21">
        <f t="shared" ca="1" si="1"/>
        <v>1790.0801768675478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0.19186814767389046</v>
      </c>
      <c r="C18" s="25">
        <f ca="1">'EF ele_warmte'!B22</f>
        <v>0.2363019129575154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6122.4336776838363</v>
      </c>
      <c r="C20" s="23">
        <f t="shared" ref="C20:P20" ca="1" si="2">C16*C18</f>
        <v>45.572511784663689</v>
      </c>
      <c r="D20" s="23">
        <f t="shared" ca="1" si="2"/>
        <v>6430.8146674388972</v>
      </c>
      <c r="E20" s="23">
        <f t="shared" si="2"/>
        <v>97.23900059508891</v>
      </c>
      <c r="F20" s="23">
        <f t="shared" ca="1" si="2"/>
        <v>1599.5869930775661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9174.2352964637084</v>
      </c>
      <c r="C26" s="39">
        <f>IF(ISERROR(B26*3.6/1000000/'E Balans VL '!Z12*100),0,B26*3.6/1000000/'E Balans VL '!Z12*100)</f>
        <v>0.19486530202230082</v>
      </c>
      <c r="D26" s="239" t="s">
        <v>689</v>
      </c>
      <c r="F26" s="6"/>
    </row>
    <row r="27" spans="1:18">
      <c r="A27" s="233" t="s">
        <v>52</v>
      </c>
      <c r="B27" s="33">
        <f>IF(ISERROR(TER_horeca_ele_kWh/1000),0,TER_horeca_ele_kWh/1000)</f>
        <v>2784.4197810522801</v>
      </c>
      <c r="C27" s="39">
        <f>IF(ISERROR(B27*3.6/1000000/'E Balans VL '!Z9*100),0,B27*3.6/1000000/'E Balans VL '!Z9*100)</f>
        <v>0.21650559531128971</v>
      </c>
      <c r="D27" s="239" t="s">
        <v>689</v>
      </c>
      <c r="F27" s="6"/>
    </row>
    <row r="28" spans="1:18">
      <c r="A28" s="173" t="s">
        <v>51</v>
      </c>
      <c r="B28" s="33">
        <f>IF(ISERROR(TER_handel_ele_kWh/1000),0,TER_handel_ele_kWh/1000)</f>
        <v>13506.087806184201</v>
      </c>
      <c r="C28" s="39">
        <f>IF(ISERROR(B28*3.6/1000000/'E Balans VL '!Z13*100),0,B28*3.6/1000000/'E Balans VL '!Z13*100)</f>
        <v>0.38642506721021275</v>
      </c>
      <c r="D28" s="239" t="s">
        <v>689</v>
      </c>
      <c r="F28" s="6"/>
    </row>
    <row r="29" spans="1:18">
      <c r="A29" s="233" t="s">
        <v>50</v>
      </c>
      <c r="B29" s="33">
        <f>IF(ISERROR(TER_gezond_ele_kWh/1000),0,TER_gezond_ele_kWh/1000)</f>
        <v>1520.3295571242402</v>
      </c>
      <c r="C29" s="39">
        <f>IF(ISERROR(B29*3.6/1000000/'E Balans VL '!Z10*100),0,B29*3.6/1000000/'E Balans VL '!Z10*100)</f>
        <v>0.1657512499484716</v>
      </c>
      <c r="D29" s="239" t="s">
        <v>689</v>
      </c>
      <c r="F29" s="6"/>
    </row>
    <row r="30" spans="1:18">
      <c r="A30" s="233" t="s">
        <v>49</v>
      </c>
      <c r="B30" s="33">
        <f>IF(ISERROR(TER_ander_ele_kWh/1000),0,TER_ander_ele_kWh/1000)</f>
        <v>2207.4916349848399</v>
      </c>
      <c r="C30" s="39">
        <f>IF(ISERROR(B30*3.6/1000000/'E Balans VL '!Z14*100),0,B30*3.6/1000000/'E Balans VL '!Z14*100)</f>
        <v>0.16153923027212347</v>
      </c>
      <c r="D30" s="239" t="s">
        <v>689</v>
      </c>
      <c r="F30" s="6"/>
    </row>
    <row r="31" spans="1:18">
      <c r="A31" s="233" t="s">
        <v>54</v>
      </c>
      <c r="B31" s="33">
        <f>IF(ISERROR(TER_onderwijs_ele_kWh/1000),0,TER_onderwijs_ele_kWh/1000)</f>
        <v>168.593436547679</v>
      </c>
      <c r="C31" s="39">
        <f>IF(ISERROR(B31*3.6/1000000/'E Balans VL '!Z11*100),0,B31*3.6/1000000/'E Balans VL '!Z11*100)</f>
        <v>3.3862116924635095E-2</v>
      </c>
      <c r="D31" s="239" t="s">
        <v>689</v>
      </c>
    </row>
    <row r="32" spans="1:18">
      <c r="A32" s="233" t="s">
        <v>259</v>
      </c>
      <c r="B32" s="33">
        <f>IF(ISERROR(TER_rest_ele_kWh/1000),0,TER_rest_ele_kWh/1000)</f>
        <v>2413.4311917038099</v>
      </c>
      <c r="C32" s="39">
        <f>IF(ISERROR(B32*3.6/1000000/'E Balans VL '!Z8*100),0,B32*3.6/1000000/'E Balans VL '!Z8*100)</f>
        <v>1.9667999575412834E-2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1</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2</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7653.4536368485597</v>
      </c>
      <c r="C5" s="17">
        <f>IF(ISERROR('Eigen informatie GS &amp; warmtenet'!B59),0,'Eigen informatie GS &amp; warmtenet'!B59)</f>
        <v>0</v>
      </c>
      <c r="D5" s="30">
        <f>SUM(D6:D15)</f>
        <v>25498.835591521616</v>
      </c>
      <c r="E5" s="17">
        <f>SUM(E6:E15)</f>
        <v>1201.3854392315338</v>
      </c>
      <c r="F5" s="17">
        <f>SUM(F6:F15)</f>
        <v>4025.0250020789799</v>
      </c>
      <c r="G5" s="18"/>
      <c r="H5" s="17"/>
      <c r="I5" s="17"/>
      <c r="J5" s="17">
        <f>SUM(J6:J15)</f>
        <v>6.6627402052090394</v>
      </c>
      <c r="K5" s="17"/>
      <c r="L5" s="17"/>
      <c r="M5" s="17"/>
      <c r="N5" s="17">
        <f>SUM(N6:N15)</f>
        <v>627.80762579377972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648.68377412068708</v>
      </c>
      <c r="C8" s="33"/>
      <c r="D8" s="37">
        <f>IF( ISERROR(IND_metaal_Gas_kWH/1000),0,IND_metaal_Gas_kWH/1000)*0.902</f>
        <v>230.58016184069768</v>
      </c>
      <c r="E8" s="33">
        <f>C30*'E Balans VL '!I18/100/3.6*1000000</f>
        <v>18.632632852929049</v>
      </c>
      <c r="F8" s="33">
        <f>C30*'E Balans VL '!L18/100/3.6*1000000+C30*'E Balans VL '!N18/100/3.6*1000000</f>
        <v>166.37491208004056</v>
      </c>
      <c r="G8" s="34"/>
      <c r="H8" s="33"/>
      <c r="I8" s="33"/>
      <c r="J8" s="40">
        <f>C30*'E Balans VL '!D18/100/3.6*1000000+C30*'E Balans VL '!E18/100/3.6*1000000</f>
        <v>0</v>
      </c>
      <c r="K8" s="33"/>
      <c r="L8" s="33"/>
      <c r="M8" s="33"/>
      <c r="N8" s="33">
        <f>C30*'E Balans VL '!Y18/100/3.6*1000000</f>
        <v>17.613088618562362</v>
      </c>
      <c r="O8" s="33"/>
      <c r="P8" s="33"/>
      <c r="R8" s="32"/>
    </row>
    <row r="9" spans="1:18">
      <c r="A9" s="6" t="s">
        <v>32</v>
      </c>
      <c r="B9" s="37">
        <f t="shared" si="0"/>
        <v>3669.5557261608101</v>
      </c>
      <c r="C9" s="33"/>
      <c r="D9" s="37">
        <f>IF( ISERROR(IND_andere_gas_kWh/1000),0,IND_andere_gas_kWh/1000)*0.902</f>
        <v>1952.5838399386453</v>
      </c>
      <c r="E9" s="33">
        <f>C31*'E Balans VL '!I19/100/3.6*1000000</f>
        <v>993.25851155667431</v>
      </c>
      <c r="F9" s="33">
        <f>C31*'E Balans VL '!L19/100/3.6*1000000+C31*'E Balans VL '!N19/100/3.6*1000000</f>
        <v>2444.3124337352124</v>
      </c>
      <c r="G9" s="34"/>
      <c r="H9" s="33"/>
      <c r="I9" s="33"/>
      <c r="J9" s="40">
        <f>C31*'E Balans VL '!D19/100/3.6*1000000+C31*'E Balans VL '!E19/100/3.6*1000000</f>
        <v>0</v>
      </c>
      <c r="K9" s="33"/>
      <c r="L9" s="33"/>
      <c r="M9" s="33"/>
      <c r="N9" s="33">
        <f>C31*'E Balans VL '!Y19/100/3.6*1000000</f>
        <v>310.23662861603646</v>
      </c>
      <c r="O9" s="33"/>
      <c r="P9" s="33"/>
      <c r="R9" s="32"/>
    </row>
    <row r="10" spans="1:18">
      <c r="A10" s="6" t="s">
        <v>40</v>
      </c>
      <c r="B10" s="37">
        <f t="shared" si="0"/>
        <v>530.82213263241795</v>
      </c>
      <c r="C10" s="33"/>
      <c r="D10" s="37">
        <f>IF( ISERROR(IND_voed_gas_kWh/1000),0,IND_voed_gas_kWh/1000)*0.902</f>
        <v>502.78992035620735</v>
      </c>
      <c r="E10" s="33">
        <f>C32*'E Balans VL '!I20/100/3.6*1000000</f>
        <v>43.295072669615848</v>
      </c>
      <c r="F10" s="33">
        <f>C32*'E Balans VL '!L20/100/3.6*1000000+C32*'E Balans VL '!N20/100/3.6*1000000</f>
        <v>791.50396015868432</v>
      </c>
      <c r="G10" s="34"/>
      <c r="H10" s="33"/>
      <c r="I10" s="33"/>
      <c r="J10" s="40">
        <f>C32*'E Balans VL '!D20/100/3.6*1000000+C32*'E Balans VL '!E20/100/3.6*1000000</f>
        <v>7.0221324830953558E-3</v>
      </c>
      <c r="K10" s="33"/>
      <c r="L10" s="33"/>
      <c r="M10" s="33"/>
      <c r="N10" s="33">
        <f>C32*'E Balans VL '!Y20/100/3.6*1000000</f>
        <v>155.93681187403439</v>
      </c>
      <c r="O10" s="33"/>
      <c r="P10" s="33"/>
      <c r="R10" s="32"/>
    </row>
    <row r="11" spans="1:18">
      <c r="A11" s="6" t="s">
        <v>39</v>
      </c>
      <c r="B11" s="37">
        <f t="shared" si="0"/>
        <v>82.269760736425198</v>
      </c>
      <c r="C11" s="33"/>
      <c r="D11" s="37">
        <f>IF( ISERROR(IND_textiel_gas_kWh/1000),0,IND_textiel_gas_kWh/1000)*0.902</f>
        <v>0</v>
      </c>
      <c r="E11" s="33">
        <f>C33*'E Balans VL '!I21/100/3.6*1000000</f>
        <v>1.6307549793385081E-2</v>
      </c>
      <c r="F11" s="33">
        <f>C33*'E Balans VL '!L21/100/3.6*1000000+C33*'E Balans VL '!N21/100/3.6*1000000</f>
        <v>3.0300945467057341</v>
      </c>
      <c r="G11" s="34"/>
      <c r="H11" s="33"/>
      <c r="I11" s="33"/>
      <c r="J11" s="40">
        <f>C33*'E Balans VL '!D21/100/3.6*1000000+C33*'E Balans VL '!E21/100/3.6*1000000</f>
        <v>0</v>
      </c>
      <c r="K11" s="33"/>
      <c r="L11" s="33"/>
      <c r="M11" s="33"/>
      <c r="N11" s="33">
        <f>C33*'E Balans VL '!Y21/100/3.6*1000000</f>
        <v>0.38253361909405231</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125.339265890989</v>
      </c>
      <c r="C13" s="33"/>
      <c r="D13" s="37">
        <f>IF( ISERROR(IND_papier_gas_kWh/1000),0,IND_papier_gas_kWh/1000)*0.902</f>
        <v>209.67091174187328</v>
      </c>
      <c r="E13" s="33">
        <f>C35*'E Balans VL '!I23/100/3.6*1000000</f>
        <v>1.3131571504838577</v>
      </c>
      <c r="F13" s="33">
        <f>C35*'E Balans VL '!L23/100/3.6*1000000+C35*'E Balans VL '!N23/100/3.6*1000000</f>
        <v>9.352838236673259</v>
      </c>
      <c r="G13" s="34"/>
      <c r="H13" s="33"/>
      <c r="I13" s="33"/>
      <c r="J13" s="40">
        <f>C35*'E Balans VL '!D23/100/3.6*1000000+C35*'E Balans VL '!E23/100/3.6*1000000</f>
        <v>0</v>
      </c>
      <c r="K13" s="33"/>
      <c r="L13" s="33"/>
      <c r="M13" s="33"/>
      <c r="N13" s="33">
        <f>C35*'E Balans VL '!Y23/100/3.6*1000000</f>
        <v>23.122384410934867</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2596.7829773072299</v>
      </c>
      <c r="C15" s="33"/>
      <c r="D15" s="37">
        <f>IF( ISERROR(IND_rest_gas_kWh/1000),0,IND_rest_gas_kWh/1000)*0.902</f>
        <v>22603.210757644192</v>
      </c>
      <c r="E15" s="33">
        <f>C37*'E Balans VL '!I15/100/3.6*1000000</f>
        <v>144.86975745203739</v>
      </c>
      <c r="F15" s="33">
        <f>C37*'E Balans VL '!L15/100/3.6*1000000+C37*'E Balans VL '!N15/100/3.6*1000000</f>
        <v>610.450763321664</v>
      </c>
      <c r="G15" s="34"/>
      <c r="H15" s="33"/>
      <c r="I15" s="33"/>
      <c r="J15" s="40">
        <f>C37*'E Balans VL '!D15/100/3.6*1000000+C37*'E Balans VL '!E15/100/3.6*1000000</f>
        <v>6.6557180727259437</v>
      </c>
      <c r="K15" s="33"/>
      <c r="L15" s="33"/>
      <c r="M15" s="33"/>
      <c r="N15" s="33">
        <f>C37*'E Balans VL '!Y15/100/3.6*1000000</f>
        <v>120.51617865511768</v>
      </c>
      <c r="O15" s="33"/>
      <c r="P15" s="33"/>
      <c r="R15" s="32"/>
    </row>
    <row r="16" spans="1:18">
      <c r="A16" s="16" t="s">
        <v>496</v>
      </c>
      <c r="B16" s="249">
        <f>'lokale energieproductie'!N40+'lokale energieproductie'!N33</f>
        <v>0</v>
      </c>
      <c r="C16" s="249">
        <f>'lokale energieproductie'!O40+'lokale energieproductie'!O33</f>
        <v>0</v>
      </c>
      <c r="D16" s="310">
        <f>('lokale energieproductie'!P33+'lokale energieproductie'!P40)*(-1)</f>
        <v>0</v>
      </c>
      <c r="E16" s="250"/>
      <c r="F16" s="310">
        <f>('lokale energieproductie'!S33+'lokale energieproductie'!S40)*(-1)</f>
        <v>0</v>
      </c>
      <c r="G16" s="251"/>
      <c r="H16" s="250"/>
      <c r="I16" s="250"/>
      <c r="J16" s="250"/>
      <c r="K16" s="250"/>
      <c r="L16" s="310">
        <f>('lokale energieproductie'!T33+'lokale energieproductie'!U33+'lokale energieproductie'!T40+'lokale energieproductie'!U40)*(-1)</f>
        <v>0</v>
      </c>
      <c r="M16" s="250"/>
      <c r="N16" s="310">
        <f>('lokale energieproductie'!Q33+'lokale energieproductie'!R33+'lokale energieproductie'!V33+'lokale energieproductie'!Q40+'lokale energieproductie'!R40+'lokale energieproductie'!V40)*(-1)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7653.4536368485597</v>
      </c>
      <c r="C18" s="21">
        <f>C5+C16</f>
        <v>0</v>
      </c>
      <c r="D18" s="21">
        <f>MAX((D5+D16),0)</f>
        <v>25498.835591521616</v>
      </c>
      <c r="E18" s="21">
        <f>MAX((E5+E16),0)</f>
        <v>1201.3854392315338</v>
      </c>
      <c r="F18" s="21">
        <f>MAX((F5+F16),0)</f>
        <v>4025.0250020789799</v>
      </c>
      <c r="G18" s="21"/>
      <c r="H18" s="21"/>
      <c r="I18" s="21"/>
      <c r="J18" s="21">
        <f>MAX((J5+J16),0)</f>
        <v>6.6627402052090394</v>
      </c>
      <c r="K18" s="21"/>
      <c r="L18" s="21">
        <f>MAX((L5+L16),0)</f>
        <v>0</v>
      </c>
      <c r="M18" s="21"/>
      <c r="N18" s="21">
        <f>MAX((N5+N16),0)</f>
        <v>627.80762579377972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0.19186814767389046</v>
      </c>
      <c r="C20" s="25">
        <f ca="1">'EF ele_warmte'!B22</f>
        <v>0.2363019129575154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1468.4539726101334</v>
      </c>
      <c r="C22" s="23">
        <f ca="1">C18*C20</f>
        <v>0</v>
      </c>
      <c r="D22" s="23">
        <f>D18*D20</f>
        <v>5150.7647894873671</v>
      </c>
      <c r="E22" s="23">
        <f>E18*E20</f>
        <v>272.7144947055582</v>
      </c>
      <c r="F22" s="23">
        <f>F18*F20</f>
        <v>1074.6816755550876</v>
      </c>
      <c r="G22" s="23"/>
      <c r="H22" s="23"/>
      <c r="I22" s="23"/>
      <c r="J22" s="23">
        <f>J18*J20</f>
        <v>2.358610032644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648.68377412068708</v>
      </c>
      <c r="C30" s="39">
        <f>IF(ISERROR(B30*3.6/1000000/'E Balans VL '!Z18*100),0,B30*3.6/1000000/'E Balans VL '!Z18*100)</f>
        <v>6.3828827460196538E-2</v>
      </c>
      <c r="D30" s="239" t="s">
        <v>689</v>
      </c>
    </row>
    <row r="31" spans="1:18">
      <c r="A31" s="6" t="s">
        <v>32</v>
      </c>
      <c r="B31" s="37">
        <f>IF( ISERROR(IND_ander_ele_kWh/1000),0,IND_ander_ele_kWh/1000)</f>
        <v>3669.5557261608101</v>
      </c>
      <c r="C31" s="39">
        <f>IF(ISERROR(B31*3.6/1000000/'E Balans VL '!Z19*100),0,B31*3.6/1000000/'E Balans VL '!Z19*100)</f>
        <v>0.15980622469853512</v>
      </c>
      <c r="D31" s="239" t="s">
        <v>689</v>
      </c>
    </row>
    <row r="32" spans="1:18">
      <c r="A32" s="173" t="s">
        <v>40</v>
      </c>
      <c r="B32" s="37">
        <f>IF( ISERROR(IND_voed_ele_kWh/1000),0,IND_voed_ele_kWh/1000)</f>
        <v>530.82213263241795</v>
      </c>
      <c r="C32" s="39">
        <f>IF(ISERROR(B32*3.6/1000000/'E Balans VL '!Z20*100),0,B32*3.6/1000000/'E Balans VL '!Z20*100)</f>
        <v>0.10071584437905293</v>
      </c>
      <c r="D32" s="239" t="s">
        <v>689</v>
      </c>
    </row>
    <row r="33" spans="1:5">
      <c r="A33" s="173" t="s">
        <v>39</v>
      </c>
      <c r="B33" s="37">
        <f>IF( ISERROR(IND_textiel_ele_kWh/1000),0,IND_textiel_ele_kWh/1000)</f>
        <v>82.269760736425198</v>
      </c>
      <c r="C33" s="39">
        <f>IF(ISERROR(B33*3.6/1000000/'E Balans VL '!Z21*100),0,B33*3.6/1000000/'E Balans VL '!Z21*100)</f>
        <v>4.6971861270843464E-3</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125.339265890989</v>
      </c>
      <c r="C35" s="39">
        <f>IF(ISERROR(B35*3.6/1000000/'E Balans VL '!Z22*100),0,B35*3.6/1000000/'E Balans VL '!Z22*100)</f>
        <v>1.7623959401950481E-2</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2596.7829773072299</v>
      </c>
      <c r="C37" s="39">
        <f>IF(ISERROR(B37*3.6/1000000/'E Balans VL '!Z15*100),0,B37*3.6/1000000/'E Balans VL '!Z15*100)</f>
        <v>2.0011402347096773E-2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10940.150685644068</v>
      </c>
      <c r="C5" s="17">
        <f>'Eigen informatie GS &amp; warmtenet'!B60</f>
        <v>0</v>
      </c>
      <c r="D5" s="30">
        <f>IF(ISERROR(SUM(LB_lb_gas_kWh,LB_rest_gas_kWh)/1000),0,SUM(LB_lb_gas_kWh,LB_rest_gas_kWh)/1000)*0.902</f>
        <v>63692.065834347493</v>
      </c>
      <c r="E5" s="17">
        <f>B17*'E Balans VL '!I25/3.6*1000000/100</f>
        <v>137.85999241875376</v>
      </c>
      <c r="F5" s="17">
        <f>B17*('E Balans VL '!L25/3.6*1000000+'E Balans VL '!N25/3.6*1000000)/100</f>
        <v>37746.260536980633</v>
      </c>
      <c r="G5" s="18"/>
      <c r="H5" s="17"/>
      <c r="I5" s="17"/>
      <c r="J5" s="17">
        <f>('E Balans VL '!D25+'E Balans VL '!E25)/3.6*1000000*landbouw!B17/100</f>
        <v>1645.2742998770614</v>
      </c>
      <c r="K5" s="17"/>
      <c r="L5" s="17">
        <f>L6*(-1)</f>
        <v>0</v>
      </c>
      <c r="M5" s="17"/>
      <c r="N5" s="17">
        <f>N6*(-1)</f>
        <v>114.32142857142857</v>
      </c>
      <c r="O5" s="17"/>
      <c r="P5" s="17"/>
      <c r="R5" s="32"/>
    </row>
    <row r="6" spans="1:18">
      <c r="A6" s="16" t="s">
        <v>496</v>
      </c>
      <c r="B6" s="17" t="s">
        <v>210</v>
      </c>
      <c r="C6" s="17">
        <f>'lokale energieproductie'!O42+'lokale energieproductie'!O35</f>
        <v>9905.7321428571431</v>
      </c>
      <c r="D6" s="310">
        <f>('lokale energieproductie'!P35+'lokale energieproductie'!P42)*(-1)</f>
        <v>-19697.142857142859</v>
      </c>
      <c r="E6" s="250"/>
      <c r="F6" s="310">
        <f>('lokale energieproductie'!S35+'lokale energieproductie'!S42)*(-1)</f>
        <v>0</v>
      </c>
      <c r="G6" s="251"/>
      <c r="H6" s="250"/>
      <c r="I6" s="250"/>
      <c r="J6" s="250"/>
      <c r="K6" s="250"/>
      <c r="L6" s="310">
        <f>('lokale energieproductie'!T35+'lokale energieproductie'!U35+'lokale energieproductie'!T42+'lokale energieproductie'!U42)*(-1)</f>
        <v>0</v>
      </c>
      <c r="M6" s="250"/>
      <c r="N6" s="1030">
        <f>('lokale energieproductie'!V35+'lokale energieproductie'!R35+'lokale energieproductie'!Q35+'lokale energieproductie'!Q42+'lokale energieproductie'!R42+'lokale energieproductie'!V42)*(-1)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10940.150685644068</v>
      </c>
      <c r="C8" s="21">
        <f>C5+C6</f>
        <v>9905.7321428571431</v>
      </c>
      <c r="D8" s="21">
        <f>MAX((D5+D6),0)</f>
        <v>43994.922977204638</v>
      </c>
      <c r="E8" s="21">
        <f>MAX((E5+E6),0)</f>
        <v>137.85999241875376</v>
      </c>
      <c r="F8" s="21">
        <f>MAX((F5+F6),0)</f>
        <v>37746.260536980633</v>
      </c>
      <c r="G8" s="21"/>
      <c r="H8" s="21"/>
      <c r="I8" s="21"/>
      <c r="J8" s="21">
        <f>MAX((J5+J6),0)</f>
        <v>1645.2742998770614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0.19186814767389046</v>
      </c>
      <c r="C10" s="31">
        <f ca="1">'EF ele_warmte'!B22</f>
        <v>0.2363019129575154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2099.0664473277702</v>
      </c>
      <c r="C12" s="23">
        <f ca="1">C8*C10</f>
        <v>2340.7434546018912</v>
      </c>
      <c r="D12" s="23">
        <f>D8*D10</f>
        <v>8886.9744413953376</v>
      </c>
      <c r="E12" s="23">
        <f>E8*E10</f>
        <v>31.294218279057105</v>
      </c>
      <c r="F12" s="23">
        <f>F8*F10</f>
        <v>10078.251563373829</v>
      </c>
      <c r="G12" s="23"/>
      <c r="H12" s="23"/>
      <c r="I12" s="23"/>
      <c r="J12" s="23">
        <f>J8*J10</f>
        <v>582.42710215647969</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1.5258062071128862</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773.09740619004299</v>
      </c>
      <c r="C26" s="249">
        <f>B26*'GWP N2O_CH4'!B5</f>
        <v>16235.045529990903</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234.41919572363022</v>
      </c>
      <c r="C27" s="249">
        <f>B27*'GWP N2O_CH4'!B5</f>
        <v>4922.8031101962351</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10.864686071336749</v>
      </c>
      <c r="C28" s="249">
        <f>B28*'GWP N2O_CH4'!B4</f>
        <v>3368.0526821143922</v>
      </c>
      <c r="D28" s="50"/>
    </row>
    <row r="29" spans="1:4">
      <c r="A29" s="41" t="s">
        <v>276</v>
      </c>
      <c r="B29" s="249">
        <f>B34*'ha_N2O bodem landbouw'!B4</f>
        <v>19.758122324385546</v>
      </c>
      <c r="C29" s="249">
        <f>B29*'GWP N2O_CH4'!B4</f>
        <v>6125.0179205595196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4.9334057157305296E-3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3.6657738865798702E-5</v>
      </c>
      <c r="C5" s="444" t="s">
        <v>210</v>
      </c>
      <c r="D5" s="429">
        <f>SUM(D6:D11)</f>
        <v>5.9001141233834618E-5</v>
      </c>
      <c r="E5" s="429">
        <f>SUM(E6:E11)</f>
        <v>2.3837995808146167E-3</v>
      </c>
      <c r="F5" s="442" t="s">
        <v>210</v>
      </c>
      <c r="G5" s="429">
        <f>SUM(G6:G11)</f>
        <v>0.85033868760361364</v>
      </c>
      <c r="H5" s="429">
        <f>SUM(H6:H11)</f>
        <v>0.11071688295051557</v>
      </c>
      <c r="I5" s="444" t="s">
        <v>210</v>
      </c>
      <c r="J5" s="444" t="s">
        <v>210</v>
      </c>
      <c r="K5" s="444" t="s">
        <v>210</v>
      </c>
      <c r="L5" s="444" t="s">
        <v>210</v>
      </c>
      <c r="M5" s="429">
        <f>SUM(M6:M11)</f>
        <v>4.3440537551007893E-2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9.8030692414007016E-6</v>
      </c>
      <c r="C6" s="883"/>
      <c r="D6" s="883">
        <f>vkm_GW_PW*SUMIFS(TableVerdeelsleutelVkm[CNG],TableVerdeelsleutelVkm[Voertuigtype],"Lichte voertuigen")*SUMIFS(TableECFTransport[EnergieConsumptieFactor (PJ per km)],TableECFTransport[Index],CONCATENATE($A6,"_CNG_CNG"))</f>
        <v>1.4527856625222313E-5</v>
      </c>
      <c r="E6" s="883">
        <f>vkm_GW_PW*SUMIFS(TableVerdeelsleutelVkm[LPG],TableVerdeelsleutelVkm[Voertuigtype],"Lichte voertuigen")*SUMIFS(TableECFTransport[EnergieConsumptieFactor (PJ per km)],TableECFTransport[Index],CONCATENATE($A6,"_LPG_LPG"))</f>
        <v>5.2033473897606644E-4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0.10471893153046359</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2.6751947854843115E-2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5.947669932737259E-3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7.0465280506073091E-2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1.6372146553575282E-6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3.1816174020443348E-3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4.5844349630577503E-6</v>
      </c>
      <c r="C8" s="883"/>
      <c r="D8" s="432">
        <f>vkm_NGW_PW*SUMIFS(TableVerdeelsleutelVkm[CNG],TableVerdeelsleutelVkm[Voertuigtype],"Lichte voertuigen")*SUMIFS(TableECFTransport[EnergieConsumptieFactor (PJ per km)],TableECFTransport[Index],CONCATENATE($A8,"_CNG_CNG"))</f>
        <v>1.1529582105775131E-5</v>
      </c>
      <c r="E8" s="432">
        <f>vkm_NGW_PW*SUMIFS(TableVerdeelsleutelVkm[LPG],TableVerdeelsleutelVkm[Voertuigtype],"Lichte voertuigen")*SUMIFS(TableECFTransport[EnergieConsumptieFactor (PJ per km)],TableECFTransport[Index],CONCATENATE($A8,"_LPG_LPG"))</f>
        <v>3.9046801086946504E-4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7.4647356888564595E-2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2.0400967534634391E-2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4.3003971725755329E-3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1.6438612922240848E-2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4.427036592596039E-7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7.4223180204125306E-4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2.2270234661340251E-5</v>
      </c>
      <c r="C10" s="883"/>
      <c r="D10" s="432">
        <f>vkm_SW_PW*SUMIFS(TableVerdeelsleutelVkm[CNG],TableVerdeelsleutelVkm[Voertuigtype],"Lichte voertuigen")*SUMIFS(TableECFTransport[EnergieConsumptieFactor (PJ per km)],TableECFTransport[Index],CONCATENATE($A10,"_CNG_CNG"))</f>
        <v>3.2943702502837172E-5</v>
      </c>
      <c r="E10" s="432">
        <f>vkm_SW_PW*SUMIFS(TableVerdeelsleutelVkm[LPG],TableVerdeelsleutelVkm[Voertuigtype],"Lichte voertuigen")*SUMIFS(TableECFTransport[EnergieConsumptieFactor (PJ per km)],TableECFTransport[Index],CONCATENATE($A10,"_LPG_LPG"))</f>
        <v>1.4729968309690851E-3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0.26873686957767817</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6.3554072616060886E-2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1.503088340654982E-2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0.31533163617859344</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7.8150266625578992E-6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1.4237737835059692E-2</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10.18270524049964</v>
      </c>
      <c r="C14" s="21"/>
      <c r="D14" s="21">
        <f t="shared" ref="D14:M14" si="0">((D5)*10^9/3600)+D12</f>
        <v>16.389205898287393</v>
      </c>
      <c r="E14" s="21">
        <f t="shared" si="0"/>
        <v>662.16655022628242</v>
      </c>
      <c r="F14" s="21"/>
      <c r="G14" s="21">
        <f t="shared" si="0"/>
        <v>236205.19100100378</v>
      </c>
      <c r="H14" s="21">
        <f t="shared" si="0"/>
        <v>30754.689708476548</v>
      </c>
      <c r="I14" s="21"/>
      <c r="J14" s="21"/>
      <c r="K14" s="21"/>
      <c r="L14" s="21"/>
      <c r="M14" s="21">
        <f t="shared" si="0"/>
        <v>12066.815986391082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0.19186814767389046</v>
      </c>
      <c r="C16" s="56">
        <f ca="1">'EF ele_warmte'!B22</f>
        <v>0.2363019129575154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1.9537367928038831</v>
      </c>
      <c r="C18" s="23"/>
      <c r="D18" s="23">
        <f t="shared" ref="D18:M18" si="1">D14*D16</f>
        <v>3.3106195914540537</v>
      </c>
      <c r="E18" s="23">
        <f t="shared" si="1"/>
        <v>150.31180690136611</v>
      </c>
      <c r="F18" s="23"/>
      <c r="G18" s="23">
        <f t="shared" si="1"/>
        <v>63066.785997268016</v>
      </c>
      <c r="H18" s="23">
        <f t="shared" si="1"/>
        <v>7657.9177374106603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8.1727064437556729E-3</v>
      </c>
      <c r="H50" s="321">
        <f t="shared" si="2"/>
        <v>0</v>
      </c>
      <c r="I50" s="321">
        <f t="shared" si="2"/>
        <v>0</v>
      </c>
      <c r="J50" s="321">
        <f t="shared" si="2"/>
        <v>0</v>
      </c>
      <c r="K50" s="321">
        <f t="shared" si="2"/>
        <v>0</v>
      </c>
      <c r="L50" s="321">
        <f t="shared" si="2"/>
        <v>0</v>
      </c>
      <c r="M50" s="321">
        <f t="shared" si="2"/>
        <v>3.6377392502772831E-4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8.1727064437556729E-3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3.6377392502772831E-4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2270.1962343765758</v>
      </c>
      <c r="H54" s="21">
        <f t="shared" si="3"/>
        <v>0</v>
      </c>
      <c r="I54" s="21">
        <f t="shared" si="3"/>
        <v>0</v>
      </c>
      <c r="J54" s="21">
        <f t="shared" si="3"/>
        <v>0</v>
      </c>
      <c r="K54" s="21">
        <f t="shared" si="3"/>
        <v>0</v>
      </c>
      <c r="L54" s="21">
        <f t="shared" si="3"/>
        <v>0</v>
      </c>
      <c r="M54" s="21">
        <f t="shared" si="3"/>
        <v>101.04831250770231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0.19186814767389046</v>
      </c>
      <c r="C56" s="56">
        <f ca="1">'EF ele_warmte'!B22</f>
        <v>0.2363019129575154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606.1423945785458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33652.149704060757</v>
      </c>
      <c r="D10" s="686">
        <f ca="1">tertiair!C16</f>
        <v>192.85714285714286</v>
      </c>
      <c r="E10" s="686">
        <f ca="1">tertiair!D16</f>
        <v>31835.716175440084</v>
      </c>
      <c r="F10" s="686">
        <f>tertiair!E16</f>
        <v>428.36564138805687</v>
      </c>
      <c r="G10" s="686">
        <f ca="1">tertiair!F16</f>
        <v>5990.9625208897605</v>
      </c>
      <c r="H10" s="686">
        <f>tertiair!G16</f>
        <v>0</v>
      </c>
      <c r="I10" s="686">
        <f>tertiair!H16</f>
        <v>0</v>
      </c>
      <c r="J10" s="686">
        <f>tertiair!I16</f>
        <v>0</v>
      </c>
      <c r="K10" s="686">
        <f>tertiair!J16</f>
        <v>0</v>
      </c>
      <c r="L10" s="686">
        <f>tertiair!K16</f>
        <v>0</v>
      </c>
      <c r="M10" s="686">
        <f ca="1">tertiair!L16</f>
        <v>0</v>
      </c>
      <c r="N10" s="686">
        <f>tertiair!M16</f>
        <v>0</v>
      </c>
      <c r="O10" s="686">
        <f ca="1">tertiair!N16</f>
        <v>1790.0801768675478</v>
      </c>
      <c r="P10" s="686">
        <f>tertiair!O16</f>
        <v>1.5633333333333335</v>
      </c>
      <c r="Q10" s="687">
        <f>tertiair!P16</f>
        <v>38.133333333333333</v>
      </c>
      <c r="R10" s="689">
        <f ca="1">SUM(C10:Q10)</f>
        <v>73929.828028170014</v>
      </c>
      <c r="S10" s="67"/>
    </row>
    <row r="11" spans="1:19" s="454" customFormat="1">
      <c r="A11" s="801" t="s">
        <v>224</v>
      </c>
      <c r="B11" s="806"/>
      <c r="C11" s="686">
        <f>huishoudens!B8</f>
        <v>42762.245406740774</v>
      </c>
      <c r="D11" s="686">
        <f>huishoudens!C8</f>
        <v>0</v>
      </c>
      <c r="E11" s="686">
        <f>huishoudens!D8</f>
        <v>75397.296528634499</v>
      </c>
      <c r="F11" s="686">
        <f>huishoudens!E8</f>
        <v>4932.1606411620487</v>
      </c>
      <c r="G11" s="686">
        <f>huishoudens!F8</f>
        <v>25099.57178592632</v>
      </c>
      <c r="H11" s="686">
        <f>huishoudens!G8</f>
        <v>0</v>
      </c>
      <c r="I11" s="686">
        <f>huishoudens!H8</f>
        <v>0</v>
      </c>
      <c r="J11" s="686">
        <f>huishoudens!I8</f>
        <v>0</v>
      </c>
      <c r="K11" s="686">
        <f>huishoudens!J8</f>
        <v>655.29111237528559</v>
      </c>
      <c r="L11" s="686">
        <f>huishoudens!K8</f>
        <v>0</v>
      </c>
      <c r="M11" s="686">
        <f>huishoudens!L8</f>
        <v>0</v>
      </c>
      <c r="N11" s="686">
        <f>huishoudens!M8</f>
        <v>0</v>
      </c>
      <c r="O11" s="686">
        <f>huishoudens!N8</f>
        <v>19952.240772394645</v>
      </c>
      <c r="P11" s="686">
        <f>huishoudens!O8</f>
        <v>328.3</v>
      </c>
      <c r="Q11" s="687">
        <f>huishoudens!P8</f>
        <v>858</v>
      </c>
      <c r="R11" s="689">
        <f>SUM(C11:Q11)</f>
        <v>169985.10624723358</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7653.4536368485597</v>
      </c>
      <c r="D13" s="686">
        <f>industrie!C18</f>
        <v>0</v>
      </c>
      <c r="E13" s="686">
        <f>industrie!D18</f>
        <v>25498.835591521616</v>
      </c>
      <c r="F13" s="686">
        <f>industrie!E18</f>
        <v>1201.3854392315338</v>
      </c>
      <c r="G13" s="686">
        <f>industrie!F18</f>
        <v>4025.0250020789799</v>
      </c>
      <c r="H13" s="686">
        <f>industrie!G18</f>
        <v>0</v>
      </c>
      <c r="I13" s="686">
        <f>industrie!H18</f>
        <v>0</v>
      </c>
      <c r="J13" s="686">
        <f>industrie!I18</f>
        <v>0</v>
      </c>
      <c r="K13" s="686">
        <f>industrie!J18</f>
        <v>6.6627402052090394</v>
      </c>
      <c r="L13" s="686">
        <f>industrie!K18</f>
        <v>0</v>
      </c>
      <c r="M13" s="686">
        <f>industrie!L18</f>
        <v>0</v>
      </c>
      <c r="N13" s="686">
        <f>industrie!M18</f>
        <v>0</v>
      </c>
      <c r="O13" s="686">
        <f>industrie!N18</f>
        <v>627.80762579377972</v>
      </c>
      <c r="P13" s="686">
        <f>industrie!O18</f>
        <v>0</v>
      </c>
      <c r="Q13" s="687">
        <f>industrie!P18</f>
        <v>0</v>
      </c>
      <c r="R13" s="689">
        <f>SUM(C13:Q13)</f>
        <v>39013.170035679679</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84067.848747650089</v>
      </c>
      <c r="D16" s="721">
        <f t="shared" ref="D16:R16" ca="1" si="0">SUM(D9:D15)</f>
        <v>192.85714285714286</v>
      </c>
      <c r="E16" s="721">
        <f t="shared" ca="1" si="0"/>
        <v>132731.8482955962</v>
      </c>
      <c r="F16" s="721">
        <f t="shared" si="0"/>
        <v>6561.9117217816402</v>
      </c>
      <c r="G16" s="721">
        <f t="shared" ca="1" si="0"/>
        <v>35115.559308895063</v>
      </c>
      <c r="H16" s="721">
        <f t="shared" si="0"/>
        <v>0</v>
      </c>
      <c r="I16" s="721">
        <f t="shared" si="0"/>
        <v>0</v>
      </c>
      <c r="J16" s="721">
        <f t="shared" si="0"/>
        <v>0</v>
      </c>
      <c r="K16" s="721">
        <f t="shared" si="0"/>
        <v>661.95385258049464</v>
      </c>
      <c r="L16" s="721">
        <f t="shared" si="0"/>
        <v>0</v>
      </c>
      <c r="M16" s="721">
        <f t="shared" ca="1" si="0"/>
        <v>0</v>
      </c>
      <c r="N16" s="721">
        <f t="shared" si="0"/>
        <v>0</v>
      </c>
      <c r="O16" s="721">
        <f t="shared" ca="1" si="0"/>
        <v>22370.128575055973</v>
      </c>
      <c r="P16" s="721">
        <f t="shared" si="0"/>
        <v>329.86333333333334</v>
      </c>
      <c r="Q16" s="721">
        <f t="shared" si="0"/>
        <v>896.13333333333333</v>
      </c>
      <c r="R16" s="721">
        <f t="shared" ca="1" si="0"/>
        <v>282928.10431108327</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2270.1962343765758</v>
      </c>
      <c r="I19" s="686">
        <f>transport!H54</f>
        <v>0</v>
      </c>
      <c r="J19" s="686">
        <f>transport!I54</f>
        <v>0</v>
      </c>
      <c r="K19" s="686">
        <f>transport!J54</f>
        <v>0</v>
      </c>
      <c r="L19" s="686">
        <f>transport!K54</f>
        <v>0</v>
      </c>
      <c r="M19" s="686">
        <f>transport!L54</f>
        <v>0</v>
      </c>
      <c r="N19" s="686">
        <f>transport!M54</f>
        <v>101.04831250770231</v>
      </c>
      <c r="O19" s="686">
        <f>transport!N54</f>
        <v>0</v>
      </c>
      <c r="P19" s="686">
        <f>transport!O54</f>
        <v>0</v>
      </c>
      <c r="Q19" s="687">
        <f>transport!P54</f>
        <v>0</v>
      </c>
      <c r="R19" s="689">
        <f>SUM(C19:Q19)</f>
        <v>2371.244546884278</v>
      </c>
      <c r="S19" s="67"/>
    </row>
    <row r="20" spans="1:19" s="454" customFormat="1">
      <c r="A20" s="801" t="s">
        <v>306</v>
      </c>
      <c r="B20" s="806"/>
      <c r="C20" s="686">
        <f>transport!B14</f>
        <v>10.18270524049964</v>
      </c>
      <c r="D20" s="686">
        <f>transport!C14</f>
        <v>0</v>
      </c>
      <c r="E20" s="686">
        <f>transport!D14</f>
        <v>16.389205898287393</v>
      </c>
      <c r="F20" s="686">
        <f>transport!E14</f>
        <v>662.16655022628242</v>
      </c>
      <c r="G20" s="686">
        <f>transport!F14</f>
        <v>0</v>
      </c>
      <c r="H20" s="686">
        <f>transport!G14</f>
        <v>236205.19100100378</v>
      </c>
      <c r="I20" s="686">
        <f>transport!H14</f>
        <v>30754.689708476548</v>
      </c>
      <c r="J20" s="686">
        <f>transport!I14</f>
        <v>0</v>
      </c>
      <c r="K20" s="686">
        <f>transport!J14</f>
        <v>0</v>
      </c>
      <c r="L20" s="686">
        <f>transport!K14</f>
        <v>0</v>
      </c>
      <c r="M20" s="686">
        <f>transport!L14</f>
        <v>0</v>
      </c>
      <c r="N20" s="686">
        <f>transport!M14</f>
        <v>12066.815986391082</v>
      </c>
      <c r="O20" s="686">
        <f>transport!N14</f>
        <v>0</v>
      </c>
      <c r="P20" s="686">
        <f>transport!O14</f>
        <v>0</v>
      </c>
      <c r="Q20" s="687">
        <f>transport!P14</f>
        <v>0</v>
      </c>
      <c r="R20" s="689">
        <f>SUM(C20:Q20)</f>
        <v>279715.43515723653</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10.18270524049964</v>
      </c>
      <c r="D22" s="804">
        <f t="shared" ref="D22:R22" si="1">SUM(D18:D21)</f>
        <v>0</v>
      </c>
      <c r="E22" s="804">
        <f t="shared" si="1"/>
        <v>16.389205898287393</v>
      </c>
      <c r="F22" s="804">
        <f t="shared" si="1"/>
        <v>662.16655022628242</v>
      </c>
      <c r="G22" s="804">
        <f t="shared" si="1"/>
        <v>0</v>
      </c>
      <c r="H22" s="804">
        <f t="shared" si="1"/>
        <v>238475.38723538036</v>
      </c>
      <c r="I22" s="804">
        <f t="shared" si="1"/>
        <v>30754.689708476548</v>
      </c>
      <c r="J22" s="804">
        <f t="shared" si="1"/>
        <v>0</v>
      </c>
      <c r="K22" s="804">
        <f t="shared" si="1"/>
        <v>0</v>
      </c>
      <c r="L22" s="804">
        <f t="shared" si="1"/>
        <v>0</v>
      </c>
      <c r="M22" s="804">
        <f t="shared" si="1"/>
        <v>0</v>
      </c>
      <c r="N22" s="804">
        <f t="shared" si="1"/>
        <v>12167.864298898785</v>
      </c>
      <c r="O22" s="804">
        <f t="shared" si="1"/>
        <v>0</v>
      </c>
      <c r="P22" s="804">
        <f t="shared" si="1"/>
        <v>0</v>
      </c>
      <c r="Q22" s="804">
        <f t="shared" si="1"/>
        <v>0</v>
      </c>
      <c r="R22" s="804">
        <f t="shared" si="1"/>
        <v>282086.67970412079</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10940.150685644068</v>
      </c>
      <c r="D24" s="686">
        <f>+landbouw!C8</f>
        <v>9905.7321428571431</v>
      </c>
      <c r="E24" s="686">
        <f>+landbouw!D8</f>
        <v>43994.922977204638</v>
      </c>
      <c r="F24" s="686">
        <f>+landbouw!E8</f>
        <v>137.85999241875376</v>
      </c>
      <c r="G24" s="686">
        <f>+landbouw!F8</f>
        <v>37746.260536980633</v>
      </c>
      <c r="H24" s="686">
        <f>+landbouw!G8</f>
        <v>0</v>
      </c>
      <c r="I24" s="686">
        <f>+landbouw!H8</f>
        <v>0</v>
      </c>
      <c r="J24" s="686">
        <f>+landbouw!I8</f>
        <v>0</v>
      </c>
      <c r="K24" s="686">
        <f>+landbouw!J8</f>
        <v>1645.2742998770614</v>
      </c>
      <c r="L24" s="686">
        <f>+landbouw!K8</f>
        <v>0</v>
      </c>
      <c r="M24" s="686">
        <f>+landbouw!L8</f>
        <v>0</v>
      </c>
      <c r="N24" s="686">
        <f>+landbouw!M8</f>
        <v>0</v>
      </c>
      <c r="O24" s="686">
        <f>+landbouw!N8</f>
        <v>0</v>
      </c>
      <c r="P24" s="686">
        <f>+landbouw!O8</f>
        <v>0</v>
      </c>
      <c r="Q24" s="687">
        <f>+landbouw!P8</f>
        <v>0</v>
      </c>
      <c r="R24" s="689">
        <f>SUM(C24:Q24)</f>
        <v>104370.20063498229</v>
      </c>
      <c r="S24" s="67"/>
    </row>
    <row r="25" spans="1:19" s="454" customFormat="1" ht="15" thickBot="1">
      <c r="A25" s="823" t="s">
        <v>856</v>
      </c>
      <c r="B25" s="991"/>
      <c r="C25" s="992">
        <f>IF(Onbekend_ele_kWh="---",0,Onbekend_ele_kWh)/1000+IF(REST_rest_ele_kWh="---",0,REST_rest_ele_kWh)/1000</f>
        <v>1098.3954542962599</v>
      </c>
      <c r="D25" s="992"/>
      <c r="E25" s="992">
        <f>IF(onbekend_gas_kWh="---",0,onbekend_gas_kWh)/1000+IF(REST_rest_gas_kWh="---",0,REST_rest_gas_kWh)/1000</f>
        <v>1984.8309805070098</v>
      </c>
      <c r="F25" s="992"/>
      <c r="G25" s="992"/>
      <c r="H25" s="992"/>
      <c r="I25" s="992"/>
      <c r="J25" s="992"/>
      <c r="K25" s="992"/>
      <c r="L25" s="992"/>
      <c r="M25" s="992"/>
      <c r="N25" s="992"/>
      <c r="O25" s="992"/>
      <c r="P25" s="992"/>
      <c r="Q25" s="993"/>
      <c r="R25" s="689">
        <f>SUM(C25:Q25)</f>
        <v>3083.2264348032695</v>
      </c>
      <c r="S25" s="67"/>
    </row>
    <row r="26" spans="1:19" s="454" customFormat="1" ht="15.75" thickBot="1">
      <c r="A26" s="694" t="s">
        <v>857</v>
      </c>
      <c r="B26" s="809"/>
      <c r="C26" s="804">
        <f>SUM(C24:C25)</f>
        <v>12038.546139940328</v>
      </c>
      <c r="D26" s="804">
        <f t="shared" ref="D26:R26" si="2">SUM(D24:D25)</f>
        <v>9905.7321428571431</v>
      </c>
      <c r="E26" s="804">
        <f t="shared" si="2"/>
        <v>45979.753957711648</v>
      </c>
      <c r="F26" s="804">
        <f t="shared" si="2"/>
        <v>137.85999241875376</v>
      </c>
      <c r="G26" s="804">
        <f t="shared" si="2"/>
        <v>37746.260536980633</v>
      </c>
      <c r="H26" s="804">
        <f t="shared" si="2"/>
        <v>0</v>
      </c>
      <c r="I26" s="804">
        <f t="shared" si="2"/>
        <v>0</v>
      </c>
      <c r="J26" s="804">
        <f t="shared" si="2"/>
        <v>0</v>
      </c>
      <c r="K26" s="804">
        <f t="shared" si="2"/>
        <v>1645.2742998770614</v>
      </c>
      <c r="L26" s="804">
        <f t="shared" si="2"/>
        <v>0</v>
      </c>
      <c r="M26" s="804">
        <f t="shared" si="2"/>
        <v>0</v>
      </c>
      <c r="N26" s="804">
        <f t="shared" si="2"/>
        <v>0</v>
      </c>
      <c r="O26" s="804">
        <f t="shared" si="2"/>
        <v>0</v>
      </c>
      <c r="P26" s="804">
        <f t="shared" si="2"/>
        <v>0</v>
      </c>
      <c r="Q26" s="804">
        <f t="shared" si="2"/>
        <v>0</v>
      </c>
      <c r="R26" s="804">
        <f t="shared" si="2"/>
        <v>107453.42706978557</v>
      </c>
      <c r="S26" s="67"/>
    </row>
    <row r="27" spans="1:19" s="454" customFormat="1" ht="17.25" thickTop="1" thickBot="1">
      <c r="A27" s="695" t="s">
        <v>115</v>
      </c>
      <c r="B27" s="796"/>
      <c r="C27" s="696">
        <f ca="1">C22+C16+C26</f>
        <v>96116.577592830916</v>
      </c>
      <c r="D27" s="696">
        <f t="shared" ref="D27:R27" ca="1" si="3">D22+D16+D26</f>
        <v>10098.589285714286</v>
      </c>
      <c r="E27" s="696">
        <f t="shared" ca="1" si="3"/>
        <v>178727.99145920613</v>
      </c>
      <c r="F27" s="696">
        <f t="shared" si="3"/>
        <v>7361.9382644266761</v>
      </c>
      <c r="G27" s="696">
        <f t="shared" ca="1" si="3"/>
        <v>72861.819845875696</v>
      </c>
      <c r="H27" s="696">
        <f t="shared" si="3"/>
        <v>238475.38723538036</v>
      </c>
      <c r="I27" s="696">
        <f t="shared" si="3"/>
        <v>30754.689708476548</v>
      </c>
      <c r="J27" s="696">
        <f t="shared" si="3"/>
        <v>0</v>
      </c>
      <c r="K27" s="696">
        <f t="shared" si="3"/>
        <v>2307.228152457556</v>
      </c>
      <c r="L27" s="696">
        <f t="shared" si="3"/>
        <v>0</v>
      </c>
      <c r="M27" s="696">
        <f t="shared" ca="1" si="3"/>
        <v>0</v>
      </c>
      <c r="N27" s="696">
        <f t="shared" si="3"/>
        <v>12167.864298898785</v>
      </c>
      <c r="O27" s="696">
        <f t="shared" ca="1" si="3"/>
        <v>22370.128575055973</v>
      </c>
      <c r="P27" s="696">
        <f t="shared" si="3"/>
        <v>329.86333333333334</v>
      </c>
      <c r="Q27" s="696">
        <f t="shared" si="3"/>
        <v>896.13333333333333</v>
      </c>
      <c r="R27" s="696">
        <f t="shared" ca="1" si="3"/>
        <v>672468.2110849896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6456.7756289625986</v>
      </c>
      <c r="D40" s="686">
        <f ca="1">tertiair!C20</f>
        <v>45.572511784663689</v>
      </c>
      <c r="E40" s="686">
        <f ca="1">tertiair!D20</f>
        <v>6430.8146674388972</v>
      </c>
      <c r="F40" s="686">
        <f>tertiair!E20</f>
        <v>97.23900059508891</v>
      </c>
      <c r="G40" s="686">
        <f ca="1">tertiair!F20</f>
        <v>1599.5869930775661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14629.988801858815</v>
      </c>
    </row>
    <row r="41" spans="1:18">
      <c r="A41" s="814" t="s">
        <v>224</v>
      </c>
      <c r="B41" s="821"/>
      <c r="C41" s="686">
        <f ca="1">huishoudens!B12</f>
        <v>8204.7128165676822</v>
      </c>
      <c r="D41" s="686">
        <f ca="1">huishoudens!C12</f>
        <v>0</v>
      </c>
      <c r="E41" s="686">
        <f>huishoudens!D12</f>
        <v>15230.253898784169</v>
      </c>
      <c r="F41" s="686">
        <f>huishoudens!E12</f>
        <v>1119.600465543785</v>
      </c>
      <c r="G41" s="686">
        <f>huishoudens!F12</f>
        <v>6701.5856668423276</v>
      </c>
      <c r="H41" s="686">
        <f>huishoudens!G12</f>
        <v>0</v>
      </c>
      <c r="I41" s="686">
        <f>huishoudens!H12</f>
        <v>0</v>
      </c>
      <c r="J41" s="686">
        <f>huishoudens!I12</f>
        <v>0</v>
      </c>
      <c r="K41" s="686">
        <f>huishoudens!J12</f>
        <v>231.97305378085107</v>
      </c>
      <c r="L41" s="686">
        <f>huishoudens!K12</f>
        <v>0</v>
      </c>
      <c r="M41" s="686">
        <f>huishoudens!L12</f>
        <v>0</v>
      </c>
      <c r="N41" s="686">
        <f>huishoudens!M12</f>
        <v>0</v>
      </c>
      <c r="O41" s="686">
        <f>huishoudens!N12</f>
        <v>0</v>
      </c>
      <c r="P41" s="686">
        <f>huishoudens!O12</f>
        <v>0</v>
      </c>
      <c r="Q41" s="763">
        <f>huishoudens!P12</f>
        <v>0</v>
      </c>
      <c r="R41" s="842">
        <f t="shared" ca="1" si="4"/>
        <v>31488.125901518819</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1468.4539726101334</v>
      </c>
      <c r="D43" s="686">
        <f ca="1">industrie!C22</f>
        <v>0</v>
      </c>
      <c r="E43" s="686">
        <f>industrie!D22</f>
        <v>5150.7647894873671</v>
      </c>
      <c r="F43" s="686">
        <f>industrie!E22</f>
        <v>272.7144947055582</v>
      </c>
      <c r="G43" s="686">
        <f>industrie!F22</f>
        <v>1074.6816755550876</v>
      </c>
      <c r="H43" s="686">
        <f>industrie!G22</f>
        <v>0</v>
      </c>
      <c r="I43" s="686">
        <f>industrie!H22</f>
        <v>0</v>
      </c>
      <c r="J43" s="686">
        <f>industrie!I22</f>
        <v>0</v>
      </c>
      <c r="K43" s="686">
        <f>industrie!J22</f>
        <v>2.358610032644</v>
      </c>
      <c r="L43" s="686">
        <f>industrie!K22</f>
        <v>0</v>
      </c>
      <c r="M43" s="686">
        <f>industrie!L22</f>
        <v>0</v>
      </c>
      <c r="N43" s="686">
        <f>industrie!M22</f>
        <v>0</v>
      </c>
      <c r="O43" s="686">
        <f>industrie!N22</f>
        <v>0</v>
      </c>
      <c r="P43" s="686">
        <f>industrie!O22</f>
        <v>0</v>
      </c>
      <c r="Q43" s="763">
        <f>industrie!P22</f>
        <v>0</v>
      </c>
      <c r="R43" s="841">
        <f t="shared" ca="1" si="4"/>
        <v>7968.9735423907905</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16129.942418140416</v>
      </c>
      <c r="D46" s="721">
        <f t="shared" ref="D46:Q46" ca="1" si="5">SUM(D39:D45)</f>
        <v>45.572511784663689</v>
      </c>
      <c r="E46" s="721">
        <f t="shared" ca="1" si="5"/>
        <v>26811.833355710434</v>
      </c>
      <c r="F46" s="721">
        <f t="shared" si="5"/>
        <v>1489.5539608444324</v>
      </c>
      <c r="G46" s="721">
        <f t="shared" ca="1" si="5"/>
        <v>9375.8543354749818</v>
      </c>
      <c r="H46" s="721">
        <f t="shared" si="5"/>
        <v>0</v>
      </c>
      <c r="I46" s="721">
        <f t="shared" si="5"/>
        <v>0</v>
      </c>
      <c r="J46" s="721">
        <f t="shared" si="5"/>
        <v>0</v>
      </c>
      <c r="K46" s="721">
        <f t="shared" si="5"/>
        <v>234.33166381349508</v>
      </c>
      <c r="L46" s="721">
        <f t="shared" si="5"/>
        <v>0</v>
      </c>
      <c r="M46" s="721">
        <f t="shared" ca="1" si="5"/>
        <v>0</v>
      </c>
      <c r="N46" s="721">
        <f t="shared" si="5"/>
        <v>0</v>
      </c>
      <c r="O46" s="721">
        <f t="shared" ca="1" si="5"/>
        <v>0</v>
      </c>
      <c r="P46" s="721">
        <f t="shared" si="5"/>
        <v>0</v>
      </c>
      <c r="Q46" s="721">
        <f t="shared" si="5"/>
        <v>0</v>
      </c>
      <c r="R46" s="721">
        <f ca="1">SUM(R39:R45)</f>
        <v>54087.088245768427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606.1423945785458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606.1423945785458</v>
      </c>
    </row>
    <row r="50" spans="1:18">
      <c r="A50" s="817" t="s">
        <v>306</v>
      </c>
      <c r="B50" s="827"/>
      <c r="C50" s="692">
        <f ca="1">transport!B18</f>
        <v>1.9537367928038831</v>
      </c>
      <c r="D50" s="692">
        <f>transport!C18</f>
        <v>0</v>
      </c>
      <c r="E50" s="692">
        <f>transport!D18</f>
        <v>3.3106195914540537</v>
      </c>
      <c r="F50" s="692">
        <f>transport!E18</f>
        <v>150.31180690136611</v>
      </c>
      <c r="G50" s="692">
        <f>transport!F18</f>
        <v>0</v>
      </c>
      <c r="H50" s="692">
        <f>transport!G18</f>
        <v>63066.785997268016</v>
      </c>
      <c r="I50" s="692">
        <f>transport!H18</f>
        <v>7657.9177374106603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70880.279897964298</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1.9537367928038831</v>
      </c>
      <c r="D52" s="721">
        <f t="shared" ref="D52:Q52" ca="1" si="6">SUM(D48:D51)</f>
        <v>0</v>
      </c>
      <c r="E52" s="721">
        <f t="shared" si="6"/>
        <v>3.3106195914540537</v>
      </c>
      <c r="F52" s="721">
        <f t="shared" si="6"/>
        <v>150.31180690136611</v>
      </c>
      <c r="G52" s="721">
        <f t="shared" si="6"/>
        <v>0</v>
      </c>
      <c r="H52" s="721">
        <f t="shared" si="6"/>
        <v>63672.928391846559</v>
      </c>
      <c r="I52" s="721">
        <f t="shared" si="6"/>
        <v>7657.9177374106603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71486.422292542848</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2099.0664473277702</v>
      </c>
      <c r="D54" s="692">
        <f ca="1">+landbouw!C12</f>
        <v>2340.7434546018912</v>
      </c>
      <c r="E54" s="692">
        <f>+landbouw!D12</f>
        <v>8886.9744413953376</v>
      </c>
      <c r="F54" s="692">
        <f>+landbouw!E12</f>
        <v>31.294218279057105</v>
      </c>
      <c r="G54" s="692">
        <f>+landbouw!F12</f>
        <v>10078.251563373829</v>
      </c>
      <c r="H54" s="692">
        <f>+landbouw!G12</f>
        <v>0</v>
      </c>
      <c r="I54" s="692">
        <f>+landbouw!H12</f>
        <v>0</v>
      </c>
      <c r="J54" s="692">
        <f>+landbouw!I12</f>
        <v>0</v>
      </c>
      <c r="K54" s="692">
        <f>+landbouw!J12</f>
        <v>582.42710215647969</v>
      </c>
      <c r="L54" s="692">
        <f>+landbouw!K12</f>
        <v>0</v>
      </c>
      <c r="M54" s="692">
        <f>+landbouw!L12</f>
        <v>0</v>
      </c>
      <c r="N54" s="692">
        <f>+landbouw!M12</f>
        <v>0</v>
      </c>
      <c r="O54" s="692">
        <f>+landbouw!N12</f>
        <v>0</v>
      </c>
      <c r="P54" s="692">
        <f>+landbouw!O12</f>
        <v>0</v>
      </c>
      <c r="Q54" s="693">
        <f>+landbouw!P12</f>
        <v>0</v>
      </c>
      <c r="R54" s="720">
        <f ca="1">SUM(C54:Q54)</f>
        <v>24018.757227134363</v>
      </c>
    </row>
    <row r="55" spans="1:18" ht="15" thickBot="1">
      <c r="A55" s="817" t="s">
        <v>856</v>
      </c>
      <c r="B55" s="827"/>
      <c r="C55" s="692">
        <f ca="1">C25*'EF ele_warmte'!B12</f>
        <v>210.74710122924481</v>
      </c>
      <c r="D55" s="692"/>
      <c r="E55" s="692">
        <f>E25*EF_CO2_aardgas</f>
        <v>400.935858062416</v>
      </c>
      <c r="F55" s="692"/>
      <c r="G55" s="692"/>
      <c r="H55" s="692"/>
      <c r="I55" s="692"/>
      <c r="J55" s="692"/>
      <c r="K55" s="692"/>
      <c r="L55" s="692"/>
      <c r="M55" s="692"/>
      <c r="N55" s="692"/>
      <c r="O55" s="692"/>
      <c r="P55" s="692"/>
      <c r="Q55" s="693"/>
      <c r="R55" s="720">
        <f ca="1">SUM(C55:Q55)</f>
        <v>611.68295929166084</v>
      </c>
    </row>
    <row r="56" spans="1:18" ht="15.75" thickBot="1">
      <c r="A56" s="815" t="s">
        <v>857</v>
      </c>
      <c r="B56" s="828"/>
      <c r="C56" s="721">
        <f ca="1">SUM(C54:C55)</f>
        <v>2309.8135485570151</v>
      </c>
      <c r="D56" s="721">
        <f t="shared" ref="D56:Q56" ca="1" si="7">SUM(D54:D55)</f>
        <v>2340.7434546018912</v>
      </c>
      <c r="E56" s="721">
        <f t="shared" si="7"/>
        <v>9287.9102994577534</v>
      </c>
      <c r="F56" s="721">
        <f t="shared" si="7"/>
        <v>31.294218279057105</v>
      </c>
      <c r="G56" s="721">
        <f t="shared" si="7"/>
        <v>10078.251563373829</v>
      </c>
      <c r="H56" s="721">
        <f t="shared" si="7"/>
        <v>0</v>
      </c>
      <c r="I56" s="721">
        <f t="shared" si="7"/>
        <v>0</v>
      </c>
      <c r="J56" s="721">
        <f t="shared" si="7"/>
        <v>0</v>
      </c>
      <c r="K56" s="721">
        <f t="shared" si="7"/>
        <v>582.42710215647969</v>
      </c>
      <c r="L56" s="721">
        <f t="shared" si="7"/>
        <v>0</v>
      </c>
      <c r="M56" s="721">
        <f t="shared" si="7"/>
        <v>0</v>
      </c>
      <c r="N56" s="721">
        <f t="shared" si="7"/>
        <v>0</v>
      </c>
      <c r="O56" s="721">
        <f t="shared" si="7"/>
        <v>0</v>
      </c>
      <c r="P56" s="721">
        <f t="shared" si="7"/>
        <v>0</v>
      </c>
      <c r="Q56" s="722">
        <f t="shared" si="7"/>
        <v>0</v>
      </c>
      <c r="R56" s="723">
        <f ca="1">SUM(R54:R55)</f>
        <v>24630.440186426025</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18441.709703490236</v>
      </c>
      <c r="D61" s="729">
        <f t="shared" ref="D61:Q61" ca="1" si="8">D46+D52+D56</f>
        <v>2386.3159663865549</v>
      </c>
      <c r="E61" s="729">
        <f t="shared" ca="1" si="8"/>
        <v>36103.054274759641</v>
      </c>
      <c r="F61" s="729">
        <f t="shared" si="8"/>
        <v>1671.1599860248555</v>
      </c>
      <c r="G61" s="729">
        <f t="shared" ca="1" si="8"/>
        <v>19454.105898848811</v>
      </c>
      <c r="H61" s="729">
        <f t="shared" si="8"/>
        <v>63672.928391846559</v>
      </c>
      <c r="I61" s="729">
        <f t="shared" si="8"/>
        <v>7657.9177374106603</v>
      </c>
      <c r="J61" s="729">
        <f t="shared" si="8"/>
        <v>0</v>
      </c>
      <c r="K61" s="729">
        <f t="shared" si="8"/>
        <v>816.75876596997477</v>
      </c>
      <c r="L61" s="729">
        <f t="shared" si="8"/>
        <v>0</v>
      </c>
      <c r="M61" s="729">
        <f t="shared" ca="1" si="8"/>
        <v>0</v>
      </c>
      <c r="N61" s="729">
        <f t="shared" si="8"/>
        <v>0</v>
      </c>
      <c r="O61" s="729">
        <f t="shared" ca="1" si="8"/>
        <v>0</v>
      </c>
      <c r="P61" s="729">
        <f t="shared" si="8"/>
        <v>0</v>
      </c>
      <c r="Q61" s="729">
        <f t="shared" si="8"/>
        <v>0</v>
      </c>
      <c r="R61" s="729">
        <f ca="1">R46+R52+R56</f>
        <v>150203.95072473728</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0.19186814767389049</v>
      </c>
      <c r="D63" s="772">
        <f t="shared" ca="1" si="9"/>
        <v>0.2363019129575154</v>
      </c>
      <c r="E63" s="998">
        <f t="shared" ca="1" si="9"/>
        <v>0.20200000000000001</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7544.6336670000001</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5614.7480456515214</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40.012499999999996</v>
      </c>
      <c r="C76" s="739">
        <f>'lokale energieproductie'!B8*IFERROR(SUM(D76:H76)/SUM(D76:O76),0)</f>
        <v>7029</v>
      </c>
      <c r="D76" s="1008">
        <f>'lokale energieproductie'!C8</f>
        <v>8269.4117647058829</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47.073529411764703</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1670.4211764705885</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13199.394212651521</v>
      </c>
      <c r="C78" s="744">
        <f>SUM(C72:C77)</f>
        <v>7029</v>
      </c>
      <c r="D78" s="745">
        <f t="shared" ref="D78:H78" si="10">SUM(D76:D77)</f>
        <v>8269.4117647058829</v>
      </c>
      <c r="E78" s="745">
        <f t="shared" si="10"/>
        <v>0</v>
      </c>
      <c r="F78" s="745">
        <f t="shared" si="10"/>
        <v>0</v>
      </c>
      <c r="G78" s="745">
        <f t="shared" si="10"/>
        <v>0</v>
      </c>
      <c r="H78" s="745">
        <f t="shared" si="10"/>
        <v>0</v>
      </c>
      <c r="I78" s="745">
        <f>SUM(I76:I77)</f>
        <v>0</v>
      </c>
      <c r="J78" s="745">
        <f>SUM(J76:J77)</f>
        <v>47.073529411764703</v>
      </c>
      <c r="K78" s="745">
        <f t="shared" ref="K78:L78" si="11">SUM(K76:K77)</f>
        <v>0</v>
      </c>
      <c r="L78" s="745">
        <f t="shared" si="11"/>
        <v>0</v>
      </c>
      <c r="M78" s="745">
        <f>SUM(M76:M77)</f>
        <v>0</v>
      </c>
      <c r="N78" s="745">
        <f>SUM(N76:N77)</f>
        <v>0</v>
      </c>
      <c r="O78" s="852">
        <f>SUM(O76:O77)</f>
        <v>0</v>
      </c>
      <c r="P78" s="746">
        <v>0</v>
      </c>
      <c r="Q78" s="746">
        <f>SUM(Q76:Q77)</f>
        <v>1670.4211764705885</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57.160714285714285</v>
      </c>
      <c r="C87" s="755">
        <f>'lokale energieproductie'!B17*IFERROR(SUM(D87:H87)/SUM(D87:O87),0)</f>
        <v>10041.428571428572</v>
      </c>
      <c r="D87" s="766">
        <f>'lokale energieproductie'!C17</f>
        <v>11813.445378151262</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67.247899159663874</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2386.3159663865549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57.160714285714285</v>
      </c>
      <c r="C90" s="744">
        <f>SUM(C87:C89)</f>
        <v>10041.428571428572</v>
      </c>
      <c r="D90" s="744">
        <f t="shared" ref="D90:H90" si="12">SUM(D87:D89)</f>
        <v>11813.445378151262</v>
      </c>
      <c r="E90" s="744">
        <f t="shared" si="12"/>
        <v>0</v>
      </c>
      <c r="F90" s="744">
        <f t="shared" si="12"/>
        <v>0</v>
      </c>
      <c r="G90" s="744">
        <f t="shared" si="12"/>
        <v>0</v>
      </c>
      <c r="H90" s="744">
        <f t="shared" si="12"/>
        <v>0</v>
      </c>
      <c r="I90" s="744">
        <f>SUM(I87:I89)</f>
        <v>0</v>
      </c>
      <c r="J90" s="744">
        <f>SUM(J87:J89)</f>
        <v>67.247899159663874</v>
      </c>
      <c r="K90" s="744">
        <f t="shared" ref="K90:L90" si="13">SUM(K87:K89)</f>
        <v>0</v>
      </c>
      <c r="L90" s="744">
        <f t="shared" si="13"/>
        <v>0</v>
      </c>
      <c r="M90" s="744">
        <f>SUM(M87:M89)</f>
        <v>0</v>
      </c>
      <c r="N90" s="744">
        <f>SUM(N87:N89)</f>
        <v>0</v>
      </c>
      <c r="O90" s="744">
        <f>SUM(O87:O89)</f>
        <v>0</v>
      </c>
      <c r="P90" s="744">
        <v>0</v>
      </c>
      <c r="Q90" s="744">
        <f>SUM(Q87:Q89)</f>
        <v>2386.3159663865549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267" zoomScale="65" zoomScaleNormal="65" workbookViewId="0">
      <selection activeCell="M31" sqref="M31"/>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7544.6336670000001</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5614.7480456515214</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N32</f>
        <v>7069.0124999999998</v>
      </c>
      <c r="C8" s="556">
        <f>B51</f>
        <v>8269.4117647058829</v>
      </c>
      <c r="D8" s="1015"/>
      <c r="E8" s="1015">
        <f>E51</f>
        <v>0</v>
      </c>
      <c r="F8" s="1016"/>
      <c r="G8" s="557"/>
      <c r="H8" s="1015">
        <f>I51</f>
        <v>0</v>
      </c>
      <c r="I8" s="1015">
        <f>G51+F51</f>
        <v>0</v>
      </c>
      <c r="J8" s="1015">
        <f>H51+D51+C51</f>
        <v>47.073529411764703</v>
      </c>
      <c r="K8" s="1015"/>
      <c r="L8" s="1015"/>
      <c r="M8" s="1015"/>
      <c r="N8" s="558"/>
      <c r="O8" s="559">
        <f>C8*$C$12+D8*$D$12+E8*$E$12+F8*$F$12+G8*$G$12+H8*$H$12+I8*$I$12+J8*$J$12</f>
        <v>1670.4211764705885</v>
      </c>
      <c r="P8" s="1254"/>
      <c r="Q8" s="1255"/>
      <c r="S8" s="1027"/>
      <c r="T8" s="1275"/>
      <c r="U8" s="1275"/>
    </row>
    <row r="9" spans="1:21" s="544" customFormat="1" ht="17.45" customHeight="1" thickBot="1">
      <c r="A9" s="560" t="s">
        <v>247</v>
      </c>
      <c r="B9" s="561">
        <f>N39+'Eigen informatie GS &amp; warmtenet'!B12</f>
        <v>0</v>
      </c>
      <c r="C9" s="562">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20228.394212651521</v>
      </c>
      <c r="C10" s="569">
        <f t="shared" ref="C10:L10" si="0">SUM(C8:C9)</f>
        <v>8269.4117647058829</v>
      </c>
      <c r="D10" s="569">
        <f t="shared" si="0"/>
        <v>0</v>
      </c>
      <c r="E10" s="569">
        <f t="shared" si="0"/>
        <v>0</v>
      </c>
      <c r="F10" s="569">
        <f t="shared" si="0"/>
        <v>0</v>
      </c>
      <c r="G10" s="569">
        <f t="shared" si="0"/>
        <v>0</v>
      </c>
      <c r="H10" s="569">
        <f t="shared" si="0"/>
        <v>0</v>
      </c>
      <c r="I10" s="569">
        <f t="shared" si="0"/>
        <v>0</v>
      </c>
      <c r="J10" s="569">
        <f t="shared" si="0"/>
        <v>47.073529411764703</v>
      </c>
      <c r="K10" s="569">
        <f t="shared" si="0"/>
        <v>0</v>
      </c>
      <c r="L10" s="569">
        <f t="shared" si="0"/>
        <v>0</v>
      </c>
      <c r="M10" s="1018"/>
      <c r="N10" s="1018"/>
      <c r="O10" s="570">
        <f>SUM(O4:O9)</f>
        <v>1670.4211764705885</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O32</f>
        <v>10098.589285714286</v>
      </c>
      <c r="C17" s="581">
        <f>B52</f>
        <v>11813.445378151262</v>
      </c>
      <c r="D17" s="582"/>
      <c r="E17" s="582">
        <f>E52</f>
        <v>0</v>
      </c>
      <c r="F17" s="1021"/>
      <c r="G17" s="583"/>
      <c r="H17" s="581">
        <f>I52</f>
        <v>0</v>
      </c>
      <c r="I17" s="582">
        <f>G52+F52</f>
        <v>0</v>
      </c>
      <c r="J17" s="582">
        <f>H52+D52+C52</f>
        <v>67.247899159663874</v>
      </c>
      <c r="K17" s="582"/>
      <c r="L17" s="582"/>
      <c r="M17" s="582"/>
      <c r="N17" s="1022"/>
      <c r="O17" s="584">
        <f>C17*$C$22+E17*$E$22+H17*$H$22+I17*$I$22+J17*$J$22+D17*$D$22+F17*$F$22+G17*$G$22+K17*$K$22+L17*$L$22</f>
        <v>2386.3159663865549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10098.589285714286</v>
      </c>
      <c r="C20" s="568">
        <f>SUM(C17:C19)</f>
        <v>11813.445378151262</v>
      </c>
      <c r="D20" s="568">
        <f t="shared" ref="D20:L20" si="1">SUM(D17:D19)</f>
        <v>0</v>
      </c>
      <c r="E20" s="568">
        <f t="shared" si="1"/>
        <v>0</v>
      </c>
      <c r="F20" s="568">
        <f t="shared" si="1"/>
        <v>0</v>
      </c>
      <c r="G20" s="568">
        <f t="shared" si="1"/>
        <v>0</v>
      </c>
      <c r="H20" s="568">
        <f t="shared" si="1"/>
        <v>0</v>
      </c>
      <c r="I20" s="568">
        <f t="shared" si="1"/>
        <v>0</v>
      </c>
      <c r="J20" s="568">
        <f t="shared" si="1"/>
        <v>67.247899159663874</v>
      </c>
      <c r="K20" s="568">
        <f t="shared" si="1"/>
        <v>0</v>
      </c>
      <c r="L20" s="568">
        <f t="shared" si="1"/>
        <v>0</v>
      </c>
      <c r="M20" s="568"/>
      <c r="N20" s="568"/>
      <c r="O20" s="588">
        <f>SUM(O17:O19)</f>
        <v>2386.3159663865549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44034</v>
      </c>
      <c r="C28" s="787">
        <v>9080</v>
      </c>
      <c r="D28" s="640" t="s">
        <v>920</v>
      </c>
      <c r="E28" s="639" t="s">
        <v>921</v>
      </c>
      <c r="F28" s="639" t="s">
        <v>922</v>
      </c>
      <c r="G28" s="639" t="s">
        <v>923</v>
      </c>
      <c r="H28" s="639" t="s">
        <v>924</v>
      </c>
      <c r="I28" s="639" t="s">
        <v>925</v>
      </c>
      <c r="J28" s="786">
        <v>40473</v>
      </c>
      <c r="K28" s="786">
        <v>40513</v>
      </c>
      <c r="L28" s="639" t="s">
        <v>926</v>
      </c>
      <c r="M28" s="639">
        <v>1006</v>
      </c>
      <c r="N28" s="639">
        <v>4527</v>
      </c>
      <c r="O28" s="639">
        <v>6467.1428571428569</v>
      </c>
      <c r="P28" s="639">
        <v>12934.285714285716</v>
      </c>
      <c r="Q28" s="639">
        <v>0</v>
      </c>
      <c r="R28" s="639">
        <v>0</v>
      </c>
      <c r="S28" s="639">
        <v>0</v>
      </c>
      <c r="T28" s="639">
        <v>0</v>
      </c>
      <c r="U28" s="639">
        <v>0</v>
      </c>
      <c r="V28" s="639">
        <v>0</v>
      </c>
      <c r="W28" s="639">
        <v>0</v>
      </c>
      <c r="X28" s="639">
        <v>10</v>
      </c>
      <c r="Y28" s="639" t="s">
        <v>111</v>
      </c>
      <c r="Z28" s="641" t="s">
        <v>111</v>
      </c>
    </row>
    <row r="29" spans="1:26" s="593" customFormat="1" ht="63.75">
      <c r="A29" s="592"/>
      <c r="B29" s="787">
        <v>44034</v>
      </c>
      <c r="C29" s="787">
        <v>9080</v>
      </c>
      <c r="D29" s="640" t="s">
        <v>927</v>
      </c>
      <c r="E29" s="639" t="s">
        <v>928</v>
      </c>
      <c r="F29" s="639" t="s">
        <v>929</v>
      </c>
      <c r="G29" s="639" t="s">
        <v>923</v>
      </c>
      <c r="H29" s="639" t="s">
        <v>924</v>
      </c>
      <c r="I29" s="639" t="s">
        <v>928</v>
      </c>
      <c r="J29" s="786">
        <v>40598</v>
      </c>
      <c r="K29" s="786">
        <v>40664</v>
      </c>
      <c r="L29" s="639" t="s">
        <v>926</v>
      </c>
      <c r="M29" s="639">
        <v>30</v>
      </c>
      <c r="N29" s="639">
        <v>135</v>
      </c>
      <c r="O29" s="639">
        <v>192.85714285714286</v>
      </c>
      <c r="P29" s="639">
        <v>385.71428571428572</v>
      </c>
      <c r="Q29" s="639">
        <v>0</v>
      </c>
      <c r="R29" s="639">
        <v>0</v>
      </c>
      <c r="S29" s="639">
        <v>0</v>
      </c>
      <c r="T29" s="639">
        <v>0</v>
      </c>
      <c r="U29" s="639">
        <v>0</v>
      </c>
      <c r="V29" s="639">
        <v>0</v>
      </c>
      <c r="W29" s="639">
        <v>0</v>
      </c>
      <c r="X29" s="639">
        <v>1600</v>
      </c>
      <c r="Y29" s="639" t="s">
        <v>49</v>
      </c>
      <c r="Z29" s="641" t="s">
        <v>155</v>
      </c>
    </row>
    <row r="30" spans="1:26" s="593" customFormat="1" ht="25.5">
      <c r="A30" s="592"/>
      <c r="B30" s="787">
        <v>44034</v>
      </c>
      <c r="C30" s="787">
        <v>9080</v>
      </c>
      <c r="D30" s="640" t="s">
        <v>930</v>
      </c>
      <c r="E30" s="639" t="s">
        <v>931</v>
      </c>
      <c r="F30" s="639" t="s">
        <v>932</v>
      </c>
      <c r="G30" s="639" t="s">
        <v>923</v>
      </c>
      <c r="H30" s="639" t="s">
        <v>924</v>
      </c>
      <c r="I30" s="639" t="s">
        <v>933</v>
      </c>
      <c r="J30" s="786">
        <v>41242</v>
      </c>
      <c r="K30" s="786">
        <v>41275</v>
      </c>
      <c r="L30" s="639" t="s">
        <v>926</v>
      </c>
      <c r="M30" s="639">
        <v>9.6999999999999993</v>
      </c>
      <c r="N30" s="639">
        <v>40.012499999999996</v>
      </c>
      <c r="O30" s="639">
        <v>57.160714285714278</v>
      </c>
      <c r="P30" s="639">
        <v>0</v>
      </c>
      <c r="Q30" s="639">
        <v>114.32142857142857</v>
      </c>
      <c r="R30" s="639">
        <v>0</v>
      </c>
      <c r="S30" s="639">
        <v>0</v>
      </c>
      <c r="T30" s="639">
        <v>0</v>
      </c>
      <c r="U30" s="639">
        <v>0</v>
      </c>
      <c r="V30" s="639">
        <v>0</v>
      </c>
      <c r="W30" s="639">
        <v>0</v>
      </c>
      <c r="X30" s="639">
        <v>10</v>
      </c>
      <c r="Y30" s="639" t="s">
        <v>111</v>
      </c>
      <c r="Z30" s="641" t="s">
        <v>111</v>
      </c>
    </row>
    <row r="31" spans="1:26" s="593" customFormat="1" ht="25.5">
      <c r="A31" s="592"/>
      <c r="B31" s="787">
        <v>44034</v>
      </c>
      <c r="C31" s="787">
        <v>9080</v>
      </c>
      <c r="D31" s="640" t="s">
        <v>934</v>
      </c>
      <c r="E31" s="639" t="s">
        <v>921</v>
      </c>
      <c r="F31" s="639" t="s">
        <v>935</v>
      </c>
      <c r="G31" s="639" t="s">
        <v>923</v>
      </c>
      <c r="H31" s="639" t="s">
        <v>924</v>
      </c>
      <c r="I31" s="639" t="s">
        <v>936</v>
      </c>
      <c r="J31" s="786">
        <v>41244</v>
      </c>
      <c r="K31" s="786">
        <v>41255</v>
      </c>
      <c r="L31" s="639" t="s">
        <v>926</v>
      </c>
      <c r="M31" s="639">
        <v>526</v>
      </c>
      <c r="N31" s="639">
        <v>2367</v>
      </c>
      <c r="O31" s="639">
        <v>3381.4285714285716</v>
      </c>
      <c r="P31" s="639">
        <v>6762.8571428571431</v>
      </c>
      <c r="Q31" s="639">
        <v>0</v>
      </c>
      <c r="R31" s="639">
        <v>0</v>
      </c>
      <c r="S31" s="639">
        <v>0</v>
      </c>
      <c r="T31" s="639">
        <v>0</v>
      </c>
      <c r="U31" s="639">
        <v>0</v>
      </c>
      <c r="V31" s="639">
        <v>0</v>
      </c>
      <c r="W31" s="639">
        <v>0</v>
      </c>
      <c r="X31" s="639">
        <v>10</v>
      </c>
      <c r="Y31" s="639" t="s">
        <v>111</v>
      </c>
      <c r="Z31" s="641" t="s">
        <v>111</v>
      </c>
    </row>
    <row r="32" spans="1:26" s="576" customFormat="1">
      <c r="A32" s="595" t="s">
        <v>279</v>
      </c>
      <c r="B32" s="596"/>
      <c r="C32" s="596"/>
      <c r="D32" s="596"/>
      <c r="E32" s="596"/>
      <c r="F32" s="596"/>
      <c r="G32" s="596"/>
      <c r="H32" s="596"/>
      <c r="I32" s="596"/>
      <c r="J32" s="596"/>
      <c r="K32" s="596"/>
      <c r="L32" s="597"/>
      <c r="M32" s="597">
        <f>SUM(M28:M31)</f>
        <v>1571.7</v>
      </c>
      <c r="N32" s="597">
        <f>SUM(N28:N31)</f>
        <v>7069.0124999999998</v>
      </c>
      <c r="O32" s="597">
        <f>SUM(O28:O31)</f>
        <v>10098.589285714286</v>
      </c>
      <c r="P32" s="597">
        <f>SUM(P28:P31)</f>
        <v>20082.857142857145</v>
      </c>
      <c r="Q32" s="597">
        <f>SUM(Q28:Q31)</f>
        <v>114.32142857142857</v>
      </c>
      <c r="R32" s="597">
        <f>SUM(R28:R31)</f>
        <v>0</v>
      </c>
      <c r="S32" s="597">
        <f>SUM(S28:S31)</f>
        <v>0</v>
      </c>
      <c r="T32" s="597">
        <f>SUM(T28:T31)</f>
        <v>0</v>
      </c>
      <c r="U32" s="597">
        <f>SUM(U28:U31)</f>
        <v>0</v>
      </c>
      <c r="V32" s="597">
        <f>SUM(V28:V31)</f>
        <v>0</v>
      </c>
      <c r="W32" s="597">
        <f>SUM(W28:W31)</f>
        <v>0</v>
      </c>
      <c r="X32" s="598"/>
      <c r="Y32" s="598"/>
      <c r="Z32" s="599"/>
    </row>
    <row r="33" spans="1:27" s="576" customFormat="1">
      <c r="A33" s="595" t="s">
        <v>286</v>
      </c>
      <c r="B33" s="596"/>
      <c r="C33" s="596"/>
      <c r="D33" s="596"/>
      <c r="E33" s="596"/>
      <c r="F33" s="596"/>
      <c r="G33" s="596"/>
      <c r="H33" s="596"/>
      <c r="I33" s="596"/>
      <c r="J33" s="596"/>
      <c r="K33" s="596"/>
      <c r="L33" s="597"/>
      <c r="M33" s="597">
        <f>SUMIF($Z$28:$Z$31,"industrie",M28:M31)</f>
        <v>0</v>
      </c>
      <c r="N33" s="597">
        <f>SUMIF($Z$28:$Z$31,"industrie",N28:N31)</f>
        <v>0</v>
      </c>
      <c r="O33" s="597">
        <f>SUMIF($Z$28:$Z$31,"industrie",O28:O31)</f>
        <v>0</v>
      </c>
      <c r="P33" s="597">
        <f>SUMIF($Z$28:$Z$31,"industrie",P28:P31)</f>
        <v>0</v>
      </c>
      <c r="Q33" s="597">
        <f>SUMIF($Z$28:$Z$31,"industrie",Q28:Q31)</f>
        <v>0</v>
      </c>
      <c r="R33" s="597">
        <f>SUMIF($Z$28:$Z$31,"industrie",R28:R31)</f>
        <v>0</v>
      </c>
      <c r="S33" s="597">
        <f>SUMIF($Z$28:$Z$31,"industrie",S28:S31)</f>
        <v>0</v>
      </c>
      <c r="T33" s="597">
        <f>SUMIF($Z$28:$Z$31,"industrie",T28:T31)</f>
        <v>0</v>
      </c>
      <c r="U33" s="597">
        <f>SUMIF($Z$28:$Z$31,"industrie",U28:U31)</f>
        <v>0</v>
      </c>
      <c r="V33" s="597">
        <f>SUMIF($Z$28:$Z$31,"industrie",V28:V31)</f>
        <v>0</v>
      </c>
      <c r="W33" s="597">
        <f>SUMIF($Z$28:$Z$31,"industrie",W28:W31)</f>
        <v>0</v>
      </c>
      <c r="X33" s="598"/>
      <c r="Y33" s="598"/>
      <c r="Z33" s="599"/>
    </row>
    <row r="34" spans="1:27" s="576" customFormat="1">
      <c r="A34" s="595" t="s">
        <v>287</v>
      </c>
      <c r="B34" s="596"/>
      <c r="C34" s="596"/>
      <c r="D34" s="596"/>
      <c r="E34" s="596"/>
      <c r="F34" s="596"/>
      <c r="G34" s="596"/>
      <c r="H34" s="596"/>
      <c r="I34" s="596"/>
      <c r="J34" s="596"/>
      <c r="K34" s="596"/>
      <c r="L34" s="597"/>
      <c r="M34" s="597">
        <f ca="1">SUMIF($Z$28:AC31,"tertiair",M28:M31)</f>
        <v>30</v>
      </c>
      <c r="N34" s="597">
        <f ca="1">SUMIF($Z$28:AD31,"tertiair",N28:N31)</f>
        <v>135</v>
      </c>
      <c r="O34" s="597">
        <f ca="1">SUMIF($Z$28:AE31,"tertiair",O28:O31)</f>
        <v>192.85714285714286</v>
      </c>
      <c r="P34" s="597">
        <f ca="1">SUMIF($Z$28:AF31,"tertiair",P28:P31)</f>
        <v>385.71428571428572</v>
      </c>
      <c r="Q34" s="597">
        <f ca="1">SUMIF($Z$28:AG31,"tertiair",Q28:Q31)</f>
        <v>0</v>
      </c>
      <c r="R34" s="597">
        <f ca="1">SUMIF($Z$28:AH31,"tertiair",R28:R31)</f>
        <v>0</v>
      </c>
      <c r="S34" s="597">
        <f ca="1">SUMIF($Z$28:AI31,"tertiair",S28:S31)</f>
        <v>0</v>
      </c>
      <c r="T34" s="597">
        <f ca="1">SUMIF($Z$28:AJ31,"tertiair",T28:T31)</f>
        <v>0</v>
      </c>
      <c r="U34" s="597">
        <f ca="1">SUMIF($Z$28:AK31,"tertiair",U28:U31)</f>
        <v>0</v>
      </c>
      <c r="V34" s="597">
        <f ca="1">SUMIF($Z$28:AL31,"tertiair",V28:V31)</f>
        <v>0</v>
      </c>
      <c r="W34" s="597">
        <f ca="1">SUMIF($Z$28:AM31,"tertiair",W28:W31)</f>
        <v>0</v>
      </c>
      <c r="X34" s="598"/>
      <c r="Y34" s="598"/>
      <c r="Z34" s="599"/>
    </row>
    <row r="35" spans="1:27" s="576" customFormat="1" ht="15.75" thickBot="1">
      <c r="A35" s="600" t="s">
        <v>288</v>
      </c>
      <c r="B35" s="601"/>
      <c r="C35" s="601"/>
      <c r="D35" s="601"/>
      <c r="E35" s="601"/>
      <c r="F35" s="601"/>
      <c r="G35" s="601"/>
      <c r="H35" s="601"/>
      <c r="I35" s="601"/>
      <c r="J35" s="601"/>
      <c r="K35" s="601"/>
      <c r="L35" s="602"/>
      <c r="M35" s="602">
        <f>SUMIF($Z$28:$Z$31,"landbouw",M28:M31)</f>
        <v>1541.7</v>
      </c>
      <c r="N35" s="602">
        <f>SUMIF($Z$28:$Z$31,"landbouw",N28:N31)</f>
        <v>6934.0124999999998</v>
      </c>
      <c r="O35" s="602">
        <f>SUMIF($Z$28:$Z$31,"landbouw",O28:O31)</f>
        <v>9905.7321428571431</v>
      </c>
      <c r="P35" s="602">
        <f>SUMIF($Z$28:$Z$31,"landbouw",P28:P31)</f>
        <v>19697.142857142859</v>
      </c>
      <c r="Q35" s="602">
        <f>SUMIF($Z$28:$Z$31,"landbouw",Q28:Q31)</f>
        <v>114.32142857142857</v>
      </c>
      <c r="R35" s="602">
        <f>SUMIF($Z$28:$Z$31,"landbouw",R28:R31)</f>
        <v>0</v>
      </c>
      <c r="S35" s="602">
        <f>SUMIF($Z$28:$Z$31,"landbouw",S28:S31)</f>
        <v>0</v>
      </c>
      <c r="T35" s="602">
        <f>SUMIF($Z$28:$Z$31,"landbouw",T28:T31)</f>
        <v>0</v>
      </c>
      <c r="U35" s="602">
        <f>SUMIF($Z$28:$Z$31,"landbouw",U28:U31)</f>
        <v>0</v>
      </c>
      <c r="V35" s="602">
        <f>SUMIF($Z$28:$Z$31,"landbouw",V28:V31)</f>
        <v>0</v>
      </c>
      <c r="W35" s="602">
        <f>SUMIF($Z$28:$Z$31,"landbouw",W28:W31)</f>
        <v>0</v>
      </c>
      <c r="X35" s="603"/>
      <c r="Y35" s="603"/>
      <c r="Z35" s="604"/>
    </row>
    <row r="36" spans="1:27" s="544" customFormat="1" ht="15.75" thickBot="1">
      <c r="A36" s="605"/>
      <c r="B36" s="606"/>
      <c r="C36" s="606"/>
      <c r="D36" s="606"/>
      <c r="E36" s="606"/>
      <c r="F36" s="606"/>
      <c r="G36" s="606"/>
      <c r="H36" s="606"/>
      <c r="I36" s="606"/>
      <c r="J36" s="606"/>
      <c r="K36" s="606"/>
      <c r="L36" s="589"/>
      <c r="M36" s="589"/>
      <c r="N36" s="589"/>
      <c r="O36" s="590"/>
      <c r="P36" s="590"/>
    </row>
    <row r="37" spans="1:27" s="544" customFormat="1" ht="45">
      <c r="A37" s="607" t="s">
        <v>280</v>
      </c>
      <c r="B37" s="636" t="s">
        <v>89</v>
      </c>
      <c r="C37" s="636" t="s">
        <v>90</v>
      </c>
      <c r="D37" s="636" t="s">
        <v>91</v>
      </c>
      <c r="E37" s="636" t="s">
        <v>92</v>
      </c>
      <c r="F37" s="636" t="s">
        <v>93</v>
      </c>
      <c r="G37" s="636" t="s">
        <v>94</v>
      </c>
      <c r="H37" s="636" t="s">
        <v>95</v>
      </c>
      <c r="I37" s="636" t="s">
        <v>96</v>
      </c>
      <c r="J37" s="636" t="s">
        <v>97</v>
      </c>
      <c r="K37" s="636" t="s">
        <v>98</v>
      </c>
      <c r="L37" s="636" t="s">
        <v>99</v>
      </c>
      <c r="M37" s="637" t="s">
        <v>297</v>
      </c>
      <c r="N37" s="637" t="s">
        <v>100</v>
      </c>
      <c r="O37" s="637" t="s">
        <v>101</v>
      </c>
      <c r="P37" s="637" t="s">
        <v>546</v>
      </c>
      <c r="Q37" s="637" t="s">
        <v>102</v>
      </c>
      <c r="R37" s="637" t="s">
        <v>103</v>
      </c>
      <c r="S37" s="637" t="s">
        <v>104</v>
      </c>
      <c r="T37" s="637" t="s">
        <v>105</v>
      </c>
      <c r="U37" s="637" t="s">
        <v>106</v>
      </c>
      <c r="V37" s="637" t="s">
        <v>107</v>
      </c>
      <c r="W37" s="636" t="s">
        <v>108</v>
      </c>
      <c r="X37" s="636" t="s">
        <v>298</v>
      </c>
      <c r="Y37" s="636" t="s">
        <v>109</v>
      </c>
      <c r="Z37" s="638" t="s">
        <v>299</v>
      </c>
    </row>
    <row r="38" spans="1:27" s="608" customFormat="1" ht="12.75">
      <c r="A38" s="594"/>
      <c r="B38" s="787"/>
      <c r="C38" s="787"/>
      <c r="D38" s="642"/>
      <c r="E38" s="642"/>
      <c r="F38" s="642"/>
      <c r="G38" s="642"/>
      <c r="H38" s="642"/>
      <c r="I38" s="642"/>
      <c r="J38" s="786"/>
      <c r="K38" s="786"/>
      <c r="L38" s="642"/>
      <c r="M38" s="642"/>
      <c r="N38" s="642"/>
      <c r="O38" s="642"/>
      <c r="P38" s="642"/>
      <c r="Q38" s="642"/>
      <c r="R38" s="642"/>
      <c r="S38" s="642"/>
      <c r="T38" s="642"/>
      <c r="U38" s="642"/>
      <c r="V38" s="642"/>
      <c r="W38" s="642"/>
      <c r="X38" s="642"/>
      <c r="Y38" s="642"/>
      <c r="Z38" s="643"/>
    </row>
    <row r="39" spans="1:27" s="576" customFormat="1">
      <c r="A39" s="595" t="s">
        <v>279</v>
      </c>
      <c r="B39" s="596"/>
      <c r="C39" s="596"/>
      <c r="D39" s="596"/>
      <c r="E39" s="596"/>
      <c r="F39" s="596"/>
      <c r="G39" s="596"/>
      <c r="H39" s="596"/>
      <c r="I39" s="596"/>
      <c r="J39" s="596"/>
      <c r="K39" s="596"/>
      <c r="L39" s="597"/>
      <c r="M39" s="597">
        <f>SUM(M38:M38)</f>
        <v>0</v>
      </c>
      <c r="N39" s="597">
        <f>SUM(N38:N38)</f>
        <v>0</v>
      </c>
      <c r="O39" s="597">
        <f>SUM(O38:O38)</f>
        <v>0</v>
      </c>
      <c r="P39" s="597">
        <f>SUM(P38:P38)</f>
        <v>0</v>
      </c>
      <c r="Q39" s="597">
        <f>SUM(Q38:Q38)</f>
        <v>0</v>
      </c>
      <c r="R39" s="597">
        <f>SUM(R38:R38)</f>
        <v>0</v>
      </c>
      <c r="S39" s="597">
        <f>SUM(S38:S38)</f>
        <v>0</v>
      </c>
      <c r="T39" s="597">
        <f>SUM(T38:T38)</f>
        <v>0</v>
      </c>
      <c r="U39" s="597">
        <f>SUM(U38:U38)</f>
        <v>0</v>
      </c>
      <c r="V39" s="597">
        <f>SUM(V38:V38)</f>
        <v>0</v>
      </c>
      <c r="W39" s="597">
        <f>SUM(W38:W38)</f>
        <v>0</v>
      </c>
      <c r="X39" s="598"/>
      <c r="Y39" s="598"/>
      <c r="Z39" s="599"/>
    </row>
    <row r="40" spans="1:27" s="576" customFormat="1">
      <c r="A40" s="595" t="s">
        <v>286</v>
      </c>
      <c r="B40" s="596"/>
      <c r="C40" s="596"/>
      <c r="D40" s="596"/>
      <c r="E40" s="596"/>
      <c r="F40" s="596"/>
      <c r="G40" s="596"/>
      <c r="H40" s="596"/>
      <c r="I40" s="596"/>
      <c r="J40" s="596"/>
      <c r="K40" s="596"/>
      <c r="L40" s="597"/>
      <c r="M40" s="597">
        <f>SUMIF($Z$38:$Z$38,"industrie",M38:M38)</f>
        <v>0</v>
      </c>
      <c r="N40" s="597">
        <f>SUMIF($Z$38:$Z$38,"industrie",N38:N38)</f>
        <v>0</v>
      </c>
      <c r="O40" s="597">
        <f>SUMIF($Z$38:$Z$38,"industrie",O38:O38)</f>
        <v>0</v>
      </c>
      <c r="P40" s="597">
        <f>SUMIF($Z$38:$Z$38,"industrie",P38:P38)</f>
        <v>0</v>
      </c>
      <c r="Q40" s="597">
        <f>SUMIF($Z$38:$Z$38,"industrie",Q38:Q38)</f>
        <v>0</v>
      </c>
      <c r="R40" s="597">
        <f>SUMIF($Z$38:$Z$38,"industrie",R38:R38)</f>
        <v>0</v>
      </c>
      <c r="S40" s="597">
        <f>SUMIF($Z$38:$Z$38,"industrie",S38:S38)</f>
        <v>0</v>
      </c>
      <c r="T40" s="597">
        <f>SUMIF($Z$38:$Z$38,"industrie",T38:T38)</f>
        <v>0</v>
      </c>
      <c r="U40" s="597">
        <f>SUMIF($Z$38:$Z$38,"industrie",U38:U38)</f>
        <v>0</v>
      </c>
      <c r="V40" s="597">
        <f>SUMIF($Z$38:$Z$38,"industrie",V38:V38)</f>
        <v>0</v>
      </c>
      <c r="W40" s="597">
        <f>SUMIF($Z$38:$Z$38,"industrie",W38:W38)</f>
        <v>0</v>
      </c>
      <c r="X40" s="598"/>
      <c r="Y40" s="598"/>
      <c r="Z40" s="599"/>
    </row>
    <row r="41" spans="1:27" s="576" customFormat="1">
      <c r="A41" s="595" t="s">
        <v>287</v>
      </c>
      <c r="B41" s="596"/>
      <c r="C41" s="596"/>
      <c r="D41" s="596"/>
      <c r="E41" s="596"/>
      <c r="F41" s="596"/>
      <c r="G41" s="596"/>
      <c r="H41" s="596"/>
      <c r="I41" s="596"/>
      <c r="J41" s="596"/>
      <c r="K41" s="596"/>
      <c r="L41" s="597"/>
      <c r="M41" s="597">
        <f>SUMIF($Z$38:$Z$39,"tertiair",M38:M39)</f>
        <v>0</v>
      </c>
      <c r="N41" s="597">
        <f>SUMIF($Z$38:$Z$39,"tertiair",N38:N39)</f>
        <v>0</v>
      </c>
      <c r="O41" s="597">
        <f>SUMIF($Z$38:$Z$39,"tertiair",O38:O39)</f>
        <v>0</v>
      </c>
      <c r="P41" s="597">
        <f>SUMIF($Z$38:$Z$39,"tertiair",P38:P39)</f>
        <v>0</v>
      </c>
      <c r="Q41" s="597">
        <f>SUMIF($Z$38:$Z$39,"tertiair",Q38:Q39)</f>
        <v>0</v>
      </c>
      <c r="R41" s="597">
        <f>SUMIF($Z$38:$Z$39,"tertiair",R38:R39)</f>
        <v>0</v>
      </c>
      <c r="S41" s="597">
        <f>SUMIF($Z$38:$Z$39,"tertiair",S38:S39)</f>
        <v>0</v>
      </c>
      <c r="T41" s="597">
        <f>SUMIF($Z$38:$Z$39,"tertiair",T38:T39)</f>
        <v>0</v>
      </c>
      <c r="U41" s="597">
        <f>SUMIF($Z$38:$Z$39,"tertiair",U38:U39)</f>
        <v>0</v>
      </c>
      <c r="V41" s="597">
        <f>SUMIF($Z$38:$Z$39,"tertiair",V38:V39)</f>
        <v>0</v>
      </c>
      <c r="W41" s="597">
        <f>SUMIF($Z$38:$Z$39,"tertiair",W38:W39)</f>
        <v>0</v>
      </c>
      <c r="X41" s="598"/>
      <c r="Y41" s="598"/>
      <c r="Z41" s="599"/>
    </row>
    <row r="42" spans="1:27" s="576" customFormat="1" ht="15.75" thickBot="1">
      <c r="A42" s="600" t="s">
        <v>288</v>
      </c>
      <c r="B42" s="601"/>
      <c r="C42" s="601"/>
      <c r="D42" s="601"/>
      <c r="E42" s="601"/>
      <c r="F42" s="601"/>
      <c r="G42" s="601"/>
      <c r="H42" s="601"/>
      <c r="I42" s="601"/>
      <c r="J42" s="601"/>
      <c r="K42" s="601"/>
      <c r="L42" s="602"/>
      <c r="M42" s="602">
        <f>SUMIF($Z$38:$Z$40,"landbouw",M38:M40)</f>
        <v>0</v>
      </c>
      <c r="N42" s="602">
        <f>SUMIF($Z$38:$Z$40,"landbouw",N38:N40)</f>
        <v>0</v>
      </c>
      <c r="O42" s="602">
        <f>SUMIF($Z$38:$Z$40,"landbouw",O38:O40)</f>
        <v>0</v>
      </c>
      <c r="P42" s="602">
        <f>SUMIF($Z$38:$Z$40,"landbouw",P38:P40)</f>
        <v>0</v>
      </c>
      <c r="Q42" s="602">
        <f>SUMIF($Z$38:$Z$40,"landbouw",Q38:Q40)</f>
        <v>0</v>
      </c>
      <c r="R42" s="602">
        <f>SUMIF($Z$38:$Z$40,"landbouw",R38:R40)</f>
        <v>0</v>
      </c>
      <c r="S42" s="602">
        <f>SUMIF($Z$38:$Z$40,"landbouw",S38:S40)</f>
        <v>0</v>
      </c>
      <c r="T42" s="602">
        <f>SUMIF($Z$38:$Z$40,"landbouw",T38:T40)</f>
        <v>0</v>
      </c>
      <c r="U42" s="602">
        <f>SUMIF($Z$38:$Z$40,"landbouw",U38:U40)</f>
        <v>0</v>
      </c>
      <c r="V42" s="602">
        <f>SUMIF($Z$38:$Z$40,"landbouw",V38:V40)</f>
        <v>0</v>
      </c>
      <c r="W42" s="602">
        <f>SUMIF($Z$38:$Z$40,"landbouw",W38:W40)</f>
        <v>0</v>
      </c>
      <c r="X42" s="603"/>
      <c r="Y42" s="603"/>
      <c r="Z42" s="604"/>
    </row>
    <row r="43" spans="1:27" s="609" customFormat="1">
      <c r="A43" s="605"/>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89"/>
    </row>
    <row r="44" spans="1:27" s="609" customFormat="1" ht="15.75" thickBot="1">
      <c r="A44" s="605"/>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89"/>
      <c r="Z44" s="589"/>
      <c r="AA44" s="589"/>
    </row>
    <row r="45" spans="1:27">
      <c r="A45" s="610" t="s">
        <v>281</v>
      </c>
      <c r="B45" s="611"/>
      <c r="C45" s="611"/>
      <c r="D45" s="611"/>
      <c r="E45" s="611"/>
      <c r="F45" s="611"/>
      <c r="G45" s="611"/>
      <c r="H45" s="611"/>
      <c r="I45" s="612"/>
      <c r="J45" s="613"/>
      <c r="K45" s="613"/>
      <c r="L45" s="614"/>
      <c r="M45" s="614"/>
      <c r="N45" s="614"/>
      <c r="O45" s="614"/>
      <c r="P45" s="614"/>
    </row>
    <row r="46" spans="1:27">
      <c r="A46" s="616"/>
      <c r="B46" s="606"/>
      <c r="C46" s="606"/>
      <c r="D46" s="606"/>
      <c r="E46" s="606"/>
      <c r="F46" s="606"/>
      <c r="G46" s="606"/>
      <c r="H46" s="606"/>
      <c r="I46" s="617"/>
      <c r="J46" s="606"/>
      <c r="K46" s="606"/>
      <c r="L46" s="614"/>
      <c r="M46" s="614"/>
      <c r="N46" s="614"/>
      <c r="O46" s="614"/>
      <c r="P46" s="614"/>
    </row>
    <row r="47" spans="1:27">
      <c r="A47" s="618"/>
      <c r="B47" s="619" t="s">
        <v>282</v>
      </c>
      <c r="C47" s="619" t="s">
        <v>283</v>
      </c>
      <c r="D47" s="619"/>
      <c r="E47" s="619"/>
      <c r="F47" s="619"/>
      <c r="G47" s="619"/>
      <c r="H47" s="619"/>
      <c r="I47" s="620"/>
      <c r="J47" s="619"/>
      <c r="K47" s="619"/>
      <c r="L47" s="619"/>
      <c r="M47" s="619"/>
      <c r="N47" s="619"/>
      <c r="O47" s="619"/>
      <c r="P47" s="614"/>
    </row>
    <row r="48" spans="1:27">
      <c r="A48" s="616" t="s">
        <v>279</v>
      </c>
      <c r="B48" s="621">
        <f>IF(ISERROR(O32/(O32+N32)),0,O32/(O32+N32))</f>
        <v>0.58823529411764708</v>
      </c>
      <c r="C48" s="622">
        <f>IF(ISERROR(N32/(O32+N32)),0,N32/(N32+O32))</f>
        <v>0.41176470588235292</v>
      </c>
      <c r="D48" s="589"/>
      <c r="E48" s="589"/>
      <c r="F48" s="589"/>
      <c r="G48" s="589"/>
      <c r="H48" s="589"/>
      <c r="I48" s="623"/>
      <c r="J48" s="589"/>
      <c r="K48" s="589"/>
      <c r="L48" s="624"/>
      <c r="M48" s="624"/>
      <c r="N48" s="624"/>
      <c r="O48" s="624"/>
      <c r="P48" s="614"/>
    </row>
    <row r="49" spans="1:16">
      <c r="A49" s="616"/>
      <c r="B49" s="625"/>
      <c r="C49" s="625"/>
      <c r="D49" s="625"/>
      <c r="E49" s="625"/>
      <c r="F49" s="625"/>
      <c r="G49" s="625"/>
      <c r="H49" s="625"/>
      <c r="I49" s="626"/>
      <c r="J49" s="625"/>
      <c r="K49" s="625"/>
      <c r="L49" s="627"/>
      <c r="M49" s="627"/>
      <c r="N49" s="627"/>
      <c r="O49" s="627"/>
      <c r="P49" s="614"/>
    </row>
    <row r="50" spans="1:16" ht="30">
      <c r="A50" s="628"/>
      <c r="B50" s="629" t="s">
        <v>546</v>
      </c>
      <c r="C50" s="629" t="s">
        <v>102</v>
      </c>
      <c r="D50" s="629" t="s">
        <v>103</v>
      </c>
      <c r="E50" s="629" t="s">
        <v>104</v>
      </c>
      <c r="F50" s="629" t="s">
        <v>105</v>
      </c>
      <c r="G50" s="629" t="s">
        <v>106</v>
      </c>
      <c r="H50" s="629" t="s">
        <v>107</v>
      </c>
      <c r="I50" s="630" t="s">
        <v>108</v>
      </c>
      <c r="J50" s="619"/>
      <c r="K50" s="619"/>
      <c r="L50" s="627"/>
      <c r="M50" s="627"/>
      <c r="N50" s="627"/>
      <c r="O50" s="614"/>
      <c r="P50" s="614"/>
    </row>
    <row r="51" spans="1:16">
      <c r="A51" s="618" t="s">
        <v>284</v>
      </c>
      <c r="B51" s="631">
        <f t="shared" ref="B51:I51" si="2">$C$48*P32</f>
        <v>8269.4117647058829</v>
      </c>
      <c r="C51" s="631">
        <f t="shared" si="2"/>
        <v>47.073529411764703</v>
      </c>
      <c r="D51" s="631">
        <f t="shared" si="2"/>
        <v>0</v>
      </c>
      <c r="E51" s="631">
        <f t="shared" si="2"/>
        <v>0</v>
      </c>
      <c r="F51" s="631">
        <f t="shared" si="2"/>
        <v>0</v>
      </c>
      <c r="G51" s="631">
        <f t="shared" si="2"/>
        <v>0</v>
      </c>
      <c r="H51" s="631">
        <f t="shared" si="2"/>
        <v>0</v>
      </c>
      <c r="I51" s="632">
        <f t="shared" si="2"/>
        <v>0</v>
      </c>
      <c r="J51" s="589"/>
      <c r="K51" s="589"/>
      <c r="L51" s="627"/>
      <c r="M51" s="627"/>
      <c r="N51" s="627"/>
      <c r="O51" s="614"/>
      <c r="P51" s="614"/>
    </row>
    <row r="52" spans="1:16" ht="15.75" thickBot="1">
      <c r="A52" s="633" t="s">
        <v>285</v>
      </c>
      <c r="B52" s="634">
        <f t="shared" ref="B52:I52" si="3">$B$48*P32</f>
        <v>11813.445378151262</v>
      </c>
      <c r="C52" s="634">
        <f t="shared" si="3"/>
        <v>67.247899159663874</v>
      </c>
      <c r="D52" s="634">
        <f t="shared" si="3"/>
        <v>0</v>
      </c>
      <c r="E52" s="634">
        <f t="shared" si="3"/>
        <v>0</v>
      </c>
      <c r="F52" s="634">
        <f t="shared" si="3"/>
        <v>0</v>
      </c>
      <c r="G52" s="634">
        <f t="shared" si="3"/>
        <v>0</v>
      </c>
      <c r="H52" s="634">
        <f t="shared" si="3"/>
        <v>0</v>
      </c>
      <c r="I52" s="635">
        <f t="shared" si="3"/>
        <v>0</v>
      </c>
      <c r="J52" s="589"/>
      <c r="K52" s="589"/>
      <c r="L52" s="627"/>
      <c r="M52" s="627"/>
      <c r="N52" s="627"/>
      <c r="O52" s="614"/>
      <c r="P52" s="614"/>
    </row>
    <row r="53" spans="1:16">
      <c r="J53" s="574"/>
      <c r="K53" s="574"/>
      <c r="L53" s="574"/>
      <c r="M53" s="574"/>
      <c r="N53" s="574"/>
    </row>
    <row r="54" spans="1:16">
      <c r="J54" s="574"/>
      <c r="K54" s="574"/>
      <c r="L54" s="574"/>
      <c r="M54" s="574"/>
      <c r="N54"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42762.245406740774</v>
      </c>
      <c r="C4" s="458">
        <f>huishoudens!C8</f>
        <v>0</v>
      </c>
      <c r="D4" s="458">
        <f>huishoudens!D8</f>
        <v>75397.296528634499</v>
      </c>
      <c r="E4" s="458">
        <f>huishoudens!E8</f>
        <v>4932.1606411620487</v>
      </c>
      <c r="F4" s="458">
        <f>huishoudens!F8</f>
        <v>25099.57178592632</v>
      </c>
      <c r="G4" s="458">
        <f>huishoudens!G8</f>
        <v>0</v>
      </c>
      <c r="H4" s="458">
        <f>huishoudens!H8</f>
        <v>0</v>
      </c>
      <c r="I4" s="458">
        <f>huishoudens!I8</f>
        <v>0</v>
      </c>
      <c r="J4" s="458">
        <f>huishoudens!J8</f>
        <v>655.29111237528559</v>
      </c>
      <c r="K4" s="458">
        <f>huishoudens!K8</f>
        <v>0</v>
      </c>
      <c r="L4" s="458">
        <f>huishoudens!L8</f>
        <v>0</v>
      </c>
      <c r="M4" s="458">
        <f>huishoudens!M8</f>
        <v>0</v>
      </c>
      <c r="N4" s="458">
        <f>huishoudens!N8</f>
        <v>19952.240772394645</v>
      </c>
      <c r="O4" s="458">
        <f>huishoudens!O8</f>
        <v>328.3</v>
      </c>
      <c r="P4" s="459">
        <f>huishoudens!P8</f>
        <v>858</v>
      </c>
      <c r="Q4" s="460">
        <f>SUM(B4:P4)</f>
        <v>169985.10624723358</v>
      </c>
    </row>
    <row r="5" spans="1:17">
      <c r="A5" s="457" t="s">
        <v>155</v>
      </c>
      <c r="B5" s="458">
        <f ca="1">tertiair!B16</f>
        <v>31909.588704060759</v>
      </c>
      <c r="C5" s="458">
        <f ca="1">tertiair!C16</f>
        <v>192.85714285714286</v>
      </c>
      <c r="D5" s="458">
        <f ca="1">tertiair!D16</f>
        <v>31835.716175440084</v>
      </c>
      <c r="E5" s="458">
        <f>tertiair!E16</f>
        <v>428.36564138805687</v>
      </c>
      <c r="F5" s="458">
        <f ca="1">tertiair!F16</f>
        <v>5990.9625208897605</v>
      </c>
      <c r="G5" s="458">
        <f>tertiair!G16</f>
        <v>0</v>
      </c>
      <c r="H5" s="458">
        <f>tertiair!H16</f>
        <v>0</v>
      </c>
      <c r="I5" s="458">
        <f>tertiair!I16</f>
        <v>0</v>
      </c>
      <c r="J5" s="458">
        <f>tertiair!J16</f>
        <v>0</v>
      </c>
      <c r="K5" s="458">
        <f>tertiair!K16</f>
        <v>0</v>
      </c>
      <c r="L5" s="458">
        <f ca="1">tertiair!L16</f>
        <v>0</v>
      </c>
      <c r="M5" s="458">
        <f>tertiair!M16</f>
        <v>0</v>
      </c>
      <c r="N5" s="458">
        <f ca="1">tertiair!N16</f>
        <v>1790.0801768675478</v>
      </c>
      <c r="O5" s="458">
        <f>tertiair!O16</f>
        <v>1.5633333333333335</v>
      </c>
      <c r="P5" s="459">
        <f>tertiair!P16</f>
        <v>38.133333333333333</v>
      </c>
      <c r="Q5" s="457">
        <f t="shared" ref="Q5:Q14" ca="1" si="0">SUM(B5:P5)</f>
        <v>72187.267028170012</v>
      </c>
    </row>
    <row r="6" spans="1:17">
      <c r="A6" s="457" t="s">
        <v>193</v>
      </c>
      <c r="B6" s="458">
        <f>'openbare verlichting'!B8</f>
        <v>1742.5609999999999</v>
      </c>
      <c r="C6" s="458"/>
      <c r="D6" s="458"/>
      <c r="E6" s="458"/>
      <c r="F6" s="458"/>
      <c r="G6" s="458"/>
      <c r="H6" s="458"/>
      <c r="I6" s="458"/>
      <c r="J6" s="458"/>
      <c r="K6" s="458"/>
      <c r="L6" s="458"/>
      <c r="M6" s="458"/>
      <c r="N6" s="458"/>
      <c r="O6" s="458"/>
      <c r="P6" s="459"/>
      <c r="Q6" s="457">
        <f t="shared" si="0"/>
        <v>1742.5609999999999</v>
      </c>
    </row>
    <row r="7" spans="1:17">
      <c r="A7" s="457" t="s">
        <v>111</v>
      </c>
      <c r="B7" s="458">
        <f>landbouw!B8</f>
        <v>10940.150685644068</v>
      </c>
      <c r="C7" s="458">
        <f>landbouw!C8</f>
        <v>9905.7321428571431</v>
      </c>
      <c r="D7" s="458">
        <f>landbouw!D8</f>
        <v>43994.922977204638</v>
      </c>
      <c r="E7" s="458">
        <f>landbouw!E8</f>
        <v>137.85999241875376</v>
      </c>
      <c r="F7" s="458">
        <f>landbouw!F8</f>
        <v>37746.260536980633</v>
      </c>
      <c r="G7" s="458">
        <f>landbouw!G8</f>
        <v>0</v>
      </c>
      <c r="H7" s="458">
        <f>landbouw!H8</f>
        <v>0</v>
      </c>
      <c r="I7" s="458">
        <f>landbouw!I8</f>
        <v>0</v>
      </c>
      <c r="J7" s="458">
        <f>landbouw!J8</f>
        <v>1645.2742998770614</v>
      </c>
      <c r="K7" s="458">
        <f>landbouw!K8</f>
        <v>0</v>
      </c>
      <c r="L7" s="458">
        <f>landbouw!L8</f>
        <v>0</v>
      </c>
      <c r="M7" s="458">
        <f>landbouw!M8</f>
        <v>0</v>
      </c>
      <c r="N7" s="458">
        <f>landbouw!N8</f>
        <v>0</v>
      </c>
      <c r="O7" s="458">
        <f>landbouw!O8</f>
        <v>0</v>
      </c>
      <c r="P7" s="459">
        <f>landbouw!P8</f>
        <v>0</v>
      </c>
      <c r="Q7" s="457">
        <f t="shared" si="0"/>
        <v>104370.20063498229</v>
      </c>
    </row>
    <row r="8" spans="1:17">
      <c r="A8" s="457" t="s">
        <v>655</v>
      </c>
      <c r="B8" s="458">
        <f>industrie!B18</f>
        <v>7653.4536368485597</v>
      </c>
      <c r="C8" s="458">
        <f>industrie!C18</f>
        <v>0</v>
      </c>
      <c r="D8" s="458">
        <f>industrie!D18</f>
        <v>25498.835591521616</v>
      </c>
      <c r="E8" s="458">
        <f>industrie!E18</f>
        <v>1201.3854392315338</v>
      </c>
      <c r="F8" s="458">
        <f>industrie!F18</f>
        <v>4025.0250020789799</v>
      </c>
      <c r="G8" s="458">
        <f>industrie!G18</f>
        <v>0</v>
      </c>
      <c r="H8" s="458">
        <f>industrie!H18</f>
        <v>0</v>
      </c>
      <c r="I8" s="458">
        <f>industrie!I18</f>
        <v>0</v>
      </c>
      <c r="J8" s="458">
        <f>industrie!J18</f>
        <v>6.6627402052090394</v>
      </c>
      <c r="K8" s="458">
        <f>industrie!K18</f>
        <v>0</v>
      </c>
      <c r="L8" s="458">
        <f>industrie!L18</f>
        <v>0</v>
      </c>
      <c r="M8" s="458">
        <f>industrie!M18</f>
        <v>0</v>
      </c>
      <c r="N8" s="458">
        <f>industrie!N18</f>
        <v>627.80762579377972</v>
      </c>
      <c r="O8" s="458">
        <f>industrie!O18</f>
        <v>0</v>
      </c>
      <c r="P8" s="459">
        <f>industrie!P18</f>
        <v>0</v>
      </c>
      <c r="Q8" s="457">
        <f t="shared" si="0"/>
        <v>39013.170035679679</v>
      </c>
    </row>
    <row r="9" spans="1:17" s="463" customFormat="1">
      <c r="A9" s="461" t="s">
        <v>573</v>
      </c>
      <c r="B9" s="462">
        <f>transport!B14</f>
        <v>10.18270524049964</v>
      </c>
      <c r="C9" s="462">
        <f>transport!C14</f>
        <v>0</v>
      </c>
      <c r="D9" s="462">
        <f>transport!D14</f>
        <v>16.389205898287393</v>
      </c>
      <c r="E9" s="462">
        <f>transport!E14</f>
        <v>662.16655022628242</v>
      </c>
      <c r="F9" s="462">
        <f>transport!F14</f>
        <v>0</v>
      </c>
      <c r="G9" s="462">
        <f>transport!G14</f>
        <v>236205.19100100378</v>
      </c>
      <c r="H9" s="462">
        <f>transport!H14</f>
        <v>30754.689708476548</v>
      </c>
      <c r="I9" s="462">
        <f>transport!I14</f>
        <v>0</v>
      </c>
      <c r="J9" s="462">
        <f>transport!J14</f>
        <v>0</v>
      </c>
      <c r="K9" s="462">
        <f>transport!K14</f>
        <v>0</v>
      </c>
      <c r="L9" s="462">
        <f>transport!L14</f>
        <v>0</v>
      </c>
      <c r="M9" s="462">
        <f>transport!M14</f>
        <v>12066.815986391082</v>
      </c>
      <c r="N9" s="462">
        <f>transport!N14</f>
        <v>0</v>
      </c>
      <c r="O9" s="462">
        <f>transport!O14</f>
        <v>0</v>
      </c>
      <c r="P9" s="462">
        <f>transport!P14</f>
        <v>0</v>
      </c>
      <c r="Q9" s="461">
        <f>SUM(B9:P9)</f>
        <v>279715.43515723653</v>
      </c>
    </row>
    <row r="10" spans="1:17">
      <c r="A10" s="457" t="s">
        <v>563</v>
      </c>
      <c r="B10" s="458">
        <f>transport!B54</f>
        <v>0</v>
      </c>
      <c r="C10" s="458">
        <f>transport!C54</f>
        <v>0</v>
      </c>
      <c r="D10" s="458">
        <f>transport!D54</f>
        <v>0</v>
      </c>
      <c r="E10" s="458">
        <f>transport!E54</f>
        <v>0</v>
      </c>
      <c r="F10" s="458">
        <f>transport!F54</f>
        <v>0</v>
      </c>
      <c r="G10" s="458">
        <f>transport!G54</f>
        <v>2270.1962343765758</v>
      </c>
      <c r="H10" s="458">
        <f>transport!H54</f>
        <v>0</v>
      </c>
      <c r="I10" s="458">
        <f>transport!I54</f>
        <v>0</v>
      </c>
      <c r="J10" s="458">
        <f>transport!J54</f>
        <v>0</v>
      </c>
      <c r="K10" s="458">
        <f>transport!K54</f>
        <v>0</v>
      </c>
      <c r="L10" s="458">
        <f>transport!L54</f>
        <v>0</v>
      </c>
      <c r="M10" s="458">
        <f>transport!M54</f>
        <v>101.04831250770231</v>
      </c>
      <c r="N10" s="458">
        <f>transport!N54</f>
        <v>0</v>
      </c>
      <c r="O10" s="458">
        <f>transport!O54</f>
        <v>0</v>
      </c>
      <c r="P10" s="459">
        <f>transport!P54</f>
        <v>0</v>
      </c>
      <c r="Q10" s="457">
        <f t="shared" si="0"/>
        <v>2371.244546884278</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1098.3954542962599</v>
      </c>
      <c r="C14" s="465"/>
      <c r="D14" s="465">
        <f>'SEAP template'!E25</f>
        <v>1984.8309805070098</v>
      </c>
      <c r="E14" s="465"/>
      <c r="F14" s="465"/>
      <c r="G14" s="465"/>
      <c r="H14" s="465"/>
      <c r="I14" s="465"/>
      <c r="J14" s="465"/>
      <c r="K14" s="465"/>
      <c r="L14" s="465"/>
      <c r="M14" s="465"/>
      <c r="N14" s="465"/>
      <c r="O14" s="465"/>
      <c r="P14" s="466"/>
      <c r="Q14" s="457">
        <f t="shared" si="0"/>
        <v>3083.2264348032695</v>
      </c>
    </row>
    <row r="15" spans="1:17" s="470" customFormat="1">
      <c r="A15" s="467" t="s">
        <v>567</v>
      </c>
      <c r="B15" s="468">
        <f ca="1">SUM(B4:B14)</f>
        <v>96116.577592830916</v>
      </c>
      <c r="C15" s="468">
        <f t="shared" ref="C15:Q15" ca="1" si="1">SUM(C4:C14)</f>
        <v>10098.589285714286</v>
      </c>
      <c r="D15" s="468">
        <f t="shared" ca="1" si="1"/>
        <v>178727.99145920613</v>
      </c>
      <c r="E15" s="468">
        <f t="shared" si="1"/>
        <v>7361.9382644266752</v>
      </c>
      <c r="F15" s="468">
        <f t="shared" ca="1" si="1"/>
        <v>72861.819845875696</v>
      </c>
      <c r="G15" s="468">
        <f t="shared" si="1"/>
        <v>238475.38723538036</v>
      </c>
      <c r="H15" s="468">
        <f t="shared" si="1"/>
        <v>30754.689708476548</v>
      </c>
      <c r="I15" s="468">
        <f t="shared" si="1"/>
        <v>0</v>
      </c>
      <c r="J15" s="468">
        <f t="shared" si="1"/>
        <v>2307.228152457556</v>
      </c>
      <c r="K15" s="468">
        <f t="shared" si="1"/>
        <v>0</v>
      </c>
      <c r="L15" s="468">
        <f t="shared" ca="1" si="1"/>
        <v>0</v>
      </c>
      <c r="M15" s="468">
        <f t="shared" si="1"/>
        <v>12167.864298898785</v>
      </c>
      <c r="N15" s="468">
        <f t="shared" ca="1" si="1"/>
        <v>22370.128575055973</v>
      </c>
      <c r="O15" s="468">
        <f t="shared" si="1"/>
        <v>329.86333333333334</v>
      </c>
      <c r="P15" s="468">
        <f t="shared" si="1"/>
        <v>896.13333333333333</v>
      </c>
      <c r="Q15" s="468">
        <f t="shared" ca="1" si="1"/>
        <v>672468.2110849896</v>
      </c>
    </row>
    <row r="17" spans="1:17">
      <c r="A17" s="471" t="s">
        <v>568</v>
      </c>
      <c r="B17" s="777">
        <f ca="1">huishoudens!B10</f>
        <v>0.19186814767389046</v>
      </c>
      <c r="C17" s="777">
        <f ca="1">huishoudens!C10</f>
        <v>0.2363019129575154</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8204.7128165676822</v>
      </c>
      <c r="C22" s="458">
        <f t="shared" ref="C22:C32" ca="1" si="3">C4*$C$17</f>
        <v>0</v>
      </c>
      <c r="D22" s="458">
        <f t="shared" ref="D22:D32" si="4">D4*$D$17</f>
        <v>15230.253898784169</v>
      </c>
      <c r="E22" s="458">
        <f t="shared" ref="E22:E32" si="5">E4*$E$17</f>
        <v>1119.600465543785</v>
      </c>
      <c r="F22" s="458">
        <f t="shared" ref="F22:F32" si="6">F4*$F$17</f>
        <v>6701.5856668423276</v>
      </c>
      <c r="G22" s="458">
        <f t="shared" ref="G22:G32" si="7">G4*$G$17</f>
        <v>0</v>
      </c>
      <c r="H22" s="458">
        <f t="shared" ref="H22:H32" si="8">H4*$H$17</f>
        <v>0</v>
      </c>
      <c r="I22" s="458">
        <f t="shared" ref="I22:I32" si="9">I4*$I$17</f>
        <v>0</v>
      </c>
      <c r="J22" s="458">
        <f t="shared" ref="J22:J32" si="10">J4*$J$17</f>
        <v>231.97305378085107</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31488.125901518819</v>
      </c>
    </row>
    <row r="23" spans="1:17">
      <c r="A23" s="457" t="s">
        <v>155</v>
      </c>
      <c r="B23" s="458">
        <f t="shared" ca="1" si="2"/>
        <v>6122.4336776838363</v>
      </c>
      <c r="C23" s="458">
        <f t="shared" ca="1" si="3"/>
        <v>45.572511784663689</v>
      </c>
      <c r="D23" s="458">
        <f t="shared" ca="1" si="4"/>
        <v>6430.8146674388972</v>
      </c>
      <c r="E23" s="458">
        <f t="shared" si="5"/>
        <v>97.23900059508891</v>
      </c>
      <c r="F23" s="458">
        <f t="shared" ca="1" si="6"/>
        <v>1599.5869930775661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14295.646850580053</v>
      </c>
    </row>
    <row r="24" spans="1:17">
      <c r="A24" s="457" t="s">
        <v>193</v>
      </c>
      <c r="B24" s="458">
        <f t="shared" ca="1" si="2"/>
        <v>334.34195127876222</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334.34195127876222</v>
      </c>
    </row>
    <row r="25" spans="1:17">
      <c r="A25" s="457" t="s">
        <v>111</v>
      </c>
      <c r="B25" s="458">
        <f t="shared" ca="1" si="2"/>
        <v>2099.0664473277702</v>
      </c>
      <c r="C25" s="458">
        <f t="shared" ca="1" si="3"/>
        <v>2340.7434546018912</v>
      </c>
      <c r="D25" s="458">
        <f t="shared" si="4"/>
        <v>8886.9744413953376</v>
      </c>
      <c r="E25" s="458">
        <f t="shared" si="5"/>
        <v>31.294218279057105</v>
      </c>
      <c r="F25" s="458">
        <f t="shared" si="6"/>
        <v>10078.251563373829</v>
      </c>
      <c r="G25" s="458">
        <f t="shared" si="7"/>
        <v>0</v>
      </c>
      <c r="H25" s="458">
        <f t="shared" si="8"/>
        <v>0</v>
      </c>
      <c r="I25" s="458">
        <f t="shared" si="9"/>
        <v>0</v>
      </c>
      <c r="J25" s="458">
        <f t="shared" si="10"/>
        <v>582.42710215647969</v>
      </c>
      <c r="K25" s="458">
        <f t="shared" si="11"/>
        <v>0</v>
      </c>
      <c r="L25" s="458">
        <f t="shared" si="12"/>
        <v>0</v>
      </c>
      <c r="M25" s="458">
        <f t="shared" si="13"/>
        <v>0</v>
      </c>
      <c r="N25" s="458">
        <f t="shared" si="14"/>
        <v>0</v>
      </c>
      <c r="O25" s="458">
        <f t="shared" si="15"/>
        <v>0</v>
      </c>
      <c r="P25" s="459">
        <f t="shared" si="16"/>
        <v>0</v>
      </c>
      <c r="Q25" s="457">
        <f t="shared" ca="1" si="17"/>
        <v>24018.757227134363</v>
      </c>
    </row>
    <row r="26" spans="1:17">
      <c r="A26" s="457" t="s">
        <v>655</v>
      </c>
      <c r="B26" s="458">
        <f t="shared" ca="1" si="2"/>
        <v>1468.4539726101334</v>
      </c>
      <c r="C26" s="458">
        <f t="shared" ca="1" si="3"/>
        <v>0</v>
      </c>
      <c r="D26" s="458">
        <f t="shared" si="4"/>
        <v>5150.7647894873671</v>
      </c>
      <c r="E26" s="458">
        <f t="shared" si="5"/>
        <v>272.7144947055582</v>
      </c>
      <c r="F26" s="458">
        <f t="shared" si="6"/>
        <v>1074.6816755550876</v>
      </c>
      <c r="G26" s="458">
        <f t="shared" si="7"/>
        <v>0</v>
      </c>
      <c r="H26" s="458">
        <f t="shared" si="8"/>
        <v>0</v>
      </c>
      <c r="I26" s="458">
        <f t="shared" si="9"/>
        <v>0</v>
      </c>
      <c r="J26" s="458">
        <f t="shared" si="10"/>
        <v>2.358610032644</v>
      </c>
      <c r="K26" s="458">
        <f t="shared" si="11"/>
        <v>0</v>
      </c>
      <c r="L26" s="458">
        <f t="shared" si="12"/>
        <v>0</v>
      </c>
      <c r="M26" s="458">
        <f t="shared" si="13"/>
        <v>0</v>
      </c>
      <c r="N26" s="458">
        <f t="shared" si="14"/>
        <v>0</v>
      </c>
      <c r="O26" s="458">
        <f t="shared" si="15"/>
        <v>0</v>
      </c>
      <c r="P26" s="459">
        <f t="shared" si="16"/>
        <v>0</v>
      </c>
      <c r="Q26" s="457">
        <f t="shared" ca="1" si="17"/>
        <v>7968.9735423907905</v>
      </c>
    </row>
    <row r="27" spans="1:17" s="463" customFormat="1">
      <c r="A27" s="461" t="s">
        <v>573</v>
      </c>
      <c r="B27" s="771">
        <f t="shared" ca="1" si="2"/>
        <v>1.9537367928038831</v>
      </c>
      <c r="C27" s="462">
        <f t="shared" ca="1" si="3"/>
        <v>0</v>
      </c>
      <c r="D27" s="462">
        <f t="shared" si="4"/>
        <v>3.3106195914540537</v>
      </c>
      <c r="E27" s="462">
        <f t="shared" si="5"/>
        <v>150.31180690136611</v>
      </c>
      <c r="F27" s="462">
        <f t="shared" si="6"/>
        <v>0</v>
      </c>
      <c r="G27" s="462">
        <f t="shared" si="7"/>
        <v>63066.785997268016</v>
      </c>
      <c r="H27" s="462">
        <f t="shared" si="8"/>
        <v>7657.9177374106603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70880.279897964298</v>
      </c>
    </row>
    <row r="28" spans="1:17">
      <c r="A28" s="457" t="s">
        <v>563</v>
      </c>
      <c r="B28" s="458">
        <f t="shared" ca="1" si="2"/>
        <v>0</v>
      </c>
      <c r="C28" s="458">
        <f t="shared" ca="1" si="3"/>
        <v>0</v>
      </c>
      <c r="D28" s="458">
        <f t="shared" si="4"/>
        <v>0</v>
      </c>
      <c r="E28" s="458">
        <f t="shared" si="5"/>
        <v>0</v>
      </c>
      <c r="F28" s="458">
        <f t="shared" si="6"/>
        <v>0</v>
      </c>
      <c r="G28" s="458">
        <f t="shared" si="7"/>
        <v>606.1423945785458</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606.1423945785458</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210.74710122924481</v>
      </c>
      <c r="C32" s="458">
        <f t="shared" ca="1" si="3"/>
        <v>0</v>
      </c>
      <c r="D32" s="458">
        <f t="shared" si="4"/>
        <v>400.935858062416</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611.68295929166084</v>
      </c>
    </row>
    <row r="33" spans="1:17" s="470" customFormat="1">
      <c r="A33" s="467" t="s">
        <v>567</v>
      </c>
      <c r="B33" s="468">
        <f ca="1">SUM(B22:B32)</f>
        <v>18441.709703490233</v>
      </c>
      <c r="C33" s="468">
        <f t="shared" ref="C33:Q33" ca="1" si="18">SUM(C22:C32)</f>
        <v>2386.3159663865549</v>
      </c>
      <c r="D33" s="468">
        <f t="shared" ca="1" si="18"/>
        <v>36103.054274759641</v>
      </c>
      <c r="E33" s="468">
        <f t="shared" si="18"/>
        <v>1671.1599860248555</v>
      </c>
      <c r="F33" s="468">
        <f t="shared" ca="1" si="18"/>
        <v>19454.105898848811</v>
      </c>
      <c r="G33" s="468">
        <f t="shared" si="18"/>
        <v>63672.928391846559</v>
      </c>
      <c r="H33" s="468">
        <f t="shared" si="18"/>
        <v>7657.9177374106603</v>
      </c>
      <c r="I33" s="468">
        <f t="shared" si="18"/>
        <v>0</v>
      </c>
      <c r="J33" s="468">
        <f t="shared" si="18"/>
        <v>816.75876596997477</v>
      </c>
      <c r="K33" s="468">
        <f t="shared" si="18"/>
        <v>0</v>
      </c>
      <c r="L33" s="468">
        <f t="shared" ca="1" si="18"/>
        <v>0</v>
      </c>
      <c r="M33" s="468">
        <f t="shared" si="18"/>
        <v>0</v>
      </c>
      <c r="N33" s="468">
        <f t="shared" ca="1" si="18"/>
        <v>0</v>
      </c>
      <c r="O33" s="468">
        <f t="shared" si="18"/>
        <v>0</v>
      </c>
      <c r="P33" s="468">
        <f t="shared" si="18"/>
        <v>0</v>
      </c>
      <c r="Q33" s="468">
        <f t="shared" ca="1" si="18"/>
        <v>150203.95072473728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7544.6336670000001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5614.7480456515214</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40.012499999999996</v>
      </c>
      <c r="C8" s="1034">
        <f>'SEAP template'!C76</f>
        <v>7029</v>
      </c>
      <c r="D8" s="1034">
        <f>'SEAP template'!D76</f>
        <v>8269.4117647058829</v>
      </c>
      <c r="E8" s="1034">
        <f>'SEAP template'!E76</f>
        <v>0</v>
      </c>
      <c r="F8" s="1034">
        <f>'SEAP template'!F76</f>
        <v>0</v>
      </c>
      <c r="G8" s="1034">
        <f>'SEAP template'!G76</f>
        <v>0</v>
      </c>
      <c r="H8" s="1034">
        <f>'SEAP template'!H76</f>
        <v>0</v>
      </c>
      <c r="I8" s="1034">
        <f>'SEAP template'!I76</f>
        <v>0</v>
      </c>
      <c r="J8" s="1034">
        <f>'SEAP template'!J76</f>
        <v>47.073529411764703</v>
      </c>
      <c r="K8" s="1034">
        <f>'SEAP template'!K76</f>
        <v>0</v>
      </c>
      <c r="L8" s="1034">
        <f>'SEAP template'!L76</f>
        <v>0</v>
      </c>
      <c r="M8" s="1034">
        <f>'SEAP template'!M76</f>
        <v>0</v>
      </c>
      <c r="N8" s="1034">
        <f>'SEAP template'!N76</f>
        <v>0</v>
      </c>
      <c r="O8" s="1034">
        <f>'SEAP template'!O76</f>
        <v>0</v>
      </c>
      <c r="P8" s="1035">
        <f>'SEAP template'!Q76</f>
        <v>1670.4211764705885</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13199.394212651521</v>
      </c>
      <c r="C10" s="1038">
        <f>SUM(C4:C9)</f>
        <v>7029</v>
      </c>
      <c r="D10" s="1038">
        <f t="shared" ref="D10:H10" si="0">SUM(D8:D9)</f>
        <v>8269.4117647058829</v>
      </c>
      <c r="E10" s="1038">
        <f t="shared" si="0"/>
        <v>0</v>
      </c>
      <c r="F10" s="1038">
        <f t="shared" si="0"/>
        <v>0</v>
      </c>
      <c r="G10" s="1038">
        <f t="shared" si="0"/>
        <v>0</v>
      </c>
      <c r="H10" s="1038">
        <f t="shared" si="0"/>
        <v>0</v>
      </c>
      <c r="I10" s="1038">
        <f>SUM(I8:I9)</f>
        <v>0</v>
      </c>
      <c r="J10" s="1038">
        <f>SUM(J8:J9)</f>
        <v>47.073529411764703</v>
      </c>
      <c r="K10" s="1038">
        <f t="shared" ref="K10:L10" si="1">SUM(K8:K9)</f>
        <v>0</v>
      </c>
      <c r="L10" s="1038">
        <f t="shared" si="1"/>
        <v>0</v>
      </c>
      <c r="M10" s="1038">
        <f>SUM(M8:M9)</f>
        <v>0</v>
      </c>
      <c r="N10" s="1038">
        <f>SUM(N8:N9)</f>
        <v>0</v>
      </c>
      <c r="O10" s="1038">
        <f>SUM(O8:O9)</f>
        <v>0</v>
      </c>
      <c r="P10" s="1038">
        <f>SUM(P8:P9)</f>
        <v>1670.4211764705885</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0.19186814767389046</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57.160714285714285</v>
      </c>
      <c r="C17" s="1040">
        <f>'SEAP template'!C87</f>
        <v>10041.428571428572</v>
      </c>
      <c r="D17" s="1035">
        <f>'SEAP template'!D87</f>
        <v>11813.445378151262</v>
      </c>
      <c r="E17" s="1035">
        <f>'SEAP template'!E87</f>
        <v>0</v>
      </c>
      <c r="F17" s="1035">
        <f>'SEAP template'!F87</f>
        <v>0</v>
      </c>
      <c r="G17" s="1035">
        <f>'SEAP template'!G87</f>
        <v>0</v>
      </c>
      <c r="H17" s="1035">
        <f>'SEAP template'!H87</f>
        <v>0</v>
      </c>
      <c r="I17" s="1035">
        <f>'SEAP template'!I87</f>
        <v>0</v>
      </c>
      <c r="J17" s="1035">
        <f>'SEAP template'!J87</f>
        <v>67.247899159663874</v>
      </c>
      <c r="K17" s="1035">
        <f>'SEAP template'!K87</f>
        <v>0</v>
      </c>
      <c r="L17" s="1035">
        <f>'SEAP template'!L87</f>
        <v>0</v>
      </c>
      <c r="M17" s="1035">
        <f>'SEAP template'!M87</f>
        <v>0</v>
      </c>
      <c r="N17" s="1035">
        <f>'SEAP template'!N87</f>
        <v>0</v>
      </c>
      <c r="O17" s="1035">
        <f>'SEAP template'!O87</f>
        <v>0</v>
      </c>
      <c r="P17" s="1035">
        <f>'SEAP template'!Q87</f>
        <v>2386.3159663865549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57.160714285714285</v>
      </c>
      <c r="C20" s="1038">
        <f>SUM(C17:C19)</f>
        <v>10041.428571428572</v>
      </c>
      <c r="D20" s="1038">
        <f t="shared" ref="D20:H20" si="2">SUM(D17:D19)</f>
        <v>11813.445378151262</v>
      </c>
      <c r="E20" s="1038">
        <f t="shared" si="2"/>
        <v>0</v>
      </c>
      <c r="F20" s="1038">
        <f t="shared" si="2"/>
        <v>0</v>
      </c>
      <c r="G20" s="1038">
        <f t="shared" si="2"/>
        <v>0</v>
      </c>
      <c r="H20" s="1038">
        <f t="shared" si="2"/>
        <v>0</v>
      </c>
      <c r="I20" s="1038">
        <f>SUM(I17:I19)</f>
        <v>0</v>
      </c>
      <c r="J20" s="1038">
        <f>SUM(J17:J19)</f>
        <v>67.247899159663874</v>
      </c>
      <c r="K20" s="1038">
        <f t="shared" ref="K20:L20" si="3">SUM(K17:K19)</f>
        <v>0</v>
      </c>
      <c r="L20" s="1038">
        <f t="shared" si="3"/>
        <v>0</v>
      </c>
      <c r="M20" s="1038">
        <f>SUM(M17:M19)</f>
        <v>0</v>
      </c>
      <c r="N20" s="1038">
        <f>SUM(N17:N19)</f>
        <v>0</v>
      </c>
      <c r="O20" s="1038">
        <f>SUM(O17:O19)</f>
        <v>0</v>
      </c>
      <c r="P20" s="1038">
        <f>SUM(P17:P19)</f>
        <v>2386.3159663865549</v>
      </c>
    </row>
    <row r="22" spans="1:16">
      <c r="A22" s="471" t="s">
        <v>879</v>
      </c>
      <c r="B22" s="777" t="s">
        <v>873</v>
      </c>
      <c r="C22" s="777">
        <f ca="1">'EF ele_warmte'!B22</f>
        <v>0.2363019129575154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0.19186814767389046</v>
      </c>
      <c r="C17" s="508">
        <f ca="1">'EF ele_warmte'!B22</f>
        <v>0.2363019129575154</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2020-06-20T16:21:38Z</dcterms:modified>
</cp:coreProperties>
</file>