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W42" i="18"/>
  <c r="V42" i="18"/>
  <c r="U42" i="18"/>
  <c r="T42" i="18"/>
  <c r="S42" i="18"/>
  <c r="R42" i="18"/>
  <c r="Q42" i="18"/>
  <c r="P42" i="18"/>
  <c r="O42" i="18"/>
  <c r="N42" i="18"/>
  <c r="M42" i="18"/>
  <c r="W41" i="18"/>
  <c r="V41" i="18"/>
  <c r="U41" i="18"/>
  <c r="T41" i="18"/>
  <c r="S41" i="18"/>
  <c r="R41" i="18"/>
  <c r="Q41" i="18"/>
  <c r="P41" i="18"/>
  <c r="O41" i="18"/>
  <c r="N41" i="18"/>
  <c r="M41" i="18"/>
  <c r="W40" i="18"/>
  <c r="V40" i="18"/>
  <c r="U40" i="18"/>
  <c r="T40" i="18"/>
  <c r="S40" i="18"/>
  <c r="R40" i="18"/>
  <c r="Q40" i="18"/>
  <c r="P40" i="18"/>
  <c r="O40" i="18"/>
  <c r="N40" i="18"/>
  <c r="M40" i="18"/>
  <c r="W39" i="18"/>
  <c r="H9" i="18" s="1"/>
  <c r="V39" i="18"/>
  <c r="J9" i="18" s="1"/>
  <c r="U39" i="18"/>
  <c r="T39" i="18"/>
  <c r="I9" i="18" s="1"/>
  <c r="S39" i="18"/>
  <c r="R39" i="18"/>
  <c r="Q39" i="18"/>
  <c r="P39" i="18"/>
  <c r="C9" i="18" s="1"/>
  <c r="O39" i="18"/>
  <c r="N39" i="18"/>
  <c r="B9" i="18" s="1"/>
  <c r="M39" i="18"/>
  <c r="W35" i="18"/>
  <c r="V35" i="18"/>
  <c r="U35" i="18"/>
  <c r="T35" i="18"/>
  <c r="S35" i="18"/>
  <c r="R35" i="18"/>
  <c r="Q35" i="18"/>
  <c r="P35" i="18"/>
  <c r="O35" i="18"/>
  <c r="N35" i="18"/>
  <c r="M35" i="18"/>
  <c r="W34" i="18"/>
  <c r="V34" i="18"/>
  <c r="U34" i="18"/>
  <c r="T34" i="18"/>
  <c r="S34" i="18"/>
  <c r="R34" i="18"/>
  <c r="Q34" i="18"/>
  <c r="P34" i="18"/>
  <c r="O34" i="18"/>
  <c r="N34" i="18"/>
  <c r="M34" i="18"/>
  <c r="W33" i="18"/>
  <c r="V33" i="18"/>
  <c r="U33" i="18"/>
  <c r="T33" i="18"/>
  <c r="S33" i="18"/>
  <c r="R33" i="18"/>
  <c r="Q33" i="18"/>
  <c r="P33" i="18"/>
  <c r="O33" i="18"/>
  <c r="N33" i="18"/>
  <c r="M33" i="18"/>
  <c r="W32" i="18"/>
  <c r="V32" i="18"/>
  <c r="U32" i="18"/>
  <c r="T32" i="18"/>
  <c r="S32" i="18"/>
  <c r="R32" i="18"/>
  <c r="Q32" i="18"/>
  <c r="P32" i="18"/>
  <c r="O32" i="18"/>
  <c r="B48" i="18" s="1"/>
  <c r="N32" i="18"/>
  <c r="B8" i="18" s="1"/>
  <c r="M32" i="18"/>
  <c r="G22" i="18"/>
  <c r="F22" i="18"/>
  <c r="E22" i="18"/>
  <c r="D22" i="18"/>
  <c r="C22" i="18"/>
  <c r="L20" i="18"/>
  <c r="D20" i="18"/>
  <c r="B17" i="18"/>
  <c r="G12" i="18"/>
  <c r="F12" i="18"/>
  <c r="E12" i="18"/>
  <c r="D12" i="18"/>
  <c r="C12" i="18"/>
  <c r="L10" i="18"/>
  <c r="K10" i="18"/>
  <c r="G10" i="18"/>
  <c r="D10" i="18"/>
  <c r="B6" i="18"/>
  <c r="B5" i="18"/>
  <c r="B4" i="18"/>
  <c r="I52" i="18" l="1"/>
  <c r="H17" i="18" s="1"/>
  <c r="G52" i="18"/>
  <c r="F52" i="18"/>
  <c r="C52" i="18"/>
  <c r="B52" i="18"/>
  <c r="C17" i="18" s="1"/>
  <c r="C20" i="18" s="1"/>
  <c r="B20" i="18"/>
  <c r="C48" i="18"/>
  <c r="E51" i="18" s="1"/>
  <c r="E8" i="18" s="1"/>
  <c r="E10" i="18" s="1"/>
  <c r="F20" i="18"/>
  <c r="O18" i="18"/>
  <c r="H20" i="18"/>
  <c r="G20" i="18"/>
  <c r="K20" i="18"/>
  <c r="B10" i="18"/>
  <c r="O19" i="18"/>
  <c r="O9" i="18"/>
  <c r="D52" i="18"/>
  <c r="H52" i="18"/>
  <c r="E52" i="18"/>
  <c r="E17" i="18" s="1"/>
  <c r="E20" i="18" s="1"/>
  <c r="N6" i="17"/>
  <c r="I17" i="18" l="1"/>
  <c r="I20" i="18" s="1"/>
  <c r="I51" i="18"/>
  <c r="H8" i="18" s="1"/>
  <c r="H10" i="18" s="1"/>
  <c r="G51" i="18"/>
  <c r="F51" i="18"/>
  <c r="D51" i="18"/>
  <c r="C51" i="18"/>
  <c r="B51" i="18"/>
  <c r="C8" i="18" s="1"/>
  <c r="C10" i="18" s="1"/>
  <c r="H51" i="18"/>
  <c r="J8" i="18" s="1"/>
  <c r="J10" i="18" s="1"/>
  <c r="J17" i="18"/>
  <c r="J20" i="18" s="1"/>
  <c r="L6" i="17"/>
  <c r="F6" i="17"/>
  <c r="D6" i="17"/>
  <c r="C6" i="17"/>
  <c r="N16" i="16"/>
  <c r="L16" i="16"/>
  <c r="F16" i="16"/>
  <c r="D16" i="16"/>
  <c r="C16" i="16"/>
  <c r="B16" i="16"/>
  <c r="B13" i="15"/>
  <c r="I8" i="18" l="1"/>
  <c r="I10" i="18" s="1"/>
  <c r="O8" i="18"/>
  <c r="O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O10" i="59"/>
  <c r="H20" i="59"/>
  <c r="L20" i="59"/>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P4" i="48"/>
  <c r="P22" i="48" s="1"/>
  <c r="Q11" i="14"/>
  <c r="B7" i="48"/>
  <c r="C24" i="14"/>
  <c r="C26" i="14" s="1"/>
  <c r="O4" i="48"/>
  <c r="O22" i="48" s="1"/>
  <c r="P11" i="14"/>
  <c r="C11" i="14"/>
  <c r="B4" i="48"/>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E7" i="48" l="1"/>
  <c r="E25" i="48" s="1"/>
  <c r="F24" i="14"/>
  <c r="F26" i="14" s="1"/>
  <c r="P13" i="14"/>
  <c r="O8" i="48"/>
  <c r="O26" i="48" s="1"/>
  <c r="P16" i="14"/>
  <c r="P27"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J5" i="48" l="1"/>
  <c r="J23" i="48" s="1"/>
  <c r="K10" i="14"/>
  <c r="N52" i="14"/>
  <c r="N61" i="14" s="1"/>
  <c r="J20" i="15"/>
  <c r="K40" i="14" s="1"/>
  <c r="E20" i="15"/>
  <c r="F40" i="14" s="1"/>
  <c r="F10" i="14"/>
  <c r="R10" i="14" s="1"/>
  <c r="E5" i="48"/>
  <c r="H22" i="14"/>
  <c r="H27" i="14" s="1"/>
  <c r="E22" i="48"/>
  <c r="Q4" i="48"/>
  <c r="R11" i="14"/>
  <c r="J22" i="48"/>
  <c r="N22" i="14"/>
  <c r="N27" i="14" s="1"/>
  <c r="N63" i="14" s="1"/>
  <c r="E61" i="14"/>
  <c r="R19" i="14"/>
  <c r="Q10" i="48"/>
  <c r="G28" i="48"/>
  <c r="H9" i="48"/>
  <c r="I20" i="14"/>
  <c r="M27" i="48"/>
  <c r="M33" i="48" s="1"/>
  <c r="M15" i="48"/>
  <c r="G15" i="48"/>
  <c r="G27" i="48"/>
  <c r="M61" i="14"/>
  <c r="M27" i="14"/>
  <c r="E16" i="14"/>
  <c r="E27" i="14" s="1"/>
  <c r="L15" i="48"/>
  <c r="R24" i="14"/>
  <c r="R26" i="14" s="1"/>
  <c r="L33" i="48"/>
  <c r="Q7" i="48"/>
  <c r="D23" i="48"/>
  <c r="D33" i="48" s="1"/>
  <c r="D15" i="48"/>
  <c r="C16" i="14"/>
  <c r="C27" i="14" s="1"/>
  <c r="B3" i="6" s="1"/>
  <c r="B12" i="6" s="1"/>
  <c r="F23" i="48"/>
  <c r="N23" i="48"/>
  <c r="Q5" i="48"/>
  <c r="B15" i="48"/>
  <c r="F18" i="16"/>
  <c r="E18" i="16"/>
  <c r="N18" i="16"/>
  <c r="N22" i="16" s="1"/>
  <c r="O43" i="14" s="1"/>
  <c r="O46" i="14" s="1"/>
  <c r="O61" i="14" s="1"/>
  <c r="J18" i="16"/>
  <c r="G18" i="22"/>
  <c r="H50" i="14" s="1"/>
  <c r="H52" i="14" s="1"/>
  <c r="H61"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13" i="14" l="1"/>
  <c r="E8" i="48"/>
  <c r="E26" i="48" s="1"/>
  <c r="F16" i="14"/>
  <c r="F27" i="14" s="1"/>
  <c r="H63" i="14"/>
  <c r="E22" i="16"/>
  <c r="F43" i="14" s="1"/>
  <c r="F46" i="14" s="1"/>
  <c r="F61" i="14" s="1"/>
  <c r="J22" i="16"/>
  <c r="K43" i="14" s="1"/>
  <c r="K46" i="14" s="1"/>
  <c r="K61" i="14" s="1"/>
  <c r="K13" i="14"/>
  <c r="K16" i="14" s="1"/>
  <c r="K27" i="14" s="1"/>
  <c r="J8" i="48"/>
  <c r="E63" i="14"/>
  <c r="E23" i="48"/>
  <c r="E33" i="48" s="1"/>
  <c r="E15" i="48"/>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K63" i="14" l="1"/>
  <c r="J26" i="48"/>
  <c r="J33" i="48" s="1"/>
  <c r="J15" i="48"/>
  <c r="F63" i="14"/>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<sst xmlns="http://schemas.openxmlformats.org/spreadsheetml/2006/main" count="2492" uniqueCount="944">
  <si>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</si>
  <si>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</si>
  <si>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</si>
  <si>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</si>
  <si>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</si>
  <si>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</si>
  <si>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</si>
  <si>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</si>
  <si>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</si>
  <si>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</si>
  <si>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</si>
  <si>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</si>
  <si>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</si>
  <si>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</si>
  <si>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</si>
  <si>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</si>
  <si>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</si>
  <si>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</si>
  <si>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</si>
  <si>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</si>
  <si>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</si>
  <si>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</si>
  <si>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</si>
  <si>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</si>
  <si>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</si>
  <si>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</si>
  <si>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</si>
  <si>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</si>
  <si>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</si>
  <si>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</si>
  <si>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</si>
  <si>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</si>
  <si>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</si>
  <si>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</si>
  <si>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</si>
  <si>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</si>
  <si>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</si>
  <si>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</si>
  <si>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</si>
  <si>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</si>
  <si>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</si>
  <si>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</si>
  <si>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</si>
  <si>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</si>
  <si>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</si>
  <si>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</si>
  <si>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</si>
  <si>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</si>
  <si>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</si>
  <si>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</si>
  <si>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</si>
  <si>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</si>
  <si>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</si>
  <si>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</si>
  <si>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</si>
  <si>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</si>
  <si>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</si>
  <si>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</si>
  <si>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</si>
  <si>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</si>
  <si>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</si>
  <si>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</si>
  <si>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</si>
  <si>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</si>
  <si>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</si>
  <si>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</si>
  <si>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</si>
  <si>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</si>
  <si>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</si>
  <si>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</si>
  <si>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</si>
  <si>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</si>
  <si>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</si>
  <si>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</si>
  <si>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</si>
  <si>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</si>
  <si>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</si>
  <si>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</si>
  <si>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</si>
  <si>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</si>
  <si>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</si>
  <si>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</si>
  <si>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</si>
  <si>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</si>
  <si>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</si>
  <si>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</si>
  <si>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</si>
  <si>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</si>
  <si>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</si>
  <si>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</si>
  <si>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</si>
  <si>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</si>
  <si>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</si>
  <si>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</si>
  <si>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</si>
  <si>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</si>
  <si>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</si>
  <si>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</si>
  <si>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</si>
  <si>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</si>
  <si>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</si>
  <si>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</si>
  <si>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</si>
  <si>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</si>
  <si>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</si>
  <si>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</si>
  <si>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</si>
  <si>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</si>
  <si>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</si>
  <si>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</si>
  <si>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</si>
  <si>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</si>
  <si>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</si>
  <si>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</si>
  <si>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</si>
  <si>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</si>
  <si>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</si>
  <si>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</si>
  <si>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</si>
  <si>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</si>
  <si>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</si>
  <si>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</si>
  <si>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</si>
  <si>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</si>
  <si>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</si>
  <si>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</si>
  <si>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</si>
  <si>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</si>
  <si>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</si>
  <si>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</si>
  <si>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</si>
  <si>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</si>
  <si>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</si>
  <si>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</si>
  <si>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</si>
  <si>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</si>
  <si>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</si>
  <si>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</si>
  <si>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</si>
  <si>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</si>
  <si>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</si>
  <si>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</si>
  <si>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</si>
  <si>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</si>
  <si>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</si>
  <si>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</si>
  <si>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</si>
  <si>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</si>
  <si>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</si>
  <si>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</si>
  <si>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</si>
  <si>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</si>
  <si>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</si>
  <si>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</si>
  <si>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</si>
  <si>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</si>
  <si>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</si>
  <si>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</si>
  <si>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</si>
  <si>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</si>
  <si>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</si>
  <si>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</si>
  <si>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</si>
  <si>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</si>
  <si>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</si>
  <si>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</si>
  <si>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</si>
  <si>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</si>
  <si>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</si>
  <si>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</si>
  <si>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</si>
  <si>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</si>
  <si>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</si>
  <si>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</si>
  <si>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</si>
  <si>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</si>
  <si>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</si>
  <si>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</si>
  <si>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</si>
  <si>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</si>
  <si>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</si>
  <si>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</si>
  <si>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</si>
  <si>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</si>
  <si>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</si>
  <si>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</si>
  <si>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</si>
  <si>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</si>
  <si>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</si>
  <si>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</si>
  <si>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</si>
  <si>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</si>
  <si>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</si>
  <si>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</si>
  <si>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</si>
  <si>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</si>
  <si>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</si>
  <si>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</si>
  <si>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</si>
  <si>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</si>
  <si>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</si>
  <si>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</si>
  <si>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</si>
  <si>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</si>
  <si>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</si>
  <si>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</si>
  <si>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</si>
  <si>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</si>
  <si>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</si>
  <si>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</si>
  <si>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</si>
  <si>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</si>
  <si>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</si>
  <si>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</si>
  <si>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</si>
  <si>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</si>
  <si>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</si>
  <si>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</si>
  <si>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</si>
  <si>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</si>
  <si>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</si>
  <si>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</si>
  <si>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</si>
  <si>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</si>
  <si>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</si>
  <si>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</si>
  <si>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</si>
  <si>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</si>
  <si>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</si>
  <si>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</si>
  <si>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</si>
  <si>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</si>
  <si>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</si>
  <si>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</si>
  <si>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</si>
  <si>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</si>
  <si>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</si>
  <si>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</si>
  <si>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</si>
  <si>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</si>
  <si>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</si>
  <si>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</si>
  <si>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</si>
  <si>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</si>
  <si>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</si>
  <si>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</si>
  <si>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</si>
  <si>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</si>
  <si>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</si>
  <si>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</si>
  <si>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</si>
  <si>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</si>
  <si>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</si>
  <si>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</si>
  <si>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</si>
  <si>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</si>
  <si>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</si>
  <si>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</si>
  <si>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</si>
  <si>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</si>
  <si>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</si>
  <si>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</si>
  <si>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</si>
  <si>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</si>
  <si>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</si>
  <si>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</si>
  <si>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</si>
  <si>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</si>
  <si>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</si>
  <si>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</si>
  <si>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</si>
  <si>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</si>
  <si>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</si>
  <si>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</si>
  <si>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</si>
  <si>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</si>
  <si>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</si>
  <si>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</si>
  <si>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</si>
  <si>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</si>
  <si>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</si>
  <si>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</si>
  <si>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</si>
  <si>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</si>
  <si>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</si>
  <si>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</si>
  <si>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</si>
  <si>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</si>
  <si>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</si>
  <si>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</si>
  <si>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</si>
  <si>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</si>
  <si>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</si>
  <si>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</si>
  <si>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</si>
  <si>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</si>
  <si>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</si>
  <si>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</si>
  <si>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</si>
  <si>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</si>
  <si>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</si>
  <si>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</si>
  <si>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</si>
  <si>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</si>
  <si>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</si>
  <si>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</si>
  <si>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</si>
  <si>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</si>
  <si>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</si>
  <si>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</si>
  <si>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</si>
  <si>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</si>
  <si>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</si>
  <si>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</si>
  <si>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</si>
  <si>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</si>
  <si>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</si>
  <si>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</si>
  <si>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</si>
  <si>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</si>
  <si>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</si>
  <si>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</si>
  <si>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</si>
  <si>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</si>
  <si>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</si>
  <si>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</si>
  <si>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</si>
  <si>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</si>
  <si>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</si>
  <si>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</si>
  <si>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</si>
  <si>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</si>
  <si>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</si>
  <si>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</si>
  <si>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</si>
  <si>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</si>
  <si>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</si>
  <si>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</si>
  <si>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</si>
  <si>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</si>
  <si>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</si>
  <si>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</si>
  <si>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</si>
  <si>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</si>
  <si>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</si>
  <si>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</si>
  <si>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</si>
  <si>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</si>
  <si>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</si>
  <si>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</si>
  <si>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</si>
  <si>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</si>
  <si>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</si>
  <si>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</si>
  <si>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</si>
  <si>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</si>
  <si>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</si>
  <si>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</si>
  <si>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</si>
  <si>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</si>
  <si>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</si>
  <si>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</si>
  <si>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</si>
  <si>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</si>
  <si>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</si>
  <si>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</si>
  <si>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</si>
  <si>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</si>
  <si>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</si>
  <si>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</si>
  <si>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</si>
  <si>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</si>
  <si>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</si>
  <si>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</si>
  <si>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</si>
  <si>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</si>
  <si>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</si>
  <si>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</si>
  <si>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</si>
  <si>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</si>
  <si>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</si>
  <si>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</si>
  <si>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</si>
  <si>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</si>
  <si>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</si>
  <si>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</si>
  <si>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</si>
  <si>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</si>
  <si>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</si>
  <si>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</si>
  <si>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</si>
  <si>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</si>
  <si>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</si>
  <si>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</si>
  <si>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</si>
  <si>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</si>
  <si>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</si>
  <si>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</si>
  <si>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</si>
  <si>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</si>
  <si>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</si>
  <si>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</si>
  <si>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</si>
  <si>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</si>
  <si>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</si>
  <si>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</si>
  <si>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</si>
  <si>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</si>
  <si>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</si>
  <si>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</si>
  <si>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</si>
  <si>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</si>
  <si>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</si>
  <si>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</si>
  <si>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</si>
  <si>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</si>
  <si>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</si>
  <si>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</si>
  <si>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</si>
  <si>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</si>
  <si>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</si>
  <si>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</si>
  <si>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</si>
  <si>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</si>
  <si>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</si>
  <si>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</si>
  <si>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</si>
  <si>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</si>
  <si>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</si>
  <si>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</si>
  <si>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</si>
  <si>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</si>
  <si>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</si>
  <si>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</si>
  <si>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</si>
  <si>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</si>
  <si>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</si>
  <si>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</si>
  <si>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</si>
  <si>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</si>
  <si>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</si>
  <si>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</si>
  <si>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</si>
  <si>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</si>
  <si>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</si>
  <si>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</si>
  <si>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</si>
  <si>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</si>
  <si>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</si>
  <si>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</si>
  <si>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</si>
  <si>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</si>
  <si>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</si>
  <si>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</si>
  <si>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</si>
  <si>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</si>
  <si>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</si>
  <si>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</si>
  <si>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</si>
  <si>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</si>
  <si>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</si>
  <si>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</si>
  <si>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</si>
  <si>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</si>
  <si>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</si>
  <si>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</si>
  <si>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</si>
  <si>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</si>
  <si>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</si>
  <si>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</si>
  <si>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</si>
  <si>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</si>
  <si>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</si>
  <si>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</si>
  <si>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</si>
  <si>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</si>
  <si>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</si>
  <si>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</si>
  <si>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</si>
  <si>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</si>
  <si>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</si>
  <si>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</si>
  <si>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</si>
  <si>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</si>
  <si>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</si>
  <si>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</si>
  <si>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</si>
  <si>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</si>
  <si>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</si>
  <si>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</si>
  <si>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</si>
  <si>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</si>
  <si>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</si>
  <si>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</si>
  <si>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</si>
  <si>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</si>
  <si>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</si>
  <si>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</si>
  <si>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</si>
  <si>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</si>
  <si>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</si>
  <si>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</si>
  <si>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</si>
  <si>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</si>
  <si>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</si>
  <si>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</si>
  <si>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</si>
  <si>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</si>
  <si>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</si>
  <si>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</si>
  <si>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</si>
  <si>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</si>
  <si>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</si>
  <si>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</si>
  <si>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</si>
  <si>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</si>
  <si>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</si>
  <si>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</si>
  <si>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</si>
  <si>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</si>
  <si>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</si>
  <si>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</si>
  <si>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</si>
  <si>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</si>
  <si>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</si>
  <si>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</si>
  <si>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</si>
  <si>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</si>
  <si>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</si>
  <si>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</si>
  <si>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</si>
  <si>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</si>
  <si>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</si>
  <si>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</si>
  <si>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</si>
  <si>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</si>
  <si>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</si>
  <si>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</si>
  <si>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</si>
  <si>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</si>
  <si>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</si>
  <si>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</si>
  <si>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</si>
  <si>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</si>
  <si>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</si>
  <si>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</si>
  <si>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</si>
  <si>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</si>
  <si>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</si>
  <si>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</si>
  <si>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</si>
  <si>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</si>
  <si>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</si>
  <si>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</si>
  <si>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</si>
  <si>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</si>
  <si>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</si>
  <si>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</si>
  <si>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</si>
  <si>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</si>
  <si>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</si>
  <si>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</si>
  <si>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</si>
  <si>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</si>
  <si>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</si>
  <si>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</si>
  <si>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</si>
  <si>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</si>
  <si>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</si>
  <si>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</si>
  <si>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</si>
  <si>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</si>
  <si>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</si>
  <si>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</si>
  <si>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</si>
  <si>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</si>
  <si>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</si>
  <si>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</si>
  <si>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</si>
  <si>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</si>
  <si>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</si>
  <si>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</si>
  <si>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</si>
  <si>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</si>
  <si>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</si>
  <si>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</si>
  <si>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</si>
  <si>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</si>
  <si>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</si>
  <si>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</si>
  <si>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</si>
  <si>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</si>
  <si>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</si>
  <si>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</si>
  <si>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</si>
  <si>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</si>
  <si>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</si>
  <si>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</si>
  <si>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</si>
  <si>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</si>
  <si>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</si>
  <si>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</si>
  <si>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</si>
  <si>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</si>
  <si>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</si>
  <si>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</si>
  <si>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</si>
  <si>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</si>
  <si>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</si>
  <si>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</si>
  <si>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</si>
  <si>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</si>
  <si>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</si>
  <si>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</si>
  <si>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</si>
  <si>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</si>
  <si>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</si>
  <si>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</si>
  <si>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</si>
  <si>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</si>
  <si>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</si>
  <si>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</si>
  <si>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</si>
  <si>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</si>
  <si>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</si>
  <si>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</si>
  <si>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</si>
  <si>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</si>
  <si>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</si>
  <si>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</si>
  <si>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</si>
  <si>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</si>
  <si>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</si>
  <si>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</si>
  <si>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</si>
  <si>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</si>
  <si>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</si>
  <si>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</si>
  <si>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</si>
  <si>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</si>
  <si>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</si>
  <si>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</si>
  <si>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</si>
  <si>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</si>
  <si>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</si>
  <si>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</si>
  <si>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</si>
  <si>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</si>
  <si>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</si>
  <si>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</si>
  <si>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</si>
  <si>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</si>
  <si>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</si>
  <si>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</si>
  <si>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</si>
  <si>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</si>
  <si>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</si>
  <si>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</si>
  <si>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</si>
  <si>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</si>
  <si>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</si>
  <si>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</si>
  <si>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</si>
  <si>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</si>
  <si>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</si>
  <si>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</si>
  <si>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</si>
  <si>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</si>
  <si>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</si>
  <si>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</si>
  <si>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</si>
  <si>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</si>
  <si>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</si>
  <si>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</si>
  <si>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</si>
  <si>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</si>
  <si>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</si>
  <si>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</si>
  <si>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</si>
  <si>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</si>
  <si>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</si>
  <si>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</si>
  <si>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</si>
  <si>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</si>
  <si>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</si>
  <si>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</si>
  <si>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</si>
  <si>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</si>
  <si>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</si>
  <si>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</si>
  <si>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</si>
  <si>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</si>
  <si>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</si>
  <si>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</si>
  <si>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</si>
  <si>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</si>
  <si>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</si>
  <si>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</si>
  <si>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</si>
  <si>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</si>
  <si>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</si>
  <si>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</si>
  <si>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</si>
  <si>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</si>
  <si>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</si>
  <si>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</si>
  <si>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</si>
  <si>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</si>
  <si>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</si>
  <si>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</si>
  <si>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</si>
  <si>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</si>
  <si>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</si>
  <si>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</si>
  <si>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</si>
  <si>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</si>
  <si>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</si>
  <si>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</si>
  <si>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</si>
  <si>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</si>
  <si>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</si>
  <si>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</si>
  <si>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</si>
  <si>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</si>
  <si>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</si>
  <si>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</si>
  <si>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</si>
  <si>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</si>
  <si>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</si>
  <si>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</si>
  <si>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</si>
  <si>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</si>
  <si>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</si>
  <si>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</si>
  <si>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</si>
  <si>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</si>
  <si>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</si>
  <si>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</si>
  <si>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</si>
  <si>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</si>
  <si>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</si>
  <si>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</si>
  <si>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</si>
  <si>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</si>
  <si>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</si>
  <si>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</si>
  <si>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</si>
  <si>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</si>
  <si>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</si>
  <si>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</si>
  <si>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</si>
  <si>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</si>
  <si>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</si>
  <si>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</si>
  <si>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</si>
  <si>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</si>
  <si>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</si>
  <si>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</si>
  <si>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</si>
  <si>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</si>
  <si>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</si>
  <si>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</si>
  <si>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</si>
  <si>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</si>
  <si>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</si>
  <si>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</si>
  <si>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</si>
  <si>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</si>
  <si>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</si>
  <si>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</si>
  <si>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</si>
  <si>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</si>
  <si>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</si>
  <si>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</si>
  <si>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</si>
  <si>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</si>
  <si>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</si>
  <si>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</si>
  <si>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</si>
  <si>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</si>
  <si>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</si>
  <si>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</si>
  <si>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</si>
  <si>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</si>
  <si>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</si>
  <si>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</si>
  <si>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</si>
  <si>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</si>
  <si>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</si>
  <si>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</si>
  <si>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</si>
  <si>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</si>
  <si>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</si>
  <si>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</si>
  <si>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</si>
  <si>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</si>
  <si>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</si>
  <si>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</si>
  <si>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</si>
  <si>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</si>
  <si>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</si>
  <si>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</si>
  <si>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</si>
  <si>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</si>
  <si>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</si>
  <si>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</si>
  <si>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</si>
  <si>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</si>
  <si>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</si>
  <si>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</si>
  <si>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</si>
  <si>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</si>
  <si>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</si>
  <si>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</si>
  <si>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</si>
  <si>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</si>
  <si>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</si>
  <si>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</si>
  <si>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</si>
  <si>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</si>
  <si>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</si>
  <si>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</si>
  <si>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</si>
  <si>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</si>
  <si>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</si>
  <si>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</si>
  <si>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</si>
  <si>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</si>
  <si>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</si>
  <si>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</si>
  <si>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</si>
  <si>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</si>
  <si>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</si>
  <si>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</si>
  <si>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</si>
  <si>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</si>
  <si>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</si>
  <si>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</si>
  <si>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</si>
  <si>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</si>
  <si>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</si>
  <si>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</si>
  <si>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</si>
  <si>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</si>
  <si>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</si>
  <si>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</si>
  <si>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</si>
  <si>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</si>
  <si>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</si>
  <si>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</si>
  <si>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</si>
  <si>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</si>
  <si>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</si>
  <si>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</si>
  <si>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</si>
  <si>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</si>
  <si>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</si>
  <si>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</si>
  <si>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</si>
  <si>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</si>
  <si>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</si>
  <si>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</si>
  <si>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</si>
  <si>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</si>
  <si>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</si>
  <si>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</si>
  <si>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</si>
  <si>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</si>
  <si>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</si>
  <si>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</si>
  <si>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</si>
  <si>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</si>
  <si>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</si>
  <si>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</si>
  <si>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</si>
  <si>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</si>
  <si>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</si>
  <si>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</si>
  <si>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</si>
  <si>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</si>
  <si>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</si>
  <si>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</si>
  <si>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</si>
  <si>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</si>
  <si>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</si>
  <si>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</si>
  <si>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</si>
  <si>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</si>
  <si>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</si>
  <si>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</si>
  <si>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</si>
  <si>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</si>
  <si>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</si>
  <si>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</si>
  <si>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</si>
  <si>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</si>
  <si>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</si>
  <si>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</si>
  <si>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</si>
  <si>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</si>
  <si>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</si>
  <si>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</si>
  <si>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</si>
  <si>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</si>
  <si>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</si>
  <si>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</si>
  <si>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</si>
  <si>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</si>
  <si>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</si>
  <si>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</si>
  <si>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</si>
  <si>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</si>
  <si>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</si>
  <si>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44021</t>
  </si>
  <si>
    <t>GENT</t>
  </si>
  <si>
    <t>Cultuurgrond (ha)</t>
  </si>
  <si>
    <t>Paarden&amp;pony's 200 - 600 kg</t>
  </si>
  <si>
    <t>Paarden&amp;pony's &lt; 200 kg</t>
  </si>
  <si>
    <t>Fluvius</t>
  </si>
  <si>
    <t>referentietaak LNE (2017); Jaarverslag De Lijn</t>
  </si>
  <si>
    <t>VLS-Group Ghent NV</t>
  </si>
  <si>
    <t>Belgicastraat 3 , 9042 Sint-Kruis-Winkel</t>
  </si>
  <si>
    <t>WKK-0227 VLS-Group Ghent</t>
  </si>
  <si>
    <t>interne verbrandingsmotor</t>
  </si>
  <si>
    <t>WKK interne verbrandinsgmotor (vloeibaar)</t>
  </si>
  <si>
    <t>Belgicastraat (Haven 2270) 3 , 9042 Sint-Kruis-Winkel</t>
  </si>
  <si>
    <t>IMEWO</t>
  </si>
  <si>
    <t>Jean_Pierre Van Wingen</t>
  </si>
  <si>
    <t>Keuzekouter 20 , 9031 Drongen</t>
  </si>
  <si>
    <t>WKK-0220 Jean-Pierre Van Wingen</t>
  </si>
  <si>
    <t>WKK interne verbrandinsgmotor (gas)</t>
  </si>
  <si>
    <t>Cediex - Trans EBVBA</t>
  </si>
  <si>
    <t>Moutstraat 34 , 9000 Gent</t>
  </si>
  <si>
    <t>WKK-0397 Cediex-Trans</t>
  </si>
  <si>
    <t>S&amp;R Gent nv</t>
  </si>
  <si>
    <t>Victor Braeckmanlaan 180 , 9040 Sint-Amandsberg</t>
  </si>
  <si>
    <t>WKK-0417 SR Gent</t>
  </si>
  <si>
    <t>Aquafin NV</t>
  </si>
  <si>
    <t>Dijkstraat 8, 2630 Aartselaar</t>
  </si>
  <si>
    <t>BGS-0037 RWZI Gent</t>
  </si>
  <si>
    <t>biogas - RWZI</t>
  </si>
  <si>
    <t>niet WKK interne verbrandingsmotor (gas)</t>
  </si>
  <si>
    <t>Drongensesteenweg 254, 9000 Gent</t>
  </si>
  <si>
    <t>Imewo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</si>
</sst>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1751734.5660348712</c:v>
                </c:pt>
                <c:pt idx="1">
                  <c:v>1763850.2427891204</c:v>
                </c:pt>
                <c:pt idx="2">
                  <c:v>14614.142</c:v>
                </c:pt>
                <c:pt idx="3">
                  <c:v>20313.176821263514</c:v>
                </c:pt>
                <c:pt idx="4">
                  <c:v>919342.83158519259</c:v>
                </c:pt>
                <c:pt idx="5">
                  <c:v>2143342.2178447424</c:v>
                </c:pt>
                <c:pt idx="6">
                  <c:v>48301.568344792948</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1751734.5660348712</c:v>
                </c:pt>
                <c:pt idx="1">
                  <c:v>1763850.2427891204</c:v>
                </c:pt>
                <c:pt idx="2">
                  <c:v>14614.142</c:v>
                </c:pt>
                <c:pt idx="3">
                  <c:v>20313.176821263514</c:v>
                </c:pt>
                <c:pt idx="4">
                  <c:v>919342.83158519259</c:v>
                </c:pt>
                <c:pt idx="5">
                  <c:v>2143342.2178447424</c:v>
                </c:pt>
                <c:pt idx="6">
                  <c:v>48301.568344792948</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333138.63196826424</c:v>
                </c:pt>
                <c:pt idx="2">
                  <c:v>358183.99049878947</c:v>
                </c:pt>
                <c:pt idx="3">
                  <c:v>2930.4722649946784</c:v>
                </c:pt>
                <c:pt idx="4">
                  <c:v>4849.6289862813919</c:v>
                </c:pt>
                <c:pt idx="5">
                  <c:v>188462.03249373636</c:v>
                </c:pt>
                <c:pt idx="6">
                  <c:v>542591.82878071081</c:v>
                </c:pt>
                <c:pt idx="7">
                  <c:v>11840.017736421281</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333138.63196826424</c:v>
                </c:pt>
                <c:pt idx="2">
                  <c:v>358183.99049878947</c:v>
                </c:pt>
                <c:pt idx="3">
                  <c:v>2930.4722649946784</c:v>
                </c:pt>
                <c:pt idx="4">
                  <c:v>4849.6289862813919</c:v>
                </c:pt>
                <c:pt idx="5">
                  <c:v>188462.03249373636</c:v>
                </c:pt>
                <c:pt idx="6">
                  <c:v>542591.82878071081</c:v>
                </c:pt>
                <c:pt idx="7">
                  <c:v>11840.017736421281</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44021</v>
      </c>
      <c r="B6" s="395"/>
      <c r="C6" s="396"/>
    </row>
    <row r="7" spans="1:7" s="393" customFormat="1" ht="15.75" customHeight="1">
      <c r="A7" s="397" t="str">
        <f>txtMunicipality</f>
        <v>GENT</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0.20052304575901059</v>
      </c>
      <c r="C17" s="508">
        <f ca="1">'EF ele_warmte'!B22</f>
        <v>8.4117793458846971E-2</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0.20052304575901059</v>
      </c>
      <c r="C29" s="509">
        <f ca="1">'EF ele_warmte'!B22</f>
        <v>8.4117793458846971E-2</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116518</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3153</v>
      </c>
      <c r="C14" s="332"/>
      <c r="D14" s="332"/>
      <c r="E14" s="332"/>
      <c r="F14" s="332"/>
    </row>
    <row r="15" spans="1:6">
      <c r="A15" s="1306" t="s">
        <v>183</v>
      </c>
      <c r="B15" s="1307">
        <v>38</v>
      </c>
      <c r="C15" s="332"/>
      <c r="D15" s="332"/>
      <c r="E15" s="332"/>
      <c r="F15" s="332"/>
    </row>
    <row r="16" spans="1:6">
      <c r="A16" s="1306" t="s">
        <v>6</v>
      </c>
      <c r="B16" s="1307">
        <v>1331</v>
      </c>
      <c r="C16" s="332"/>
      <c r="D16" s="332"/>
      <c r="E16" s="332"/>
      <c r="F16" s="332"/>
    </row>
    <row r="17" spans="1:6">
      <c r="A17" s="1306" t="s">
        <v>7</v>
      </c>
      <c r="B17" s="1307">
        <v>853</v>
      </c>
      <c r="C17" s="332"/>
      <c r="D17" s="332"/>
      <c r="E17" s="332"/>
      <c r="F17" s="332"/>
    </row>
    <row r="18" spans="1:6">
      <c r="A18" s="1306" t="s">
        <v>8</v>
      </c>
      <c r="B18" s="1307">
        <v>1351</v>
      </c>
      <c r="C18" s="332"/>
      <c r="D18" s="332"/>
      <c r="E18" s="332"/>
      <c r="F18" s="332"/>
    </row>
    <row r="19" spans="1:6">
      <c r="A19" s="1306" t="s">
        <v>9</v>
      </c>
      <c r="B19" s="1307">
        <v>1250</v>
      </c>
      <c r="C19" s="332"/>
      <c r="D19" s="332"/>
      <c r="E19" s="332"/>
      <c r="F19" s="332"/>
    </row>
    <row r="20" spans="1:6">
      <c r="A20" s="1306" t="s">
        <v>10</v>
      </c>
      <c r="B20" s="1307">
        <v>966</v>
      </c>
      <c r="C20" s="332"/>
      <c r="D20" s="332"/>
      <c r="E20" s="332"/>
      <c r="F20" s="332"/>
    </row>
    <row r="21" spans="1:6">
      <c r="A21" s="1306" t="s">
        <v>11</v>
      </c>
      <c r="B21" s="1307">
        <v>1904</v>
      </c>
      <c r="C21" s="332"/>
      <c r="D21" s="332"/>
      <c r="E21" s="332"/>
      <c r="F21" s="332"/>
    </row>
    <row r="22" spans="1:6">
      <c r="A22" s="1306" t="s">
        <v>12</v>
      </c>
      <c r="B22" s="1307">
        <v>3846</v>
      </c>
      <c r="C22" s="332"/>
      <c r="D22" s="332"/>
      <c r="E22" s="332"/>
      <c r="F22" s="332"/>
    </row>
    <row r="23" spans="1:6">
      <c r="A23" s="1306" t="s">
        <v>13</v>
      </c>
      <c r="B23" s="1307">
        <v>23</v>
      </c>
      <c r="C23" s="332"/>
      <c r="D23" s="332"/>
      <c r="E23" s="332"/>
      <c r="F23" s="332"/>
    </row>
    <row r="24" spans="1:6">
      <c r="A24" s="1306" t="s">
        <v>14</v>
      </c>
      <c r="B24" s="1307">
        <v>7</v>
      </c>
      <c r="C24" s="332"/>
      <c r="D24" s="332"/>
      <c r="E24" s="332"/>
      <c r="F24" s="332"/>
    </row>
    <row r="25" spans="1:6">
      <c r="A25" s="1306" t="s">
        <v>15</v>
      </c>
      <c r="B25" s="1307">
        <v>606</v>
      </c>
      <c r="C25" s="332"/>
      <c r="D25" s="332"/>
      <c r="E25" s="332"/>
      <c r="F25" s="332"/>
    </row>
    <row r="26" spans="1:6">
      <c r="A26" s="1306" t="s">
        <v>16</v>
      </c>
      <c r="B26" s="1307">
        <v>382</v>
      </c>
      <c r="C26" s="332"/>
      <c r="D26" s="332"/>
      <c r="E26" s="332"/>
      <c r="F26" s="332"/>
    </row>
    <row r="27" spans="1:6">
      <c r="A27" s="1306" t="s">
        <v>17</v>
      </c>
      <c r="B27" s="1307">
        <v>3</v>
      </c>
      <c r="C27" s="332"/>
      <c r="D27" s="332"/>
      <c r="E27" s="332"/>
      <c r="F27" s="332"/>
    </row>
    <row r="28" spans="1:6" s="43" customFormat="1">
      <c r="A28" s="1308" t="s">
        <v>18</v>
      </c>
      <c r="B28" s="1309">
        <v>3</v>
      </c>
      <c r="C28" s="338"/>
      <c r="D28" s="338"/>
      <c r="E28" s="338"/>
      <c r="F28" s="338"/>
    </row>
    <row r="29" spans="1:6">
      <c r="A29" s="1308" t="s">
        <v>916</v>
      </c>
      <c r="B29" s="1309">
        <v>494</v>
      </c>
      <c r="C29" s="338"/>
      <c r="D29" s="338"/>
      <c r="E29" s="338"/>
      <c r="F29" s="338"/>
    </row>
    <row r="30" spans="1:6">
      <c r="A30" s="1301" t="s">
        <v>917</v>
      </c>
      <c r="B30" s="1310">
        <v>73</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10</v>
      </c>
      <c r="F35" s="1307">
        <v>115783.359688678</v>
      </c>
    </row>
    <row r="36" spans="1:6">
      <c r="A36" s="1306" t="s">
        <v>24</v>
      </c>
      <c r="B36" s="1306" t="s">
        <v>26</v>
      </c>
      <c r="C36" s="1307">
        <v>36</v>
      </c>
      <c r="D36" s="1307">
        <v>1769989.52508911</v>
      </c>
      <c r="E36" s="1307">
        <v>99</v>
      </c>
      <c r="F36" s="1307">
        <v>6293472.6057255603</v>
      </c>
    </row>
    <row r="37" spans="1:6">
      <c r="A37" s="1306" t="s">
        <v>24</v>
      </c>
      <c r="B37" s="1306" t="s">
        <v>27</v>
      </c>
      <c r="C37" s="1307">
        <v>0</v>
      </c>
      <c r="D37" s="1307">
        <v>0</v>
      </c>
      <c r="E37" s="1307">
        <v>0</v>
      </c>
      <c r="F37" s="1307">
        <v>0</v>
      </c>
    </row>
    <row r="38" spans="1:6">
      <c r="A38" s="1306" t="s">
        <v>24</v>
      </c>
      <c r="B38" s="1306" t="s">
        <v>28</v>
      </c>
      <c r="C38" s="1307">
        <v>8</v>
      </c>
      <c r="D38" s="1307">
        <v>186580.53070517301</v>
      </c>
      <c r="E38" s="1307">
        <v>21</v>
      </c>
      <c r="F38" s="1307">
        <v>1251145.40622778</v>
      </c>
    </row>
    <row r="39" spans="1:6">
      <c r="A39" s="1306" t="s">
        <v>29</v>
      </c>
      <c r="B39" s="1306" t="s">
        <v>30</v>
      </c>
      <c r="C39" s="1307">
        <v>86268</v>
      </c>
      <c r="D39" s="1307">
        <v>1361674882.748524</v>
      </c>
      <c r="E39" s="1307">
        <v>115138</v>
      </c>
      <c r="F39" s="1307">
        <v>375345503.58448952</v>
      </c>
    </row>
    <row r="40" spans="1:6">
      <c r="A40" s="1306" t="s">
        <v>29</v>
      </c>
      <c r="B40" s="1306" t="s">
        <v>28</v>
      </c>
      <c r="C40" s="1307">
        <v>3</v>
      </c>
      <c r="D40" s="1307">
        <v>251153.36446871</v>
      </c>
      <c r="E40" s="1307">
        <v>3</v>
      </c>
      <c r="F40" s="1307">
        <v>13029.2489568</v>
      </c>
    </row>
    <row r="41" spans="1:6">
      <c r="A41" s="1306" t="s">
        <v>31</v>
      </c>
      <c r="B41" s="1306" t="s">
        <v>32</v>
      </c>
      <c r="C41" s="1307">
        <v>891</v>
      </c>
      <c r="D41" s="1307">
        <v>73348180.082651898</v>
      </c>
      <c r="E41" s="1307">
        <v>1636</v>
      </c>
      <c r="F41" s="1307">
        <v>37999802.967372797</v>
      </c>
    </row>
    <row r="42" spans="1:6">
      <c r="A42" s="1306" t="s">
        <v>31</v>
      </c>
      <c r="B42" s="1306" t="s">
        <v>33</v>
      </c>
      <c r="C42" s="1307">
        <v>6</v>
      </c>
      <c r="D42" s="1307">
        <v>6110082.7243416402</v>
      </c>
      <c r="E42" s="1307">
        <v>17</v>
      </c>
      <c r="F42" s="1307">
        <v>39138518.124988802</v>
      </c>
    </row>
    <row r="43" spans="1:6">
      <c r="A43" s="1306" t="s">
        <v>31</v>
      </c>
      <c r="B43" s="1306" t="s">
        <v>34</v>
      </c>
      <c r="C43" s="1307">
        <v>0</v>
      </c>
      <c r="D43" s="1307">
        <v>0</v>
      </c>
      <c r="E43" s="1307">
        <v>0</v>
      </c>
      <c r="F43" s="1307">
        <v>0</v>
      </c>
    </row>
    <row r="44" spans="1:6">
      <c r="A44" s="1306" t="s">
        <v>31</v>
      </c>
      <c r="B44" s="1306" t="s">
        <v>35</v>
      </c>
      <c r="C44" s="1307">
        <v>62</v>
      </c>
      <c r="D44" s="1307">
        <v>29814766.268429</v>
      </c>
      <c r="E44" s="1307">
        <v>160</v>
      </c>
      <c r="F44" s="1307">
        <v>31354449.407478001</v>
      </c>
    </row>
    <row r="45" spans="1:6">
      <c r="A45" s="1306" t="s">
        <v>31</v>
      </c>
      <c r="B45" s="1306" t="s">
        <v>36</v>
      </c>
      <c r="C45" s="1307">
        <v>3</v>
      </c>
      <c r="D45" s="1307">
        <v>195948.81196101799</v>
      </c>
      <c r="E45" s="1307">
        <v>33</v>
      </c>
      <c r="F45" s="1307">
        <v>78836678.193114206</v>
      </c>
    </row>
    <row r="46" spans="1:6">
      <c r="A46" s="1306" t="s">
        <v>31</v>
      </c>
      <c r="B46" s="1306" t="s">
        <v>37</v>
      </c>
      <c r="C46" s="1307">
        <v>0</v>
      </c>
      <c r="D46" s="1307">
        <v>0</v>
      </c>
      <c r="E46" s="1307">
        <v>0</v>
      </c>
      <c r="F46" s="1307">
        <v>0</v>
      </c>
    </row>
    <row r="47" spans="1:6">
      <c r="A47" s="1306" t="s">
        <v>31</v>
      </c>
      <c r="B47" s="1306" t="s">
        <v>38</v>
      </c>
      <c r="C47" s="1307">
        <v>77</v>
      </c>
      <c r="D47" s="1307">
        <v>2453563.3068096898</v>
      </c>
      <c r="E47" s="1307">
        <v>118</v>
      </c>
      <c r="F47" s="1307">
        <v>13306049.4173385</v>
      </c>
    </row>
    <row r="48" spans="1:6">
      <c r="A48" s="1306" t="s">
        <v>31</v>
      </c>
      <c r="B48" s="1306" t="s">
        <v>28</v>
      </c>
      <c r="C48" s="1307">
        <v>274</v>
      </c>
      <c r="D48" s="1307">
        <v>241186096.06824499</v>
      </c>
      <c r="E48" s="1307">
        <v>346</v>
      </c>
      <c r="F48" s="1307">
        <v>165485056.07067701</v>
      </c>
    </row>
    <row r="49" spans="1:6">
      <c r="A49" s="1306" t="s">
        <v>31</v>
      </c>
      <c r="B49" s="1306" t="s">
        <v>39</v>
      </c>
      <c r="C49" s="1307">
        <v>19</v>
      </c>
      <c r="D49" s="1307">
        <v>540798.39835464302</v>
      </c>
      <c r="E49" s="1307">
        <v>25</v>
      </c>
      <c r="F49" s="1307">
        <v>348959.992402801</v>
      </c>
    </row>
    <row r="50" spans="1:6">
      <c r="A50" s="1306" t="s">
        <v>31</v>
      </c>
      <c r="B50" s="1306" t="s">
        <v>40</v>
      </c>
      <c r="C50" s="1307">
        <v>151</v>
      </c>
      <c r="D50" s="1307">
        <v>29816316.6629689</v>
      </c>
      <c r="E50" s="1307">
        <v>217</v>
      </c>
      <c r="F50" s="1307">
        <v>17805521.938684899</v>
      </c>
    </row>
    <row r="51" spans="1:6">
      <c r="A51" s="1306" t="s">
        <v>41</v>
      </c>
      <c r="B51" s="1306" t="s">
        <v>42</v>
      </c>
      <c r="C51" s="1307">
        <v>67</v>
      </c>
      <c r="D51" s="1307">
        <v>4003608.0224129101</v>
      </c>
      <c r="E51" s="1307">
        <v>227</v>
      </c>
      <c r="F51" s="1307">
        <v>2550152.40283312</v>
      </c>
    </row>
    <row r="52" spans="1:6">
      <c r="A52" s="1306" t="s">
        <v>41</v>
      </c>
      <c r="B52" s="1306" t="s">
        <v>28</v>
      </c>
      <c r="C52" s="1307">
        <v>30</v>
      </c>
      <c r="D52" s="1307">
        <v>2996905.5274578501</v>
      </c>
      <c r="E52" s="1307">
        <v>53</v>
      </c>
      <c r="F52" s="1307">
        <v>484311.938360981</v>
      </c>
    </row>
    <row r="53" spans="1:6">
      <c r="A53" s="1306" t="s">
        <v>43</v>
      </c>
      <c r="B53" s="1306" t="s">
        <v>44</v>
      </c>
      <c r="C53" s="1307">
        <v>3478</v>
      </c>
      <c r="D53" s="1307">
        <v>98499386.837011695</v>
      </c>
      <c r="E53" s="1307">
        <v>5857</v>
      </c>
      <c r="F53" s="1307">
        <v>27365906.761385001</v>
      </c>
    </row>
    <row r="54" spans="1:6">
      <c r="A54" s="1306" t="s">
        <v>45</v>
      </c>
      <c r="B54" s="1306" t="s">
        <v>46</v>
      </c>
      <c r="C54" s="1307">
        <v>0</v>
      </c>
      <c r="D54" s="1307">
        <v>0</v>
      </c>
      <c r="E54" s="1307">
        <v>12</v>
      </c>
      <c r="F54" s="1307">
        <v>14614142</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892</v>
      </c>
      <c r="D57" s="1307">
        <v>52487746.474877901</v>
      </c>
      <c r="E57" s="1307">
        <v>1336</v>
      </c>
      <c r="F57" s="1307">
        <v>43728600.753462002</v>
      </c>
    </row>
    <row r="58" spans="1:6">
      <c r="A58" s="1306" t="s">
        <v>48</v>
      </c>
      <c r="B58" s="1306" t="s">
        <v>50</v>
      </c>
      <c r="C58" s="1307">
        <v>663</v>
      </c>
      <c r="D58" s="1307">
        <v>111781913.077445</v>
      </c>
      <c r="E58" s="1307">
        <v>1026</v>
      </c>
      <c r="F58" s="1307">
        <v>64011031.851442397</v>
      </c>
    </row>
    <row r="59" spans="1:6">
      <c r="A59" s="1306" t="s">
        <v>48</v>
      </c>
      <c r="B59" s="1306" t="s">
        <v>51</v>
      </c>
      <c r="C59" s="1307">
        <v>2028</v>
      </c>
      <c r="D59" s="1307">
        <v>93719793.105707794</v>
      </c>
      <c r="E59" s="1307">
        <v>3553</v>
      </c>
      <c r="F59" s="1307">
        <v>159588054.449597</v>
      </c>
    </row>
    <row r="60" spans="1:6">
      <c r="A60" s="1306" t="s">
        <v>48</v>
      </c>
      <c r="B60" s="1306" t="s">
        <v>52</v>
      </c>
      <c r="C60" s="1307">
        <v>1314</v>
      </c>
      <c r="D60" s="1307">
        <v>99697299.242592007</v>
      </c>
      <c r="E60" s="1307">
        <v>1643</v>
      </c>
      <c r="F60" s="1307">
        <v>56938645.9270989</v>
      </c>
    </row>
    <row r="61" spans="1:6">
      <c r="A61" s="1306" t="s">
        <v>48</v>
      </c>
      <c r="B61" s="1306" t="s">
        <v>53</v>
      </c>
      <c r="C61" s="1307">
        <v>4875</v>
      </c>
      <c r="D61" s="1307">
        <v>378976345.52146</v>
      </c>
      <c r="E61" s="1307">
        <v>8940</v>
      </c>
      <c r="F61" s="1307">
        <v>194826174.67273799</v>
      </c>
    </row>
    <row r="62" spans="1:6">
      <c r="A62" s="1306" t="s">
        <v>48</v>
      </c>
      <c r="B62" s="1306" t="s">
        <v>54</v>
      </c>
      <c r="C62" s="1307">
        <v>483</v>
      </c>
      <c r="D62" s="1307">
        <v>141222929.44539699</v>
      </c>
      <c r="E62" s="1307">
        <v>830</v>
      </c>
      <c r="F62" s="1307">
        <v>90918294.695144206</v>
      </c>
    </row>
    <row r="63" spans="1:6">
      <c r="A63" s="1306" t="s">
        <v>48</v>
      </c>
      <c r="B63" s="1306" t="s">
        <v>28</v>
      </c>
      <c r="C63" s="1307">
        <v>830</v>
      </c>
      <c r="D63" s="1307">
        <v>112591979.17916501</v>
      </c>
      <c r="E63" s="1307">
        <v>897</v>
      </c>
      <c r="F63" s="1307">
        <v>74498696.950933501</v>
      </c>
    </row>
    <row r="64" spans="1:6">
      <c r="A64" s="1306" t="s">
        <v>55</v>
      </c>
      <c r="B64" s="1306" t="s">
        <v>56</v>
      </c>
      <c r="C64" s="1307">
        <v>0</v>
      </c>
      <c r="D64" s="1307">
        <v>0</v>
      </c>
      <c r="E64" s="1307">
        <v>0</v>
      </c>
      <c r="F64" s="1307">
        <v>0</v>
      </c>
    </row>
    <row r="65" spans="1:6">
      <c r="A65" s="1306" t="s">
        <v>55</v>
      </c>
      <c r="B65" s="1306" t="s">
        <v>28</v>
      </c>
      <c r="C65" s="1307">
        <v>13</v>
      </c>
      <c r="D65" s="1307">
        <v>524834.77394000697</v>
      </c>
      <c r="E65" s="1307">
        <v>24</v>
      </c>
      <c r="F65" s="1307">
        <v>1094967.9019653001</v>
      </c>
    </row>
    <row r="66" spans="1:6">
      <c r="A66" s="1306" t="s">
        <v>55</v>
      </c>
      <c r="B66" s="1306" t="s">
        <v>57</v>
      </c>
      <c r="C66" s="1307">
        <v>0</v>
      </c>
      <c r="D66" s="1307">
        <v>0</v>
      </c>
      <c r="E66" s="1307">
        <v>6</v>
      </c>
      <c r="F66" s="1307">
        <v>28533.862206077301</v>
      </c>
    </row>
    <row r="67" spans="1:6">
      <c r="A67" s="1308" t="s">
        <v>55</v>
      </c>
      <c r="B67" s="1308" t="s">
        <v>58</v>
      </c>
      <c r="C67" s="1307">
        <v>0</v>
      </c>
      <c r="D67" s="1307">
        <v>0</v>
      </c>
      <c r="E67" s="1307">
        <v>0</v>
      </c>
      <c r="F67" s="1307">
        <v>0</v>
      </c>
    </row>
    <row r="68" spans="1:6">
      <c r="A68" s="1301" t="s">
        <v>55</v>
      </c>
      <c r="B68" s="1301" t="s">
        <v>59</v>
      </c>
      <c r="C68" s="1310">
        <v>30</v>
      </c>
      <c r="D68" s="1310">
        <v>1502938.60133279</v>
      </c>
      <c r="E68" s="1310">
        <v>65</v>
      </c>
      <c r="F68" s="1310">
        <v>2279073.09372454</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599576061</v>
      </c>
      <c r="E73" s="456"/>
      <c r="F73" s="332"/>
    </row>
    <row r="74" spans="1:6">
      <c r="A74" s="1306" t="s">
        <v>63</v>
      </c>
      <c r="B74" s="1306" t="s">
        <v>724</v>
      </c>
      <c r="C74" s="1320" t="s">
        <v>725</v>
      </c>
      <c r="D74" s="1321">
        <v>88264413.49243848</v>
      </c>
      <c r="E74" s="456"/>
      <c r="F74" s="332"/>
    </row>
    <row r="75" spans="1:6">
      <c r="A75" s="1306" t="s">
        <v>64</v>
      </c>
      <c r="B75" s="1306" t="s">
        <v>722</v>
      </c>
      <c r="C75" s="1320" t="s">
        <v>726</v>
      </c>
      <c r="D75" s="1321">
        <v>378480412</v>
      </c>
      <c r="E75" s="456"/>
      <c r="F75" s="332"/>
    </row>
    <row r="76" spans="1:6">
      <c r="A76" s="1306" t="s">
        <v>64</v>
      </c>
      <c r="B76" s="1306" t="s">
        <v>724</v>
      </c>
      <c r="C76" s="1320" t="s">
        <v>727</v>
      </c>
      <c r="D76" s="1321">
        <v>31037256.49243848</v>
      </c>
      <c r="E76" s="456"/>
      <c r="F76" s="332"/>
    </row>
    <row r="77" spans="1:6">
      <c r="A77" s="1306" t="s">
        <v>65</v>
      </c>
      <c r="B77" s="1306" t="s">
        <v>722</v>
      </c>
      <c r="C77" s="1320" t="s">
        <v>728</v>
      </c>
      <c r="D77" s="1321">
        <v>981972199</v>
      </c>
      <c r="E77" s="456"/>
      <c r="F77" s="332"/>
    </row>
    <row r="78" spans="1:6">
      <c r="A78" s="1301" t="s">
        <v>65</v>
      </c>
      <c r="B78" s="1301" t="s">
        <v>724</v>
      </c>
      <c r="C78" s="1301" t="s">
        <v>729</v>
      </c>
      <c r="D78" s="1322">
        <v>154995943</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10346457.015123038</v>
      </c>
      <c r="C83" s="456"/>
      <c r="D83" s="332"/>
      <c r="E83" s="332"/>
      <c r="F83" s="332"/>
    </row>
    <row r="84" spans="1:6">
      <c r="A84" s="1301" t="s">
        <v>336</v>
      </c>
      <c r="B84" s="1322">
        <v>2610018.5804313007</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83819.039879999997</v>
      </c>
      <c r="C90" s="332"/>
      <c r="D90" s="332"/>
      <c r="E90" s="332"/>
      <c r="F90" s="332"/>
    </row>
    <row r="91" spans="1:6">
      <c r="A91" s="1306" t="s">
        <v>67</v>
      </c>
      <c r="B91" s="1307">
        <v>16462.074944218453</v>
      </c>
      <c r="C91" s="332"/>
      <c r="D91" s="332"/>
      <c r="E91" s="332"/>
      <c r="F91" s="332"/>
    </row>
    <row r="92" spans="1:6">
      <c r="A92" s="1301" t="s">
        <v>68</v>
      </c>
      <c r="B92" s="1302">
        <v>32983.802016546913</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62627</v>
      </c>
      <c r="C97" s="332"/>
      <c r="D97" s="332"/>
      <c r="E97" s="332"/>
      <c r="F97" s="332"/>
    </row>
    <row r="98" spans="1:6">
      <c r="A98" s="1306" t="s">
        <v>71</v>
      </c>
      <c r="B98" s="1307">
        <v>127</v>
      </c>
      <c r="C98" s="332"/>
      <c r="D98" s="332"/>
      <c r="E98" s="332"/>
      <c r="F98" s="332"/>
    </row>
    <row r="99" spans="1:6">
      <c r="A99" s="1306" t="s">
        <v>72</v>
      </c>
      <c r="B99" s="1307">
        <v>385</v>
      </c>
      <c r="C99" s="332"/>
      <c r="D99" s="332"/>
      <c r="E99" s="332"/>
      <c r="F99" s="332"/>
    </row>
    <row r="100" spans="1:6">
      <c r="A100" s="1306" t="s">
        <v>73</v>
      </c>
      <c r="B100" s="1307">
        <v>8623</v>
      </c>
      <c r="C100" s="332"/>
      <c r="D100" s="332"/>
      <c r="E100" s="332"/>
      <c r="F100" s="332"/>
    </row>
    <row r="101" spans="1:6">
      <c r="A101" s="1306" t="s">
        <v>74</v>
      </c>
      <c r="B101" s="1307">
        <v>396</v>
      </c>
      <c r="C101" s="332"/>
      <c r="D101" s="332"/>
      <c r="E101" s="332"/>
      <c r="F101" s="332"/>
    </row>
    <row r="102" spans="1:6">
      <c r="A102" s="1306" t="s">
        <v>75</v>
      </c>
      <c r="B102" s="1307">
        <v>4616</v>
      </c>
      <c r="C102" s="332"/>
      <c r="D102" s="332"/>
      <c r="E102" s="332"/>
      <c r="F102" s="332"/>
    </row>
    <row r="103" spans="1:6">
      <c r="A103" s="1306" t="s">
        <v>76</v>
      </c>
      <c r="B103" s="1307">
        <v>1823</v>
      </c>
      <c r="C103" s="332"/>
      <c r="D103" s="332"/>
      <c r="E103" s="332"/>
      <c r="F103" s="332"/>
    </row>
    <row r="104" spans="1:6">
      <c r="A104" s="1306" t="s">
        <v>77</v>
      </c>
      <c r="B104" s="1307">
        <v>21695</v>
      </c>
      <c r="C104" s="332"/>
      <c r="D104" s="332"/>
      <c r="E104" s="332"/>
      <c r="F104" s="332"/>
    </row>
    <row r="105" spans="1:6">
      <c r="A105" s="1301" t="s">
        <v>78</v>
      </c>
      <c r="B105" s="1310">
        <v>311</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2</v>
      </c>
      <c r="C110" s="332"/>
      <c r="D110" s="332"/>
      <c r="E110" s="332"/>
      <c r="F110" s="332"/>
    </row>
    <row r="111" spans="1:6">
      <c r="A111" s="1327" t="s">
        <v>669</v>
      </c>
      <c r="B111" s="1328">
        <v>1</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83</v>
      </c>
      <c r="C123" s="1307">
        <v>148</v>
      </c>
      <c r="D123" s="332"/>
      <c r="E123" s="332"/>
      <c r="F123" s="332"/>
    </row>
    <row r="124" spans="1:6" s="43" customFormat="1">
      <c r="A124" s="1308" t="s">
        <v>88</v>
      </c>
      <c r="B124" s="1329">
        <v>1</v>
      </c>
      <c r="C124" s="1329">
        <v>4</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721</v>
      </c>
      <c r="C129" s="332"/>
      <c r="D129" s="332"/>
      <c r="E129" s="332"/>
      <c r="F129" s="332"/>
    </row>
    <row r="130" spans="1:6">
      <c r="A130" s="1306" t="s">
        <v>294</v>
      </c>
      <c r="B130" s="1307">
        <v>16</v>
      </c>
      <c r="C130" s="332"/>
      <c r="D130" s="332"/>
      <c r="E130" s="332"/>
      <c r="F130" s="332"/>
    </row>
    <row r="131" spans="1:6">
      <c r="A131" s="1306" t="s">
        <v>295</v>
      </c>
      <c r="B131" s="1307">
        <v>14</v>
      </c>
      <c r="C131" s="332"/>
      <c r="D131" s="332"/>
      <c r="E131" s="332"/>
      <c r="F131" s="332"/>
    </row>
    <row r="132" spans="1:6">
      <c r="A132" s="1301" t="s">
        <v>296</v>
      </c>
      <c r="B132" s="1302">
        <v>32</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1527041.0859270589</v>
      </c>
      <c r="C3" s="43" t="s">
        <v>169</v>
      </c>
      <c r="D3" s="43"/>
      <c r="E3" s="156"/>
      <c r="F3" s="43"/>
      <c r="G3" s="43"/>
      <c r="H3" s="43"/>
      <c r="I3" s="43"/>
      <c r="J3" s="43"/>
      <c r="K3" s="96"/>
    </row>
    <row r="4" spans="1:11">
      <c r="A4" s="363" t="s">
        <v>170</v>
      </c>
      <c r="B4" s="49">
        <f>IF(ISERROR('SEAP template'!B78+'SEAP template'!C78),0,'SEAP template'!B78+'SEAP template'!C78)</f>
        <v>145401.41684076536</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864.56268117002901</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0.20052304575901059</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982.28553311568544</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11677.5</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8.4117793458846971E-2</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14614.142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14614.142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0.20052304575901059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2930.4722649946784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375358.53283344634</v>
      </c>
      <c r="C5" s="17">
        <f>IF(ISERROR('Eigen informatie GS &amp; warmtenet'!B57),0,'Eigen informatie GS &amp; warmtenet'!B57)</f>
        <v>0</v>
      </c>
      <c r="D5" s="30">
        <f>(SUM(HH_hh_gas_kWh,HH_rest_gas_kWh)/1000)*0.902</f>
        <v>1228457.2845739196</v>
      </c>
      <c r="E5" s="17">
        <f>B46*B57</f>
        <v>28287.219478451228</v>
      </c>
      <c r="F5" s="17">
        <f>B51*B62</f>
        <v>0</v>
      </c>
      <c r="G5" s="18"/>
      <c r="H5" s="17"/>
      <c r="I5" s="17"/>
      <c r="J5" s="17">
        <f>B50*B61+C50*C61</f>
        <v>0</v>
      </c>
      <c r="K5" s="17"/>
      <c r="L5" s="17"/>
      <c r="M5" s="17"/>
      <c r="N5" s="17">
        <f>B48*B59+C48*C59</f>
        <v>99592.930871502016</v>
      </c>
      <c r="O5" s="17">
        <f>B69*B70*B71</f>
        <v>1364.7900000000002</v>
      </c>
      <c r="P5" s="17">
        <f>B77*B78*B79/1000-B77*B78*B79/1000/B80</f>
        <v>2211.7333333333336</v>
      </c>
    </row>
    <row r="6" spans="1:16">
      <c r="A6" s="16" t="s">
        <v>633</v>
      </c>
      <c r="B6" s="779">
        <f>kWh_PV_kleiner_dan_10kW</f>
        <v>16462.074944218453</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391820.60777766479</v>
      </c>
      <c r="C8" s="21">
        <f>C5</f>
        <v>0</v>
      </c>
      <c r="D8" s="21">
        <f>D5</f>
        <v>1228457.2845739196</v>
      </c>
      <c r="E8" s="21">
        <f>E5</f>
        <v>28287.219478451228</v>
      </c>
      <c r="F8" s="21">
        <f>F5</f>
        <v>0</v>
      </c>
      <c r="G8" s="21"/>
      <c r="H8" s="21"/>
      <c r="I8" s="21"/>
      <c r="J8" s="21">
        <f>J5</f>
        <v>0</v>
      </c>
      <c r="K8" s="21"/>
      <c r="L8" s="21">
        <f>L5</f>
        <v>0</v>
      </c>
      <c r="M8" s="21">
        <f>M5</f>
        <v>0</v>
      </c>
      <c r="N8" s="21">
        <f>N5</f>
        <v>99592.930871502016</v>
      </c>
      <c r="O8" s="21">
        <f>O5</f>
        <v>1364.7900000000002</v>
      </c>
      <c r="P8" s="21">
        <f>P5</f>
        <v>2211.7333333333336</v>
      </c>
    </row>
    <row r="9" spans="1:16">
      <c r="B9" s="19"/>
      <c r="C9" s="19"/>
      <c r="D9" s="261"/>
      <c r="E9" s="19"/>
      <c r="F9" s="19"/>
      <c r="G9" s="19"/>
      <c r="H9" s="19"/>
      <c r="I9" s="19"/>
      <c r="J9" s="19"/>
      <c r="K9" s="19"/>
      <c r="L9" s="19"/>
      <c r="M9" s="19"/>
      <c r="N9" s="19"/>
      <c r="O9" s="19"/>
      <c r="P9" s="19"/>
    </row>
    <row r="10" spans="1:16">
      <c r="A10" s="24" t="s">
        <v>213</v>
      </c>
      <c r="B10" s="25">
        <f ca="1">'EF ele_warmte'!B12</f>
        <v>0.20052304575901059</v>
      </c>
      <c r="C10" s="25">
        <f ca="1">'EF ele_warmte'!B22</f>
        <v>8.4117793458846971E-2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78569.061662724009</v>
      </c>
      <c r="C12" s="23">
        <f ca="1">C10*C8</f>
        <v>0</v>
      </c>
      <c r="D12" s="23">
        <f>D8*D10</f>
        <v>248148.37148393178</v>
      </c>
      <c r="E12" s="23">
        <f>E10*E8</f>
        <v>6421.1988216084292</v>
      </c>
      <c r="F12" s="23">
        <f>F10*F8</f>
        <v>0</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62627</v>
      </c>
      <c r="C18" s="168" t="s">
        <v>110</v>
      </c>
      <c r="D18" s="230"/>
      <c r="E18" s="15"/>
    </row>
    <row r="19" spans="1:7">
      <c r="A19" s="173" t="s">
        <v>71</v>
      </c>
      <c r="B19" s="37">
        <f>aantalw2001_ander</f>
        <v>127</v>
      </c>
      <c r="C19" s="168" t="s">
        <v>110</v>
      </c>
      <c r="D19" s="231"/>
      <c r="E19" s="15"/>
    </row>
    <row r="20" spans="1:7">
      <c r="A20" s="173" t="s">
        <v>72</v>
      </c>
      <c r="B20" s="37">
        <f>aantalw2001_propaan</f>
        <v>385</v>
      </c>
      <c r="C20" s="169">
        <f>IF(ISERROR(B20/SUM($B$20,$B$21,$B$22)*100),0,B20/SUM($B$20,$B$21,$B$22)*100)</f>
        <v>4.0940025521054872</v>
      </c>
      <c r="D20" s="231"/>
      <c r="E20" s="15"/>
    </row>
    <row r="21" spans="1:7">
      <c r="A21" s="173" t="s">
        <v>73</v>
      </c>
      <c r="B21" s="37">
        <f>aantalw2001_elektriciteit</f>
        <v>8623</v>
      </c>
      <c r="C21" s="169">
        <f>IF(ISERROR(B21/SUM($B$20,$B$21,$B$22)*100),0,B21/SUM($B$20,$B$21,$B$22)*100)</f>
        <v>91.695023394300307</v>
      </c>
      <c r="D21" s="231"/>
      <c r="E21" s="15"/>
    </row>
    <row r="22" spans="1:7">
      <c r="A22" s="173" t="s">
        <v>74</v>
      </c>
      <c r="B22" s="37">
        <f>aantalw2001_hout</f>
        <v>396</v>
      </c>
      <c r="C22" s="169">
        <f>IF(ISERROR(B22/SUM($B$20,$B$21,$B$22)*100),0,B22/SUM($B$20,$B$21,$B$22)*100)</f>
        <v>4.2109740535942155</v>
      </c>
      <c r="D22" s="231"/>
      <c r="E22" s="15"/>
    </row>
    <row r="23" spans="1:7">
      <c r="A23" s="173" t="s">
        <v>75</v>
      </c>
      <c r="B23" s="37">
        <f>aantalw2001_niet_gespec</f>
        <v>4616</v>
      </c>
      <c r="C23" s="168" t="s">
        <v>110</v>
      </c>
      <c r="D23" s="230"/>
      <c r="E23" s="15"/>
    </row>
    <row r="24" spans="1:7">
      <c r="A24" s="173" t="s">
        <v>76</v>
      </c>
      <c r="B24" s="37">
        <f>aantalw2001_steenkool</f>
        <v>1823</v>
      </c>
      <c r="C24" s="168" t="s">
        <v>110</v>
      </c>
      <c r="D24" s="231"/>
      <c r="E24" s="15"/>
    </row>
    <row r="25" spans="1:7">
      <c r="A25" s="173" t="s">
        <v>77</v>
      </c>
      <c r="B25" s="37">
        <f>aantalw2001_stookolie</f>
        <v>21695</v>
      </c>
      <c r="C25" s="168" t="s">
        <v>110</v>
      </c>
      <c r="D25" s="230"/>
      <c r="E25" s="52"/>
    </row>
    <row r="26" spans="1:7">
      <c r="A26" s="173" t="s">
        <v>78</v>
      </c>
      <c r="B26" s="37">
        <f>aantalw2001_WP</f>
        <v>311</v>
      </c>
      <c r="C26" s="168" t="s">
        <v>110</v>
      </c>
      <c r="D26" s="230"/>
      <c r="E26" s="15"/>
    </row>
    <row r="27" spans="1:7" s="15" customFormat="1">
      <c r="A27" s="173"/>
      <c r="B27" s="29"/>
      <c r="C27" s="36"/>
      <c r="D27" s="230"/>
    </row>
    <row r="28" spans="1:7" s="15" customFormat="1">
      <c r="A28" s="232" t="s">
        <v>742</v>
      </c>
      <c r="B28" s="37">
        <f>aantalHuishoudens</f>
        <v>116518</v>
      </c>
      <c r="C28" s="36"/>
      <c r="D28" s="230"/>
    </row>
    <row r="29" spans="1:7" s="15" customFormat="1">
      <c r="A29" s="232" t="s">
        <v>743</v>
      </c>
      <c r="B29" s="37">
        <f>SUM(HH_hh_gas_aantal,HH_rest_gas_aantal)</f>
        <v>86271</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86271</v>
      </c>
      <c r="C32" s="169">
        <f>IF(ISERROR(B32/SUM($B$32,$B$34,$B$35,$B$36,$B$38,$B$39)*100),0,B32/SUM($B$32,$B$34,$B$35,$B$36,$B$38,$B$39)*100)</f>
        <v>74.114705932887745</v>
      </c>
      <c r="D32" s="235"/>
      <c r="G32" s="15"/>
    </row>
    <row r="33" spans="1:7">
      <c r="A33" s="173" t="s">
        <v>71</v>
      </c>
      <c r="B33" s="34" t="s">
        <v>110</v>
      </c>
      <c r="C33" s="169"/>
      <c r="D33" s="235"/>
      <c r="G33" s="15"/>
    </row>
    <row r="34" spans="1:7">
      <c r="A34" s="173" t="s">
        <v>72</v>
      </c>
      <c r="B34" s="33">
        <f>IF((($B$28-$B$32-$B$39-$B$77-$B$38)*C20/100)&lt;0,0,($B$28-$B$32-$B$39-$B$77-$B$38)*C20/100)</f>
        <v>1233.5639089749043</v>
      </c>
      <c r="C34" s="169">
        <f>IF(ISERROR(B34/SUM($B$32,$B$34,$B$35,$B$36,$B$38,$B$39)*100),0,B34/SUM($B$32,$B$34,$B$35,$B$36,$B$38,$B$39)*100)</f>
        <v>1.0597445997275856</v>
      </c>
      <c r="D34" s="235"/>
      <c r="G34" s="15"/>
    </row>
    <row r="35" spans="1:7">
      <c r="A35" s="173" t="s">
        <v>73</v>
      </c>
      <c r="B35" s="33">
        <f>IF((($B$28-$B$32-$B$39-$B$77-$B$38)*C21/100)&lt;0,0,($B$28-$B$32-$B$39-$B$77-$B$38)*C21/100)</f>
        <v>27628.627498936625</v>
      </c>
      <c r="C35" s="169">
        <f>IF(ISERROR(B35/SUM($B$32,$B$34,$B$35,$B$36,$B$38,$B$39)*100),0,B35/SUM($B$32,$B$34,$B$35,$B$36,$B$38,$B$39)*100)</f>
        <v>23.735526450522006</v>
      </c>
      <c r="D35" s="235"/>
      <c r="G35" s="15"/>
    </row>
    <row r="36" spans="1:7">
      <c r="A36" s="173" t="s">
        <v>74</v>
      </c>
      <c r="B36" s="33">
        <f>IF((($B$28-$B$32-$B$39-$B$77-$B$38)*C22/100)&lt;0,0,($B$28-$B$32-$B$39-$B$77-$B$38)*C22/100)</f>
        <v>1268.808592088473</v>
      </c>
      <c r="C36" s="169">
        <f>IF(ISERROR(B36/SUM($B$32,$B$34,$B$35,$B$36,$B$38,$B$39)*100),0,B36/SUM($B$32,$B$34,$B$35,$B$36,$B$38,$B$39)*100)</f>
        <v>1.0900230168626597</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0</v>
      </c>
      <c r="C39" s="169">
        <f>IF(ISERROR(B39/SUM($B$32,$B$34,$B$35,$B$36,$B$38,$B$39)*100),0,B39/SUM($B$32,$B$34,$B$35,$B$36,$B$38,$B$39)*100)</f>
        <v>0</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86271</v>
      </c>
      <c r="C44" s="34" t="s">
        <v>110</v>
      </c>
      <c r="D44" s="176"/>
    </row>
    <row r="45" spans="1:7">
      <c r="A45" s="173" t="s">
        <v>71</v>
      </c>
      <c r="B45" s="33" t="str">
        <f t="shared" si="0"/>
        <v>-</v>
      </c>
      <c r="C45" s="34" t="s">
        <v>110</v>
      </c>
      <c r="D45" s="176"/>
    </row>
    <row r="46" spans="1:7">
      <c r="A46" s="173" t="s">
        <v>72</v>
      </c>
      <c r="B46" s="33">
        <f t="shared" si="0"/>
        <v>1233.5639089749043</v>
      </c>
      <c r="C46" s="34" t="s">
        <v>110</v>
      </c>
      <c r="D46" s="176"/>
    </row>
    <row r="47" spans="1:7">
      <c r="A47" s="173" t="s">
        <v>73</v>
      </c>
      <c r="B47" s="33">
        <f t="shared" si="0"/>
        <v>27628.627498936625</v>
      </c>
      <c r="C47" s="34" t="s">
        <v>110</v>
      </c>
      <c r="D47" s="176"/>
    </row>
    <row r="48" spans="1:7">
      <c r="A48" s="173" t="s">
        <v>74</v>
      </c>
      <c r="B48" s="33">
        <f t="shared" si="0"/>
        <v>1268.808592088473</v>
      </c>
      <c r="C48" s="33">
        <f>B48*10</f>
        <v>12688.085920884731</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0</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873</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116</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684509.49930041609</v>
      </c>
      <c r="C5" s="17">
        <f>IF(ISERROR('Eigen informatie GS &amp; warmtenet'!B58),0,'Eigen informatie GS &amp; warmtenet'!B58)</f>
        <v>0</v>
      </c>
      <c r="D5" s="30">
        <f>SUM(D6:D12)</f>
        <v>893411.16145407362</v>
      </c>
      <c r="E5" s="17">
        <f>SUM(E6:E12)</f>
        <v>7521.9677652300552</v>
      </c>
      <c r="F5" s="17">
        <f>SUM(F6:F12)</f>
        <v>144001.54256794957</v>
      </c>
      <c r="G5" s="18"/>
      <c r="H5" s="17"/>
      <c r="I5" s="17"/>
      <c r="J5" s="17">
        <f>SUM(J6:J12)</f>
        <v>0</v>
      </c>
      <c r="K5" s="17"/>
      <c r="L5" s="17"/>
      <c r="M5" s="17"/>
      <c r="N5" s="17">
        <f>SUM(N6:N12)</f>
        <v>37611.910749070201</v>
      </c>
      <c r="O5" s="17">
        <f>B38*B39*B40</f>
        <v>25.013333333333335</v>
      </c>
      <c r="P5" s="17">
        <f>B46*B47*B48/1000-B46*B47*B48/1000/B49</f>
        <v>266.93333333333334</v>
      </c>
      <c r="R5" s="32"/>
    </row>
    <row r="6" spans="1:18">
      <c r="A6" s="32" t="s">
        <v>53</v>
      </c>
      <c r="B6" s="37">
        <f>B26</f>
        <v>194826.17467273798</v>
      </c>
      <c r="C6" s="33"/>
      <c r="D6" s="37">
        <f>IF(ISERROR(TER_kantoor_gas_kWh/1000),0,TER_kantoor_gas_kWh/1000)*0.902</f>
        <v>341836.66366035695</v>
      </c>
      <c r="E6" s="33">
        <f>$C$26*'E Balans VL '!I12/100/3.6*1000000</f>
        <v>756.94093570802124</v>
      </c>
      <c r="F6" s="33">
        <f>$C$26*('E Balans VL '!L12+'E Balans VL '!N12)/100/3.6*1000000</f>
        <v>29631.28839087196</v>
      </c>
      <c r="G6" s="34"/>
      <c r="H6" s="33"/>
      <c r="I6" s="33"/>
      <c r="J6" s="33">
        <f>$C$26*('E Balans VL '!D12+'E Balans VL '!E12)/100/3.6*1000000</f>
        <v>0</v>
      </c>
      <c r="K6" s="33"/>
      <c r="L6" s="33"/>
      <c r="M6" s="33"/>
      <c r="N6" s="33">
        <f>$C$26*'E Balans VL '!Y12/100/3.6*1000000</f>
        <v>107.37256184562141</v>
      </c>
      <c r="O6" s="33"/>
      <c r="P6" s="33"/>
      <c r="R6" s="32"/>
    </row>
    <row r="7" spans="1:18">
      <c r="A7" s="32" t="s">
        <v>52</v>
      </c>
      <c r="B7" s="37">
        <f t="shared" ref="B7:B12" si="0">B27</f>
        <v>56938.6459270989</v>
      </c>
      <c r="C7" s="33"/>
      <c r="D7" s="37">
        <f>IF(ISERROR(TER_horeca_gas_kWh/1000),0,TER_horeca_gas_kWh/1000)*0.902</f>
        <v>89926.963916818</v>
      </c>
      <c r="E7" s="33">
        <f>$C$27*'E Balans VL '!I9/100/3.6*1000000</f>
        <v>3207.3691479452382</v>
      </c>
      <c r="F7" s="33">
        <f>$C$27*('E Balans VL '!L9+'E Balans VL '!N9)/100/3.6*1000000</f>
        <v>16417.696638231861</v>
      </c>
      <c r="G7" s="34"/>
      <c r="H7" s="33"/>
      <c r="I7" s="33"/>
      <c r="J7" s="33">
        <f>$C$27*('E Balans VL '!D9+'E Balans VL '!E9)/100/3.6*1000000</f>
        <v>0</v>
      </c>
      <c r="K7" s="33"/>
      <c r="L7" s="33"/>
      <c r="M7" s="33"/>
      <c r="N7" s="33">
        <f>$C$27*'E Balans VL '!Y9/100/3.6*1000000</f>
        <v>15.720464259429228</v>
      </c>
      <c r="O7" s="33"/>
      <c r="P7" s="33"/>
      <c r="R7" s="32"/>
    </row>
    <row r="8" spans="1:18">
      <c r="A8" s="6" t="s">
        <v>51</v>
      </c>
      <c r="B8" s="37">
        <f t="shared" si="0"/>
        <v>159588.054449597</v>
      </c>
      <c r="C8" s="33"/>
      <c r="D8" s="37">
        <f>IF(ISERROR(TER_handel_gas_kWh/1000),0,TER_handel_gas_kWh/1000)*0.902</f>
        <v>84535.253381348433</v>
      </c>
      <c r="E8" s="33">
        <f>$C$28*'E Balans VL '!I13/100/3.6*1000000</f>
        <v>2300.2052930284831</v>
      </c>
      <c r="F8" s="33">
        <f>$C$28*('E Balans VL '!L13+'E Balans VL '!N13)/100/3.6*1000000</f>
        <v>27724.161612894262</v>
      </c>
      <c r="G8" s="34"/>
      <c r="H8" s="33"/>
      <c r="I8" s="33"/>
      <c r="J8" s="33">
        <f>$C$28*('E Balans VL '!D13+'E Balans VL '!E13)/100/3.6*1000000</f>
        <v>0</v>
      </c>
      <c r="K8" s="33"/>
      <c r="L8" s="33"/>
      <c r="M8" s="33"/>
      <c r="N8" s="33">
        <f>$C$28*'E Balans VL '!Y13/100/3.6*1000000</f>
        <v>478.14357683919025</v>
      </c>
      <c r="O8" s="33"/>
      <c r="P8" s="33"/>
      <c r="R8" s="32"/>
    </row>
    <row r="9" spans="1:18">
      <c r="A9" s="32" t="s">
        <v>50</v>
      </c>
      <c r="B9" s="37">
        <f t="shared" si="0"/>
        <v>64011.0318514424</v>
      </c>
      <c r="C9" s="33"/>
      <c r="D9" s="37">
        <f>IF(ISERROR(TER_gezond_gas_kWh/1000),0,TER_gezond_gas_kWh/1000)*0.902</f>
        <v>100827.2855958554</v>
      </c>
      <c r="E9" s="33">
        <f>$C$29*'E Balans VL '!I10/100/3.6*1000000</f>
        <v>68.380373067509368</v>
      </c>
      <c r="F9" s="33">
        <f>$C$29*('E Balans VL '!L10+'E Balans VL '!N10)/100/3.6*1000000</f>
        <v>10442.14466322863</v>
      </c>
      <c r="G9" s="34"/>
      <c r="H9" s="33"/>
      <c r="I9" s="33"/>
      <c r="J9" s="33">
        <f>$C$29*('E Balans VL '!D10+'E Balans VL '!E10)/100/3.6*1000000</f>
        <v>0</v>
      </c>
      <c r="K9" s="33"/>
      <c r="L9" s="33"/>
      <c r="M9" s="33"/>
      <c r="N9" s="33">
        <f>$C$29*'E Balans VL '!Y10/100/3.6*1000000</f>
        <v>658.95704894448943</v>
      </c>
      <c r="O9" s="33"/>
      <c r="P9" s="33"/>
      <c r="R9" s="32"/>
    </row>
    <row r="10" spans="1:18">
      <c r="A10" s="32" t="s">
        <v>49</v>
      </c>
      <c r="B10" s="37">
        <f t="shared" si="0"/>
        <v>43728.600753462</v>
      </c>
      <c r="C10" s="33"/>
      <c r="D10" s="37">
        <f>IF(ISERROR(TER_ander_gas_kWh/1000),0,TER_ander_gas_kWh/1000)*0.902</f>
        <v>47343.947320339867</v>
      </c>
      <c r="E10" s="33">
        <f>$C$30*'E Balans VL '!I14/100/3.6*1000000</f>
        <v>201.10118325122369</v>
      </c>
      <c r="F10" s="33">
        <f>$C$30*('E Balans VL '!L14+'E Balans VL '!N14)/100/3.6*1000000</f>
        <v>13106.840969851624</v>
      </c>
      <c r="G10" s="34"/>
      <c r="H10" s="33"/>
      <c r="I10" s="33"/>
      <c r="J10" s="33">
        <f>$C$30*('E Balans VL '!D14+'E Balans VL '!E14)/100/3.6*1000000</f>
        <v>0</v>
      </c>
      <c r="K10" s="33"/>
      <c r="L10" s="33"/>
      <c r="M10" s="33"/>
      <c r="N10" s="33">
        <f>$C$30*'E Balans VL '!Y14/100/3.6*1000000</f>
        <v>30437.992682958833</v>
      </c>
      <c r="O10" s="33"/>
      <c r="P10" s="33"/>
      <c r="R10" s="32"/>
    </row>
    <row r="11" spans="1:18">
      <c r="A11" s="32" t="s">
        <v>54</v>
      </c>
      <c r="B11" s="37">
        <f t="shared" si="0"/>
        <v>90918.294695144199</v>
      </c>
      <c r="C11" s="33"/>
      <c r="D11" s="37">
        <f>IF(ISERROR(TER_onderwijs_gas_kWh/1000),0,TER_onderwijs_gas_kWh/1000)*0.902</f>
        <v>127383.08235974809</v>
      </c>
      <c r="E11" s="33">
        <f>$C$31*'E Balans VL '!I11/100/3.6*1000000</f>
        <v>84.338674883599765</v>
      </c>
      <c r="F11" s="33">
        <f>$C$31*('E Balans VL '!L11+'E Balans VL '!N11)/100/3.6*1000000</f>
        <v>31937.507319635399</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74498.696950933503</v>
      </c>
      <c r="C12" s="33"/>
      <c r="D12" s="37">
        <f>IF(ISERROR(TER_rest_gas_kWh/1000),0,TER_rest_gas_kWh/1000)*0.902</f>
        <v>101557.96521960683</v>
      </c>
      <c r="E12" s="33">
        <f>$C$32*'E Balans VL '!I8/100/3.6*1000000</f>
        <v>903.6321573459802</v>
      </c>
      <c r="F12" s="33">
        <f>$C$32*('E Balans VL '!L8+'E Balans VL '!N8)/100/3.6*1000000</f>
        <v>14741.902973235849</v>
      </c>
      <c r="G12" s="34"/>
      <c r="H12" s="33"/>
      <c r="I12" s="33"/>
      <c r="J12" s="33">
        <f>$C$32*('E Balans VL '!D8+'E Balans VL '!E8)/100/3.6*1000000</f>
        <v>0</v>
      </c>
      <c r="K12" s="33"/>
      <c r="L12" s="33"/>
      <c r="M12" s="33"/>
      <c r="N12" s="33">
        <f>$C$32*'E Balans VL '!Y8/100/3.6*1000000</f>
        <v>5913.72441422264</v>
      </c>
      <c r="O12" s="33"/>
      <c r="P12" s="33"/>
      <c r="R12" s="32"/>
    </row>
    <row r="13" spans="1:18">
      <c r="A13" s="16" t="s">
        <v>496</v>
      </c>
      <c r="B13" s="249">
        <f ca="1">'lokale energieproductie'!N41+'lokale energieproductie'!N34</f>
        <v>2236.5</v>
      </c>
      <c r="C13" s="249">
        <f ca="1">'lokale energieproductie'!O41+'lokale energieproductie'!O34</f>
        <v>540.00000000000011</v>
      </c>
      <c r="D13" s="310">
        <f ca="1">('lokale energieproductie'!P34+'lokale energieproductie'!P41)*(-1)</f>
        <v>-964.28571428571456</v>
      </c>
      <c r="E13" s="250"/>
      <c r="F13" s="310">
        <f ca="1">('lokale energieproductie'!S34+'lokale energieproductie'!S41)*(-1)</f>
        <v>0</v>
      </c>
      <c r="G13" s="251"/>
      <c r="H13" s="250"/>
      <c r="I13" s="250"/>
      <c r="J13" s="250"/>
      <c r="K13" s="250"/>
      <c r="L13" s="310">
        <f ca="1">('lokale energieproductie'!U34+'lokale energieproductie'!T34+'lokale energieproductie'!U41+'lokale energieproductie'!T41)*(-1)</f>
        <v>-115.71428571428572</v>
      </c>
      <c r="M13" s="250"/>
      <c r="N13" s="310">
        <f ca="1">('lokale energieproductie'!Q34+'lokale energieproductie'!R34+'lokale energieproductie'!V34+'lokale energieproductie'!Q41+'lokale energieproductie'!R41+'lokale energieproductie'!V41)*(-1)</f>
        <v>-5310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686745.99930041609</v>
      </c>
      <c r="C16" s="21">
        <f t="shared" ca="1" si="1"/>
        <v>540.00000000000011</v>
      </c>
      <c r="D16" s="21">
        <f t="shared" ca="1" si="1"/>
        <v>892446.87573978794</v>
      </c>
      <c r="E16" s="21">
        <f t="shared" si="1"/>
        <v>7521.9677652300552</v>
      </c>
      <c r="F16" s="21">
        <f t="shared" ca="1" si="1"/>
        <v>144001.54256794957</v>
      </c>
      <c r="G16" s="21">
        <f t="shared" si="1"/>
        <v>0</v>
      </c>
      <c r="H16" s="21">
        <f t="shared" si="1"/>
        <v>0</v>
      </c>
      <c r="I16" s="21">
        <f t="shared" si="1"/>
        <v>0</v>
      </c>
      <c r="J16" s="21">
        <f t="shared" si="1"/>
        <v>0</v>
      </c>
      <c r="K16" s="21">
        <f t="shared" si="1"/>
        <v>0</v>
      </c>
      <c r="L16" s="21">
        <f t="shared" ca="1" si="1"/>
        <v>0</v>
      </c>
      <c r="M16" s="21">
        <f t="shared" si="1"/>
        <v>0</v>
      </c>
      <c r="N16" s="21">
        <f t="shared" ca="1" si="1"/>
        <v>32301.910749070201</v>
      </c>
      <c r="O16" s="21">
        <f>O5</f>
        <v>25.013333333333335</v>
      </c>
      <c r="P16" s="21">
        <f>P5</f>
        <v>266.93333333333334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0.20052304575901059</v>
      </c>
      <c r="C18" s="25">
        <f ca="1">'EF ele_warmte'!B22</f>
        <v>8.4117793458846971E-2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137708.39944253478</v>
      </c>
      <c r="C20" s="23">
        <f t="shared" ref="C20:P20" ca="1" si="2">C16*C18</f>
        <v>45.42360846777737</v>
      </c>
      <c r="D20" s="23">
        <f t="shared" ca="1" si="2"/>
        <v>180274.26889943719</v>
      </c>
      <c r="E20" s="23">
        <f t="shared" si="2"/>
        <v>1707.4866827072226</v>
      </c>
      <c r="F20" s="23">
        <f t="shared" ca="1" si="2"/>
        <v>38448.411865642534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194826.17467273798</v>
      </c>
      <c r="C26" s="39">
        <f>IF(ISERROR(B26*3.6/1000000/'E Balans VL '!Z12*100),0,B26*3.6/1000000/'E Balans VL '!Z12*100)</f>
        <v>4.138204454390495</v>
      </c>
      <c r="D26" s="239" t="s">
        <v>689</v>
      </c>
      <c r="F26" s="6"/>
    </row>
    <row r="27" spans="1:18">
      <c r="A27" s="233" t="s">
        <v>52</v>
      </c>
      <c r="B27" s="33">
        <f>IF(ISERROR(TER_horeca_ele_kWh/1000),0,TER_horeca_ele_kWh/1000)</f>
        <v>56938.6459270989</v>
      </c>
      <c r="C27" s="39">
        <f>IF(ISERROR(B27*3.6/1000000/'E Balans VL '!Z9*100),0,B27*3.6/1000000/'E Balans VL '!Z9*100)</f>
        <v>4.427326481643691</v>
      </c>
      <c r="D27" s="239" t="s">
        <v>689</v>
      </c>
      <c r="F27" s="6"/>
    </row>
    <row r="28" spans="1:18">
      <c r="A28" s="173" t="s">
        <v>51</v>
      </c>
      <c r="B28" s="33">
        <f>IF(ISERROR(TER_handel_ele_kWh/1000),0,TER_handel_ele_kWh/1000)</f>
        <v>159588.054449597</v>
      </c>
      <c r="C28" s="39">
        <f>IF(ISERROR(B28*3.6/1000000/'E Balans VL '!Z13*100),0,B28*3.6/1000000/'E Balans VL '!Z13*100)</f>
        <v>4.5660020541548336</v>
      </c>
      <c r="D28" s="239" t="s">
        <v>689</v>
      </c>
      <c r="F28" s="6"/>
    </row>
    <row r="29" spans="1:18">
      <c r="A29" s="233" t="s">
        <v>50</v>
      </c>
      <c r="B29" s="33">
        <f>IF(ISERROR(TER_gezond_ele_kWh/1000),0,TER_gezond_ele_kWh/1000)</f>
        <v>64011.0318514424</v>
      </c>
      <c r="C29" s="39">
        <f>IF(ISERROR(B29*3.6/1000000/'E Balans VL '!Z10*100),0,B29*3.6/1000000/'E Balans VL '!Z10*100)</f>
        <v>6.9786899097962953</v>
      </c>
      <c r="D29" s="239" t="s">
        <v>689</v>
      </c>
      <c r="F29" s="6"/>
    </row>
    <row r="30" spans="1:18">
      <c r="A30" s="233" t="s">
        <v>49</v>
      </c>
      <c r="B30" s="33">
        <f>IF(ISERROR(TER_ander_ele_kWh/1000),0,TER_ander_ele_kWh/1000)</f>
        <v>43728.600753462</v>
      </c>
      <c r="C30" s="39">
        <f>IF(ISERROR(B30*3.6/1000000/'E Balans VL '!Z14*100),0,B30*3.6/1000000/'E Balans VL '!Z14*100)</f>
        <v>3.1999598071590252</v>
      </c>
      <c r="D30" s="239" t="s">
        <v>689</v>
      </c>
      <c r="F30" s="6"/>
    </row>
    <row r="31" spans="1:18">
      <c r="A31" s="233" t="s">
        <v>54</v>
      </c>
      <c r="B31" s="33">
        <f>IF(ISERROR(TER_onderwijs_ele_kWh/1000),0,TER_onderwijs_ele_kWh/1000)</f>
        <v>90918.294695144199</v>
      </c>
      <c r="C31" s="39">
        <f>IF(ISERROR(B31*3.6/1000000/'E Balans VL '!Z11*100),0,B31*3.6/1000000/'E Balans VL '!Z11*100)</f>
        <v>18.261007003583657</v>
      </c>
      <c r="D31" s="239" t="s">
        <v>689</v>
      </c>
    </row>
    <row r="32" spans="1:18">
      <c r="A32" s="233" t="s">
        <v>259</v>
      </c>
      <c r="B32" s="33">
        <f>IF(ISERROR(TER_rest_ele_kWh/1000),0,TER_rest_ele_kWh/1000)</f>
        <v>74498.696950933503</v>
      </c>
      <c r="C32" s="39">
        <f>IF(ISERROR(B32*3.6/1000000/'E Balans VL '!Z8*100),0,B32*3.6/1000000/'E Balans VL '!Z8*100)</f>
        <v>0.60711916918806097</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16</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14</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384275.03611205705</v>
      </c>
      <c r="C5" s="17">
        <f>IF(ISERROR('Eigen informatie GS &amp; warmtenet'!B59),0,'Eigen informatie GS &amp; warmtenet'!B59)</f>
        <v>0</v>
      </c>
      <c r="D5" s="30">
        <f>SUM(D6:D15)</f>
        <v>345886.10859603318</v>
      </c>
      <c r="E5" s="17">
        <f>SUM(E6:E15)</f>
        <v>22809.208533619694</v>
      </c>
      <c r="F5" s="17">
        <f>SUM(F6:F15)</f>
        <v>130283.31621887733</v>
      </c>
      <c r="G5" s="18"/>
      <c r="H5" s="17"/>
      <c r="I5" s="17"/>
      <c r="J5" s="17">
        <f>SUM(J6:J15)</f>
        <v>857.97898802299324</v>
      </c>
      <c r="K5" s="17"/>
      <c r="L5" s="17"/>
      <c r="M5" s="17"/>
      <c r="N5" s="17">
        <f>SUM(N6:N15)</f>
        <v>20381.183136582415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31354.449407478001</v>
      </c>
      <c r="C8" s="33"/>
      <c r="D8" s="37">
        <f>IF( ISERROR(IND_metaal_Gas_kWH/1000),0,IND_metaal_Gas_kWH/1000)*0.902</f>
        <v>26892.919174122959</v>
      </c>
      <c r="E8" s="33">
        <f>C30*'E Balans VL '!I18/100/3.6*1000000</f>
        <v>900.61747714778403</v>
      </c>
      <c r="F8" s="33">
        <f>C30*'E Balans VL '!L18/100/3.6*1000000+C30*'E Balans VL '!N18/100/3.6*1000000</f>
        <v>8041.8132402933943</v>
      </c>
      <c r="G8" s="34"/>
      <c r="H8" s="33"/>
      <c r="I8" s="33"/>
      <c r="J8" s="40">
        <f>C30*'E Balans VL '!D18/100/3.6*1000000+C30*'E Balans VL '!E18/100/3.6*1000000</f>
        <v>0</v>
      </c>
      <c r="K8" s="33"/>
      <c r="L8" s="33"/>
      <c r="M8" s="33"/>
      <c r="N8" s="33">
        <f>C30*'E Balans VL '!Y18/100/3.6*1000000</f>
        <v>851.33730491213828</v>
      </c>
      <c r="O8" s="33"/>
      <c r="P8" s="33"/>
      <c r="R8" s="32"/>
    </row>
    <row r="9" spans="1:18">
      <c r="A9" s="6" t="s">
        <v>32</v>
      </c>
      <c r="B9" s="37">
        <f t="shared" si="0"/>
        <v>37999.802967372794</v>
      </c>
      <c r="C9" s="33"/>
      <c r="D9" s="37">
        <f>IF( ISERROR(IND_andere_gas_kWh/1000),0,IND_andere_gas_kWh/1000)*0.902</f>
        <v>66160.058434552018</v>
      </c>
      <c r="E9" s="33">
        <f>C31*'E Balans VL '!I19/100/3.6*1000000</f>
        <v>10285.612360575324</v>
      </c>
      <c r="F9" s="33">
        <f>C31*'E Balans VL '!L19/100/3.6*1000000+C31*'E Balans VL '!N19/100/3.6*1000000</f>
        <v>25311.889995417696</v>
      </c>
      <c r="G9" s="34"/>
      <c r="H9" s="33"/>
      <c r="I9" s="33"/>
      <c r="J9" s="40">
        <f>C31*'E Balans VL '!D19/100/3.6*1000000+C31*'E Balans VL '!E19/100/3.6*1000000</f>
        <v>0</v>
      </c>
      <c r="K9" s="33"/>
      <c r="L9" s="33"/>
      <c r="M9" s="33"/>
      <c r="N9" s="33">
        <f>C31*'E Balans VL '!Y19/100/3.6*1000000</f>
        <v>3212.6316209415622</v>
      </c>
      <c r="O9" s="33"/>
      <c r="P9" s="33"/>
      <c r="R9" s="32"/>
    </row>
    <row r="10" spans="1:18">
      <c r="A10" s="6" t="s">
        <v>40</v>
      </c>
      <c r="B10" s="37">
        <f t="shared" si="0"/>
        <v>17805.521938684898</v>
      </c>
      <c r="C10" s="33"/>
      <c r="D10" s="37">
        <f>IF( ISERROR(IND_voed_gas_kWh/1000),0,IND_voed_gas_kWh/1000)*0.902</f>
        <v>26894.31762999795</v>
      </c>
      <c r="E10" s="33">
        <f>C32*'E Balans VL '!I20/100/3.6*1000000</f>
        <v>1452.2592764413357</v>
      </c>
      <c r="F10" s="33">
        <f>C32*'E Balans VL '!L20/100/3.6*1000000+C32*'E Balans VL '!N20/100/3.6*1000000</f>
        <v>26549.648669078015</v>
      </c>
      <c r="G10" s="34"/>
      <c r="H10" s="33"/>
      <c r="I10" s="33"/>
      <c r="J10" s="40">
        <f>C32*'E Balans VL '!D20/100/3.6*1000000+C32*'E Balans VL '!E20/100/3.6*1000000</f>
        <v>0.23554544224456536</v>
      </c>
      <c r="K10" s="33"/>
      <c r="L10" s="33"/>
      <c r="M10" s="33"/>
      <c r="N10" s="33">
        <f>C32*'E Balans VL '!Y20/100/3.6*1000000</f>
        <v>5230.6340564634775</v>
      </c>
      <c r="O10" s="33"/>
      <c r="P10" s="33"/>
      <c r="R10" s="32"/>
    </row>
    <row r="11" spans="1:18">
      <c r="A11" s="6" t="s">
        <v>39</v>
      </c>
      <c r="B11" s="37">
        <f t="shared" si="0"/>
        <v>348.95999240280099</v>
      </c>
      <c r="C11" s="33"/>
      <c r="D11" s="37">
        <f>IF( ISERROR(IND_textiel_gas_kWh/1000),0,IND_textiel_gas_kWh/1000)*0.902</f>
        <v>487.80015531588805</v>
      </c>
      <c r="E11" s="33">
        <f>C33*'E Balans VL '!I21/100/3.6*1000000</f>
        <v>6.9171010114392958E-2</v>
      </c>
      <c r="F11" s="33">
        <f>C33*'E Balans VL '!L21/100/3.6*1000000+C33*'E Balans VL '!N21/100/3.6*1000000</f>
        <v>12.852617541770027</v>
      </c>
      <c r="G11" s="34"/>
      <c r="H11" s="33"/>
      <c r="I11" s="33"/>
      <c r="J11" s="40">
        <f>C33*'E Balans VL '!D21/100/3.6*1000000+C33*'E Balans VL '!E21/100/3.6*1000000</f>
        <v>0</v>
      </c>
      <c r="K11" s="33"/>
      <c r="L11" s="33"/>
      <c r="M11" s="33"/>
      <c r="N11" s="33">
        <f>C33*'E Balans VL '!Y21/100/3.6*1000000</f>
        <v>1.6225758725681312</v>
      </c>
      <c r="O11" s="33"/>
      <c r="P11" s="33"/>
      <c r="R11" s="32"/>
    </row>
    <row r="12" spans="1:18">
      <c r="A12" s="6" t="s">
        <v>36</v>
      </c>
      <c r="B12" s="37">
        <f t="shared" si="0"/>
        <v>78836.678193114203</v>
      </c>
      <c r="C12" s="33"/>
      <c r="D12" s="37">
        <f>IF( ISERROR(IND_min_gas_kWh/1000),0,IND_min_gas_kWh/1000)*0.902</f>
        <v>176.74582838883822</v>
      </c>
      <c r="E12" s="33">
        <f>C34*'E Balans VL '!I22/100/3.6*1000000</f>
        <v>614.12054534336289</v>
      </c>
      <c r="F12" s="33">
        <f>C34*'E Balans VL '!L22/100/3.6*1000000+C34*'E Balans VL '!N22/100/3.6*1000000</f>
        <v>29732.350352600864</v>
      </c>
      <c r="G12" s="34"/>
      <c r="H12" s="33"/>
      <c r="I12" s="33"/>
      <c r="J12" s="40">
        <f>C34*'E Balans VL '!D22/100/3.6*1000000+C34*'E Balans VL '!E22/100/3.6*1000000</f>
        <v>433.59483714056438</v>
      </c>
      <c r="K12" s="33"/>
      <c r="L12" s="33"/>
      <c r="M12" s="33"/>
      <c r="N12" s="33">
        <f>C34*'E Balans VL '!Y22/100/3.6*1000000</f>
        <v>0</v>
      </c>
      <c r="O12" s="33"/>
      <c r="P12" s="33"/>
      <c r="R12" s="32"/>
    </row>
    <row r="13" spans="1:18">
      <c r="A13" s="6" t="s">
        <v>38</v>
      </c>
      <c r="B13" s="37">
        <f t="shared" si="0"/>
        <v>13306.0494173385</v>
      </c>
      <c r="C13" s="33"/>
      <c r="D13" s="37">
        <f>IF( ISERROR(IND_papier_gas_kWh/1000),0,IND_papier_gas_kWh/1000)*0.902</f>
        <v>2213.1141027423405</v>
      </c>
      <c r="E13" s="33">
        <f>C35*'E Balans VL '!I23/100/3.6*1000000</f>
        <v>139.40510831032242</v>
      </c>
      <c r="F13" s="33">
        <f>C35*'E Balans VL '!L23/100/3.6*1000000+C35*'E Balans VL '!N23/100/3.6*1000000</f>
        <v>992.89976596627309</v>
      </c>
      <c r="G13" s="34"/>
      <c r="H13" s="33"/>
      <c r="I13" s="33"/>
      <c r="J13" s="40">
        <f>C35*'E Balans VL '!D23/100/3.6*1000000+C35*'E Balans VL '!E23/100/3.6*1000000</f>
        <v>0</v>
      </c>
      <c r="K13" s="33"/>
      <c r="L13" s="33"/>
      <c r="M13" s="33"/>
      <c r="N13" s="33">
        <f>C35*'E Balans VL '!Y23/100/3.6*1000000</f>
        <v>2454.6784076921567</v>
      </c>
      <c r="O13" s="33"/>
      <c r="P13" s="33"/>
      <c r="R13" s="32"/>
    </row>
    <row r="14" spans="1:18">
      <c r="A14" s="6" t="s">
        <v>33</v>
      </c>
      <c r="B14" s="37">
        <f t="shared" si="0"/>
        <v>39138.518124988805</v>
      </c>
      <c r="C14" s="33"/>
      <c r="D14" s="37">
        <f>IF( ISERROR(IND_chemie_gas_kWh/1000),0,IND_chemie_gas_kWh/1000)*0.902</f>
        <v>5511.2946173561604</v>
      </c>
      <c r="E14" s="33">
        <f>C36*'E Balans VL '!I24/100/3.6*1000000</f>
        <v>185.01696608397475</v>
      </c>
      <c r="F14" s="33">
        <f>C36*'E Balans VL '!L24/100/3.6*1000000+C36*'E Balans VL '!N24/100/3.6*1000000</f>
        <v>739.69698453003423</v>
      </c>
      <c r="G14" s="34"/>
      <c r="H14" s="33"/>
      <c r="I14" s="33"/>
      <c r="J14" s="40">
        <f>C36*'E Balans VL '!D24/100/3.6*1000000+C36*'E Balans VL '!E24/100/3.6*1000000</f>
        <v>0</v>
      </c>
      <c r="K14" s="33"/>
      <c r="L14" s="33"/>
      <c r="M14" s="33"/>
      <c r="N14" s="33">
        <f>C36*'E Balans VL '!Y24/100/3.6*1000000</f>
        <v>950.15081324851622</v>
      </c>
      <c r="O14" s="33"/>
      <c r="P14" s="33"/>
      <c r="R14" s="32"/>
    </row>
    <row r="15" spans="1:18">
      <c r="A15" s="6" t="s">
        <v>269</v>
      </c>
      <c r="B15" s="37">
        <f t="shared" si="0"/>
        <v>165485.056070677</v>
      </c>
      <c r="C15" s="33"/>
      <c r="D15" s="37">
        <f>IF( ISERROR(IND_rest_gas_kWh/1000),0,IND_rest_gas_kWh/1000)*0.902</f>
        <v>217549.85865355699</v>
      </c>
      <c r="E15" s="33">
        <f>C37*'E Balans VL '!I15/100/3.6*1000000</f>
        <v>9232.1076287074757</v>
      </c>
      <c r="F15" s="33">
        <f>C37*'E Balans VL '!L15/100/3.6*1000000+C37*'E Balans VL '!N15/100/3.6*1000000</f>
        <v>38902.164593449284</v>
      </c>
      <c r="G15" s="34"/>
      <c r="H15" s="33"/>
      <c r="I15" s="33"/>
      <c r="J15" s="40">
        <f>C37*'E Balans VL '!D15/100/3.6*1000000+C37*'E Balans VL '!E15/100/3.6*1000000</f>
        <v>424.14860544018427</v>
      </c>
      <c r="K15" s="33"/>
      <c r="L15" s="33"/>
      <c r="M15" s="33"/>
      <c r="N15" s="33">
        <f>C37*'E Balans VL '!Y15/100/3.6*1000000</f>
        <v>7680.1283574519966</v>
      </c>
      <c r="O15" s="33"/>
      <c r="P15" s="33"/>
      <c r="R15" s="32"/>
    </row>
    <row r="16" spans="1:18">
      <c r="A16" s="16" t="s">
        <v>496</v>
      </c>
      <c r="B16" s="249">
        <f>'lokale energieproductie'!N40+'lokale energieproductie'!N33</f>
        <v>9900</v>
      </c>
      <c r="C16" s="249">
        <f>'lokale energieproductie'!O40+'lokale energieproductie'!O33</f>
        <v>11137.5</v>
      </c>
      <c r="D16" s="310">
        <f>('lokale energieproductie'!P33+'lokale energieproductie'!P40)*(-1)</f>
        <v>0</v>
      </c>
      <c r="E16" s="250"/>
      <c r="F16" s="310">
        <f>('lokale energieproductie'!S33+'lokale energieproductie'!S40)*(-1)</f>
        <v>-6187.5</v>
      </c>
      <c r="G16" s="251"/>
      <c r="H16" s="250"/>
      <c r="I16" s="250"/>
      <c r="J16" s="250"/>
      <c r="K16" s="250"/>
      <c r="L16" s="310">
        <f>('lokale energieproductie'!T33+'lokale energieproductie'!U33+'lokale energieproductie'!T40+'lokale energieproductie'!U40)*(-1)</f>
        <v>-18562.5</v>
      </c>
      <c r="M16" s="250"/>
      <c r="N16" s="310">
        <f>('lokale energieproductie'!Q33+'lokale energieproductie'!R33+'lokale energieproductie'!V33+'lokale energieproductie'!Q40+'lokale energieproductie'!R40+'lokale energieproductie'!V40)*(-1)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394175.03611205705</v>
      </c>
      <c r="C18" s="21">
        <f>C5+C16</f>
        <v>11137.5</v>
      </c>
      <c r="D18" s="21">
        <f>MAX((D5+D16),0)</f>
        <v>345886.10859603318</v>
      </c>
      <c r="E18" s="21">
        <f>MAX((E5+E16),0)</f>
        <v>22809.208533619694</v>
      </c>
      <c r="F18" s="21">
        <f>MAX((F5+F16),0)</f>
        <v>124095.81621887733</v>
      </c>
      <c r="G18" s="21"/>
      <c r="H18" s="21"/>
      <c r="I18" s="21"/>
      <c r="J18" s="21">
        <f>MAX((J5+J16),0)</f>
        <v>857.97898802299324</v>
      </c>
      <c r="K18" s="21"/>
      <c r="L18" s="21">
        <f>MAX((L5+L16),0)</f>
        <v>0</v>
      </c>
      <c r="M18" s="21"/>
      <c r="N18" s="21">
        <f>MAX((N5+N16),0)</f>
        <v>20381.183136582415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0.20052304575901059</v>
      </c>
      <c r="C20" s="25">
        <f ca="1">'EF ele_warmte'!B22</f>
        <v>8.4117793458846971E-2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79041.178803357659</v>
      </c>
      <c r="C22" s="23">
        <f ca="1">C18*C20</f>
        <v>936.86192464790815</v>
      </c>
      <c r="D22" s="23">
        <f>D18*D20</f>
        <v>69868.993936398707</v>
      </c>
      <c r="E22" s="23">
        <f>E18*E20</f>
        <v>5177.6903371316712</v>
      </c>
      <c r="F22" s="23">
        <f>F18*F20</f>
        <v>33133.58293044025</v>
      </c>
      <c r="G22" s="23"/>
      <c r="H22" s="23"/>
      <c r="I22" s="23"/>
      <c r="J22" s="23">
        <f>J18*J20</f>
        <v>303.72456176013958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31354.449407478001</v>
      </c>
      <c r="C30" s="39">
        <f>IF(ISERROR(B30*3.6/1000000/'E Balans VL '!Z18*100),0,B30*3.6/1000000/'E Balans VL '!Z18*100)</f>
        <v>3.0851977823126977</v>
      </c>
      <c r="D30" s="239" t="s">
        <v>689</v>
      </c>
    </row>
    <row r="31" spans="1:18">
      <c r="A31" s="6" t="s">
        <v>32</v>
      </c>
      <c r="B31" s="37">
        <f>IF( ISERROR(IND_ander_ele_kWh/1000),0,IND_ander_ele_kWh/1000)</f>
        <v>37999.802967372794</v>
      </c>
      <c r="C31" s="39">
        <f>IF(ISERROR(B31*3.6/1000000/'E Balans VL '!Z19*100),0,B31*3.6/1000000/'E Balans VL '!Z19*100)</f>
        <v>1.6548611070848522</v>
      </c>
      <c r="D31" s="239" t="s">
        <v>689</v>
      </c>
    </row>
    <row r="32" spans="1:18">
      <c r="A32" s="173" t="s">
        <v>40</v>
      </c>
      <c r="B32" s="37">
        <f>IF( ISERROR(IND_voed_ele_kWh/1000),0,IND_voed_ele_kWh/1000)</f>
        <v>17805.521938684898</v>
      </c>
      <c r="C32" s="39">
        <f>IF(ISERROR(B32*3.6/1000000/'E Balans VL '!Z20*100),0,B32*3.6/1000000/'E Balans VL '!Z20*100)</f>
        <v>3.37834100430439</v>
      </c>
      <c r="D32" s="239" t="s">
        <v>689</v>
      </c>
    </row>
    <row r="33" spans="1:5">
      <c r="A33" s="173" t="s">
        <v>39</v>
      </c>
      <c r="B33" s="37">
        <f>IF( ISERROR(IND_textiel_ele_kWh/1000),0,IND_textiel_ele_kWh/1000)</f>
        <v>348.95999240280099</v>
      </c>
      <c r="C33" s="39">
        <f>IF(ISERROR(B33*3.6/1000000/'E Balans VL '!Z21*100),0,B33*3.6/1000000/'E Balans VL '!Z21*100)</f>
        <v>1.9923845900966203E-2</v>
      </c>
      <c r="D33" s="239" t="s">
        <v>689</v>
      </c>
    </row>
    <row r="34" spans="1:5">
      <c r="A34" s="173" t="s">
        <v>36</v>
      </c>
      <c r="B34" s="37">
        <f>IF( ISERROR(IND_min_ele_kWh/1000),0,IND_min_ele_kWh/1000)</f>
        <v>78836.678193114203</v>
      </c>
      <c r="C34" s="39">
        <f>IF(ISERROR(B34*3.6/1000000/'E Balans VL '!Z22*100),0,B34*3.6/1000000/'E Balans VL '!Z22*100)</f>
        <v>11.085228607198731</v>
      </c>
      <c r="D34" s="239" t="s">
        <v>689</v>
      </c>
    </row>
    <row r="35" spans="1:5">
      <c r="A35" s="173" t="s">
        <v>38</v>
      </c>
      <c r="B35" s="37">
        <f>IF( ISERROR(IND_papier_ele_kWh/1000),0,IND_papier_ele_kWh/1000)</f>
        <v>13306.0494173385</v>
      </c>
      <c r="C35" s="39">
        <f>IF(ISERROR(B35*3.6/1000000/'E Balans VL '!Z22*100),0,B35*3.6/1000000/'E Balans VL '!Z22*100)</f>
        <v>1.8709641632613061</v>
      </c>
      <c r="D35" s="239" t="s">
        <v>689</v>
      </c>
    </row>
    <row r="36" spans="1:5">
      <c r="A36" s="173" t="s">
        <v>33</v>
      </c>
      <c r="B36" s="37">
        <f>IF( ISERROR(IND_chemie_ele_kWh/1000),0,IND_chemie_ele_kWh/1000)</f>
        <v>39138.518124988805</v>
      </c>
      <c r="C36" s="39">
        <f>IF(ISERROR(B36*3.6/1000000/'E Balans VL '!Z24*100),0,B36*3.6/1000000/'E Balans VL '!Z24*100)</f>
        <v>1.1406120702301632</v>
      </c>
      <c r="D36" s="239" t="s">
        <v>689</v>
      </c>
    </row>
    <row r="37" spans="1:5">
      <c r="A37" s="173" t="s">
        <v>269</v>
      </c>
      <c r="B37" s="37">
        <f>IF( ISERROR(IND_rest_ele_kWh/1000),0,IND_rest_ele_kWh/1000)</f>
        <v>165485.056070677</v>
      </c>
      <c r="C37" s="39">
        <f>IF(ISERROR(B37*3.6/1000000/'E Balans VL '!Z15*100),0,B37*3.6/1000000/'E Balans VL '!Z15*100)</f>
        <v>1.2752656145706038</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3034.4643411941011</v>
      </c>
      <c r="C5" s="17">
        <f>'Eigen informatie GS &amp; warmtenet'!B60</f>
        <v>0</v>
      </c>
      <c r="D5" s="30">
        <f>IF(ISERROR(SUM(LB_lb_gas_kWh,LB_rest_gas_kWh)/1000),0,SUM(LB_lb_gas_kWh,LB_rest_gas_kWh)/1000)*0.902</f>
        <v>6314.4632219834257</v>
      </c>
      <c r="E5" s="17">
        <f>B17*'E Balans VL '!I25/3.6*1000000/100</f>
        <v>38.238159883934856</v>
      </c>
      <c r="F5" s="17">
        <f>B17*('E Balans VL '!L25/3.6*1000000+'E Balans VL '!N25/3.6*1000000)/100</f>
        <v>10469.662155859662</v>
      </c>
      <c r="G5" s="18"/>
      <c r="H5" s="17"/>
      <c r="I5" s="17"/>
      <c r="J5" s="17">
        <f>('E Balans VL '!D25+'E Balans VL '!E25)/3.6*1000000*landbouw!B17/100</f>
        <v>456.34894234238891</v>
      </c>
      <c r="K5" s="17"/>
      <c r="L5" s="17">
        <f>L6*(-1)</f>
        <v>0</v>
      </c>
      <c r="M5" s="17"/>
      <c r="N5" s="17">
        <f>N6*(-1)</f>
        <v>0</v>
      </c>
      <c r="O5" s="17"/>
      <c r="P5" s="17"/>
      <c r="R5" s="32"/>
    </row>
    <row r="6" spans="1:18">
      <c r="A6" s="16" t="s">
        <v>496</v>
      </c>
      <c r="B6" s="17" t="s">
        <v>210</v>
      </c>
      <c r="C6" s="17">
        <f>'lokale energieproductie'!O42+'lokale energieproductie'!O35</f>
        <v>0</v>
      </c>
      <c r="D6" s="310">
        <f>('lokale energieproductie'!P35+'lokale energieproductie'!P42)*(-1)</f>
        <v>0</v>
      </c>
      <c r="E6" s="250"/>
      <c r="F6" s="310">
        <f>('lokale energieproductie'!S35+'lokale energieproductie'!S42)*(-1)</f>
        <v>0</v>
      </c>
      <c r="G6" s="251"/>
      <c r="H6" s="250"/>
      <c r="I6" s="250"/>
      <c r="J6" s="250"/>
      <c r="K6" s="250"/>
      <c r="L6" s="310">
        <f>('lokale energieproductie'!T35+'lokale energieproductie'!U35+'lokale energieproductie'!T42+'lokale energieproductie'!U42)*(-1)</f>
        <v>0</v>
      </c>
      <c r="M6" s="250"/>
      <c r="N6" s="1030">
        <f>('lokale energieproductie'!V35+'lokale energieproductie'!R35+'lokale energieproductie'!Q35+'lokale energieproductie'!Q42+'lokale energieproductie'!R42+'lokale energieproductie'!V42)*(-1)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3034.4643411941011</v>
      </c>
      <c r="C8" s="21">
        <f>C5+C6</f>
        <v>0</v>
      </c>
      <c r="D8" s="21">
        <f>MAX((D5+D6),0)</f>
        <v>6314.4632219834257</v>
      </c>
      <c r="E8" s="21">
        <f>MAX((E5+E6),0)</f>
        <v>38.238159883934856</v>
      </c>
      <c r="F8" s="21">
        <f>MAX((F5+F6),0)</f>
        <v>10469.662155859662</v>
      </c>
      <c r="G8" s="21"/>
      <c r="H8" s="21"/>
      <c r="I8" s="21"/>
      <c r="J8" s="21">
        <f>MAX((J5+J6),0)</f>
        <v>456.34894234238891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0.20052304575901059</v>
      </c>
      <c r="C10" s="31">
        <f ca="1">'EF ele_warmte'!B22</f>
        <v>8.4117793458846971E-2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608.4800319433507</v>
      </c>
      <c r="C12" s="23">
        <f ca="1">C8*C10</f>
        <v>0</v>
      </c>
      <c r="D12" s="23">
        <f>D8*D10</f>
        <v>1275.521570840652</v>
      </c>
      <c r="E12" s="23">
        <f>E8*E10</f>
        <v>8.6800622936532132</v>
      </c>
      <c r="F12" s="23">
        <f>F8*F10</f>
        <v>2795.3997956145299</v>
      </c>
      <c r="G12" s="23"/>
      <c r="H12" s="23"/>
      <c r="I12" s="23"/>
      <c r="J12" s="23">
        <f>J8*J10</f>
        <v>161.54752558920566</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0.42321213483213521</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441.09625096733271</v>
      </c>
      <c r="C26" s="249">
        <f>B26*'GWP N2O_CH4'!B5</f>
        <v>9263.0212703139878</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98.577923052591089</v>
      </c>
      <c r="C27" s="249">
        <f>B27*'GWP N2O_CH4'!B5</f>
        <v>2070.1363841044131</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5.5682902848360403</v>
      </c>
      <c r="C28" s="249">
        <f>B28*'GWP N2O_CH4'!B4</f>
        <v>1726.1699882991725</v>
      </c>
      <c r="D28" s="50"/>
    </row>
    <row r="29" spans="1:4">
      <c r="A29" s="41" t="s">
        <v>276</v>
      </c>
      <c r="B29" s="249">
        <f>B34*'ha_N2O bodem landbouw'!B4</f>
        <v>18.781235962854275</v>
      </c>
      <c r="C29" s="249">
        <f>B29*'GWP N2O_CH4'!B4</f>
        <v>5822.1831484848253</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4.6894869525771357E-3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3.046108979570944E-4</v>
      </c>
      <c r="C5" s="444" t="s">
        <v>210</v>
      </c>
      <c r="D5" s="429">
        <f>SUM(D6:D11)</f>
        <v>5.1177180450256814E-4</v>
      </c>
      <c r="E5" s="429">
        <f>SUM(E6:E11)</f>
        <v>2.0049701680691354E-2</v>
      </c>
      <c r="F5" s="442" t="s">
        <v>210</v>
      </c>
      <c r="G5" s="429">
        <f>SUM(G6:G11)</f>
        <v>6.4107219484307532</v>
      </c>
      <c r="H5" s="429">
        <f>SUM(H6:H11)</f>
        <v>0.95161478589755677</v>
      </c>
      <c r="I5" s="444" t="s">
        <v>210</v>
      </c>
      <c r="J5" s="444" t="s">
        <v>210</v>
      </c>
      <c r="K5" s="444" t="s">
        <v>210</v>
      </c>
      <c r="L5" s="444" t="s">
        <v>210</v>
      </c>
      <c r="M5" s="429">
        <f>SUM(M6:M11)</f>
        <v>0.332829165529612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9.3180985025298455E-5</v>
      </c>
      <c r="C6" s="883"/>
      <c r="D6" s="883">
        <f>vkm_GW_PW*SUMIFS(TableVerdeelsleutelVkm[CNG],TableVerdeelsleutelVkm[Voertuigtype],"Lichte voertuigen")*SUMIFS(TableECFTransport[EnergieConsumptieFactor (PJ per km)],TableECFTransport[Index],CONCATENATE($A6,"_CNG_CNG"))</f>
        <v>1.3809144435371739E-4</v>
      </c>
      <c r="E6" s="883">
        <f>vkm_GW_PW*SUMIFS(TableVerdeelsleutelVkm[LPG],TableVerdeelsleutelVkm[Voertuigtype],"Lichte voertuigen")*SUMIFS(TableECFTransport[EnergieConsumptieFactor (PJ per km)],TableECFTransport[Index],CONCATENATE($A6,"_LPG_LPG"))</f>
        <v>4.9459309453723354E-3</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0.99538348149126699</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0.25428493781642664</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5.6534308724174719E-2</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0.83570464889958329</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1.9417050338867153E-5</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3.7733369324757127E-2</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5.8820189625517405E-5</v>
      </c>
      <c r="C8" s="883"/>
      <c r="D8" s="432">
        <f>vkm_NGW_PW*SUMIFS(TableVerdeelsleutelVkm[CNG],TableVerdeelsleutelVkm[Voertuigtype],"Lichte voertuigen")*SUMIFS(TableECFTransport[EnergieConsumptieFactor (PJ per km)],TableECFTransport[Index],CONCATENATE($A8,"_CNG_CNG"))</f>
        <v>1.4792928926454541E-4</v>
      </c>
      <c r="E8" s="432">
        <f>vkm_NGW_PW*SUMIFS(TableVerdeelsleutelVkm[LPG],TableVerdeelsleutelVkm[Voertuigtype],"Lichte voertuigen")*SUMIFS(TableECFTransport[EnergieConsumptieFactor (PJ per km)],TableECFTransport[Index],CONCATENATE($A8,"_LPG_LPG"))</f>
        <v>5.0098654746149147E-3</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0.95775634786199726</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0.26175281983515031</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5.5175867733810689E-2</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0.37958134730558962</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1.0222398461096451E-5</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1.7138754271091454E-2</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1.5260972330627856E-4</v>
      </c>
      <c r="C10" s="883"/>
      <c r="D10" s="432">
        <f>vkm_SW_PW*SUMIFS(TableVerdeelsleutelVkm[CNG],TableVerdeelsleutelVkm[Voertuigtype],"Lichte voertuigen")*SUMIFS(TableECFTransport[EnergieConsumptieFactor (PJ per km)],TableECFTransport[Index],CONCATENATE($A10,"_CNG_CNG"))</f>
        <v>2.2575107088430532E-4</v>
      </c>
      <c r="E10" s="432">
        <f>vkm_SW_PW*SUMIFS(TableVerdeelsleutelVkm[LPG],TableVerdeelsleutelVkm[Voertuigtype],"Lichte voertuigen")*SUMIFS(TableECFTransport[EnergieConsumptieFactor (PJ per km)],TableECFTransport[Index],CONCATENATE($A10,"_LPG_LPG"))</f>
        <v>1.0093905260704104E-2</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1.8415548795109455</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0.43551267350410983</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0.10300111303741666</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1.4007412433613706</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3.4715293070098709E-5</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6.3245752438361322E-2</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84.614138321415112</v>
      </c>
      <c r="C14" s="21"/>
      <c r="D14" s="21">
        <f t="shared" ref="D14:M14" si="0">((D5)*10^9/3600)+D12</f>
        <v>142.1588345840467</v>
      </c>
      <c r="E14" s="21">
        <f t="shared" si="0"/>
        <v>5569.3615779698202</v>
      </c>
      <c r="F14" s="21"/>
      <c r="G14" s="21">
        <f t="shared" si="0"/>
        <v>1780756.0967863202</v>
      </c>
      <c r="H14" s="21">
        <f t="shared" si="0"/>
        <v>264337.44052709913</v>
      </c>
      <c r="I14" s="21"/>
      <c r="J14" s="21"/>
      <c r="K14" s="21"/>
      <c r="L14" s="21"/>
      <c r="M14" s="21">
        <f t="shared" si="0"/>
        <v>92452.545980447772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0.20052304575901059</v>
      </c>
      <c r="C16" s="56">
        <f ca="1">'EF ele_warmte'!B22</f>
        <v>8.4117793458846971E-2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16.967084730484373</v>
      </c>
      <c r="C18" s="23"/>
      <c r="D18" s="23">
        <f t="shared" ref="D18:M18" si="1">D14*D16</f>
        <v>28.716084585977434</v>
      </c>
      <c r="E18" s="23">
        <f t="shared" si="1"/>
        <v>1264.2450781991492</v>
      </c>
      <c r="F18" s="23"/>
      <c r="G18" s="23">
        <f t="shared" si="1"/>
        <v>475461.87784194754</v>
      </c>
      <c r="H18" s="23">
        <f t="shared" si="1"/>
        <v>65820.022691247679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3.3121135785673203E-2</v>
      </c>
      <c r="C50" s="321">
        <f t="shared" ref="C50:P50" si="2">SUM(C51:C52)</f>
        <v>0</v>
      </c>
      <c r="D50" s="321">
        <f t="shared" si="2"/>
        <v>0</v>
      </c>
      <c r="E50" s="321">
        <f t="shared" si="2"/>
        <v>0</v>
      </c>
      <c r="F50" s="321">
        <f t="shared" si="2"/>
        <v>0</v>
      </c>
      <c r="G50" s="321">
        <f t="shared" si="2"/>
        <v>0.13476596563436577</v>
      </c>
      <c r="H50" s="321">
        <f t="shared" si="2"/>
        <v>0</v>
      </c>
      <c r="I50" s="321">
        <f t="shared" si="2"/>
        <v>0</v>
      </c>
      <c r="J50" s="321">
        <f t="shared" si="2"/>
        <v>0</v>
      </c>
      <c r="K50" s="321">
        <f t="shared" si="2"/>
        <v>0</v>
      </c>
      <c r="L50" s="321">
        <f t="shared" si="2"/>
        <v>0</v>
      </c>
      <c r="M50" s="321">
        <f t="shared" si="2"/>
        <v>5.998544621215662E-3</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0.13476596563436577</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5.998544621215662E-3</v>
      </c>
      <c r="N51" s="323"/>
      <c r="O51" s="323"/>
      <c r="P51" s="326"/>
    </row>
    <row r="52" spans="1:18">
      <c r="A52" s="4" t="s">
        <v>329</v>
      </c>
      <c r="B52" s="327">
        <f>vkm_tram*SUMIFS(TableECFTransport[EnergieConsumptieFactor (PJ per km)],TableECFTransport[Index],"Tram_gemiddeld_Electric_Electric")</f>
        <v>3.3121135785673203E-2</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9200.3154960203356</v>
      </c>
      <c r="C54" s="21">
        <f t="shared" ref="C54:P54" si="3">(C50)*10^9/3600</f>
        <v>0</v>
      </c>
      <c r="D54" s="21">
        <f t="shared" si="3"/>
        <v>0</v>
      </c>
      <c r="E54" s="21">
        <f t="shared" si="3"/>
        <v>0</v>
      </c>
      <c r="F54" s="21">
        <f t="shared" si="3"/>
        <v>0</v>
      </c>
      <c r="G54" s="21">
        <f t="shared" si="3"/>
        <v>37434.990453990489</v>
      </c>
      <c r="H54" s="21">
        <f t="shared" si="3"/>
        <v>0</v>
      </c>
      <c r="I54" s="21">
        <f t="shared" si="3"/>
        <v>0</v>
      </c>
      <c r="J54" s="21">
        <f t="shared" si="3"/>
        <v>0</v>
      </c>
      <c r="K54" s="21">
        <f t="shared" si="3"/>
        <v>0</v>
      </c>
      <c r="L54" s="21">
        <f t="shared" si="3"/>
        <v>0</v>
      </c>
      <c r="M54" s="21">
        <f t="shared" si="3"/>
        <v>1666.2623947821282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0.20052304575901059</v>
      </c>
      <c r="C56" s="56">
        <f ca="1">'EF ele_warmte'!B22</f>
        <v>8.4117793458846971E-2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1844.8752852058199</v>
      </c>
      <c r="C58" s="23">
        <f t="shared" ref="C58:P58" ca="1" si="4">C54*C56</f>
        <v>0</v>
      </c>
      <c r="D58" s="23">
        <f t="shared" si="4"/>
        <v>0</v>
      </c>
      <c r="E58" s="23">
        <f t="shared" si="4"/>
        <v>0</v>
      </c>
      <c r="F58" s="23">
        <f t="shared" si="4"/>
        <v>0</v>
      </c>
      <c r="G58" s="23">
        <f t="shared" si="4"/>
        <v>9995.1424512154608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701360.14130041609</v>
      </c>
      <c r="D10" s="686">
        <f ca="1">tertiair!C16</f>
        <v>540.00000000000011</v>
      </c>
      <c r="E10" s="686">
        <f ca="1">tertiair!D16</f>
        <v>892446.87573978794</v>
      </c>
      <c r="F10" s="686">
        <f>tertiair!E16</f>
        <v>7521.9677652300552</v>
      </c>
      <c r="G10" s="686">
        <f ca="1">tertiair!F16</f>
        <v>144001.54256794957</v>
      </c>
      <c r="H10" s="686">
        <f>tertiair!G16</f>
        <v>0</v>
      </c>
      <c r="I10" s="686">
        <f>tertiair!H16</f>
        <v>0</v>
      </c>
      <c r="J10" s="686">
        <f>tertiair!I16</f>
        <v>0</v>
      </c>
      <c r="K10" s="686">
        <f>tertiair!J16</f>
        <v>0</v>
      </c>
      <c r="L10" s="686">
        <f>tertiair!K16</f>
        <v>0</v>
      </c>
      <c r="M10" s="686">
        <f ca="1">tertiair!L16</f>
        <v>0</v>
      </c>
      <c r="N10" s="686">
        <f>tertiair!M16</f>
        <v>0</v>
      </c>
      <c r="O10" s="686">
        <f ca="1">tertiair!N16</f>
        <v>32301.910749070201</v>
      </c>
      <c r="P10" s="686">
        <f>tertiair!O16</f>
        <v>25.013333333333335</v>
      </c>
      <c r="Q10" s="687">
        <f>tertiair!P16</f>
        <v>266.93333333333334</v>
      </c>
      <c r="R10" s="689">
        <f ca="1">SUM(C10:Q10)</f>
        <v>1778464.3847891204</v>
      </c>
      <c r="S10" s="67"/>
    </row>
    <row r="11" spans="1:19" s="454" customFormat="1">
      <c r="A11" s="801" t="s">
        <v>224</v>
      </c>
      <c r="B11" s="806"/>
      <c r="C11" s="686">
        <f>huishoudens!B8</f>
        <v>391820.60777766479</v>
      </c>
      <c r="D11" s="686">
        <f>huishoudens!C8</f>
        <v>0</v>
      </c>
      <c r="E11" s="686">
        <f>huishoudens!D8</f>
        <v>1228457.2845739196</v>
      </c>
      <c r="F11" s="686">
        <f>huishoudens!E8</f>
        <v>28287.219478451228</v>
      </c>
      <c r="G11" s="686">
        <f>huishoudens!F8</f>
        <v>0</v>
      </c>
      <c r="H11" s="686">
        <f>huishoudens!G8</f>
        <v>0</v>
      </c>
      <c r="I11" s="686">
        <f>huishoudens!H8</f>
        <v>0</v>
      </c>
      <c r="J11" s="686">
        <f>huishoudens!I8</f>
        <v>0</v>
      </c>
      <c r="K11" s="686">
        <f>huishoudens!J8</f>
        <v>0</v>
      </c>
      <c r="L11" s="686">
        <f>huishoudens!K8</f>
        <v>0</v>
      </c>
      <c r="M11" s="686">
        <f>huishoudens!L8</f>
        <v>0</v>
      </c>
      <c r="N11" s="686">
        <f>huishoudens!M8</f>
        <v>0</v>
      </c>
      <c r="O11" s="686">
        <f>huishoudens!N8</f>
        <v>99592.930871502016</v>
      </c>
      <c r="P11" s="686">
        <f>huishoudens!O8</f>
        <v>1364.7900000000002</v>
      </c>
      <c r="Q11" s="687">
        <f>huishoudens!P8</f>
        <v>2211.7333333333336</v>
      </c>
      <c r="R11" s="689">
        <f>SUM(C11:Q11)</f>
        <v>1751734.5660348712</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394175.03611205705</v>
      </c>
      <c r="D13" s="686">
        <f>industrie!C18</f>
        <v>11137.5</v>
      </c>
      <c r="E13" s="686">
        <f>industrie!D18</f>
        <v>345886.10859603318</v>
      </c>
      <c r="F13" s="686">
        <f>industrie!E18</f>
        <v>22809.208533619694</v>
      </c>
      <c r="G13" s="686">
        <f>industrie!F18</f>
        <v>124095.81621887733</v>
      </c>
      <c r="H13" s="686">
        <f>industrie!G18</f>
        <v>0</v>
      </c>
      <c r="I13" s="686">
        <f>industrie!H18</f>
        <v>0</v>
      </c>
      <c r="J13" s="686">
        <f>industrie!I18</f>
        <v>0</v>
      </c>
      <c r="K13" s="686">
        <f>industrie!J18</f>
        <v>857.97898802299324</v>
      </c>
      <c r="L13" s="686">
        <f>industrie!K18</f>
        <v>0</v>
      </c>
      <c r="M13" s="686">
        <f>industrie!L18</f>
        <v>0</v>
      </c>
      <c r="N13" s="686">
        <f>industrie!M18</f>
        <v>0</v>
      </c>
      <c r="O13" s="686">
        <f>industrie!N18</f>
        <v>20381.183136582415</v>
      </c>
      <c r="P13" s="686">
        <f>industrie!O18</f>
        <v>0</v>
      </c>
      <c r="Q13" s="687">
        <f>industrie!P18</f>
        <v>0</v>
      </c>
      <c r="R13" s="689">
        <f>SUM(C13:Q13)</f>
        <v>919342.83158519259</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1487355.785190138</v>
      </c>
      <c r="D16" s="721">
        <f t="shared" ref="D16:R16" ca="1" si="0">SUM(D9:D15)</f>
        <v>11677.5</v>
      </c>
      <c r="E16" s="721">
        <f t="shared" ca="1" si="0"/>
        <v>2466790.2689097412</v>
      </c>
      <c r="F16" s="721">
        <f t="shared" si="0"/>
        <v>58618.395777300975</v>
      </c>
      <c r="G16" s="721">
        <f t="shared" ca="1" si="0"/>
        <v>268097.3587868269</v>
      </c>
      <c r="H16" s="721">
        <f t="shared" si="0"/>
        <v>0</v>
      </c>
      <c r="I16" s="721">
        <f t="shared" si="0"/>
        <v>0</v>
      </c>
      <c r="J16" s="721">
        <f t="shared" si="0"/>
        <v>0</v>
      </c>
      <c r="K16" s="721">
        <f t="shared" si="0"/>
        <v>857.97898802299324</v>
      </c>
      <c r="L16" s="721">
        <f t="shared" si="0"/>
        <v>0</v>
      </c>
      <c r="M16" s="721">
        <f t="shared" ca="1" si="0"/>
        <v>0</v>
      </c>
      <c r="N16" s="721">
        <f t="shared" si="0"/>
        <v>0</v>
      </c>
      <c r="O16" s="721">
        <f t="shared" ca="1" si="0"/>
        <v>152276.02475715461</v>
      </c>
      <c r="P16" s="721">
        <f t="shared" si="0"/>
        <v>1389.8033333333335</v>
      </c>
      <c r="Q16" s="721">
        <f t="shared" si="0"/>
        <v>2478.666666666667</v>
      </c>
      <c r="R16" s="721">
        <f t="shared" ca="1" si="0"/>
        <v>4449541.7824091837</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9200.3154960203356</v>
      </c>
      <c r="D19" s="686">
        <f>transport!C54</f>
        <v>0</v>
      </c>
      <c r="E19" s="686">
        <f>transport!D54</f>
        <v>0</v>
      </c>
      <c r="F19" s="686">
        <f>transport!E54</f>
        <v>0</v>
      </c>
      <c r="G19" s="686">
        <f>transport!F54</f>
        <v>0</v>
      </c>
      <c r="H19" s="686">
        <f>transport!G54</f>
        <v>37434.990453990489</v>
      </c>
      <c r="I19" s="686">
        <f>transport!H54</f>
        <v>0</v>
      </c>
      <c r="J19" s="686">
        <f>transport!I54</f>
        <v>0</v>
      </c>
      <c r="K19" s="686">
        <f>transport!J54</f>
        <v>0</v>
      </c>
      <c r="L19" s="686">
        <f>transport!K54</f>
        <v>0</v>
      </c>
      <c r="M19" s="686">
        <f>transport!L54</f>
        <v>0</v>
      </c>
      <c r="N19" s="686">
        <f>transport!M54</f>
        <v>1666.2623947821282</v>
      </c>
      <c r="O19" s="686">
        <f>transport!N54</f>
        <v>0</v>
      </c>
      <c r="P19" s="686">
        <f>transport!O54</f>
        <v>0</v>
      </c>
      <c r="Q19" s="687">
        <f>transport!P54</f>
        <v>0</v>
      </c>
      <c r="R19" s="689">
        <f>SUM(C19:Q19)</f>
        <v>48301.568344792948</v>
      </c>
      <c r="S19" s="67"/>
    </row>
    <row r="20" spans="1:19" s="454" customFormat="1">
      <c r="A20" s="801" t="s">
        <v>306</v>
      </c>
      <c r="B20" s="806"/>
      <c r="C20" s="686">
        <f>transport!B14</f>
        <v>84.614138321415112</v>
      </c>
      <c r="D20" s="686">
        <f>transport!C14</f>
        <v>0</v>
      </c>
      <c r="E20" s="686">
        <f>transport!D14</f>
        <v>142.1588345840467</v>
      </c>
      <c r="F20" s="686">
        <f>transport!E14</f>
        <v>5569.3615779698202</v>
      </c>
      <c r="G20" s="686">
        <f>transport!F14</f>
        <v>0</v>
      </c>
      <c r="H20" s="686">
        <f>transport!G14</f>
        <v>1780756.0967863202</v>
      </c>
      <c r="I20" s="686">
        <f>transport!H14</f>
        <v>264337.44052709913</v>
      </c>
      <c r="J20" s="686">
        <f>transport!I14</f>
        <v>0</v>
      </c>
      <c r="K20" s="686">
        <f>transport!J14</f>
        <v>0</v>
      </c>
      <c r="L20" s="686">
        <f>transport!K14</f>
        <v>0</v>
      </c>
      <c r="M20" s="686">
        <f>transport!L14</f>
        <v>0</v>
      </c>
      <c r="N20" s="686">
        <f>transport!M14</f>
        <v>92452.545980447772</v>
      </c>
      <c r="O20" s="686">
        <f>transport!N14</f>
        <v>0</v>
      </c>
      <c r="P20" s="686">
        <f>transport!O14</f>
        <v>0</v>
      </c>
      <c r="Q20" s="687">
        <f>transport!P14</f>
        <v>0</v>
      </c>
      <c r="R20" s="689">
        <f>SUM(C20:Q20)</f>
        <v>2143342.2178447424</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9284.92963434175</v>
      </c>
      <c r="D22" s="804">
        <f t="shared" ref="D22:R22" si="1">SUM(D18:D21)</f>
        <v>0</v>
      </c>
      <c r="E22" s="804">
        <f t="shared" si="1"/>
        <v>142.1588345840467</v>
      </c>
      <c r="F22" s="804">
        <f t="shared" si="1"/>
        <v>5569.3615779698202</v>
      </c>
      <c r="G22" s="804">
        <f t="shared" si="1"/>
        <v>0</v>
      </c>
      <c r="H22" s="804">
        <f t="shared" si="1"/>
        <v>1818191.0872403106</v>
      </c>
      <c r="I22" s="804">
        <f t="shared" si="1"/>
        <v>264337.44052709913</v>
      </c>
      <c r="J22" s="804">
        <f t="shared" si="1"/>
        <v>0</v>
      </c>
      <c r="K22" s="804">
        <f t="shared" si="1"/>
        <v>0</v>
      </c>
      <c r="L22" s="804">
        <f t="shared" si="1"/>
        <v>0</v>
      </c>
      <c r="M22" s="804">
        <f t="shared" si="1"/>
        <v>0</v>
      </c>
      <c r="N22" s="804">
        <f t="shared" si="1"/>
        <v>94118.808375229899</v>
      </c>
      <c r="O22" s="804">
        <f t="shared" si="1"/>
        <v>0</v>
      </c>
      <c r="P22" s="804">
        <f t="shared" si="1"/>
        <v>0</v>
      </c>
      <c r="Q22" s="804">
        <f t="shared" si="1"/>
        <v>0</v>
      </c>
      <c r="R22" s="804">
        <f t="shared" si="1"/>
        <v>2191643.7861895352</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3034.4643411941011</v>
      </c>
      <c r="D24" s="686">
        <f>+landbouw!C8</f>
        <v>0</v>
      </c>
      <c r="E24" s="686">
        <f>+landbouw!D8</f>
        <v>6314.4632219834257</v>
      </c>
      <c r="F24" s="686">
        <f>+landbouw!E8</f>
        <v>38.238159883934856</v>
      </c>
      <c r="G24" s="686">
        <f>+landbouw!F8</f>
        <v>10469.662155859662</v>
      </c>
      <c r="H24" s="686">
        <f>+landbouw!G8</f>
        <v>0</v>
      </c>
      <c r="I24" s="686">
        <f>+landbouw!H8</f>
        <v>0</v>
      </c>
      <c r="J24" s="686">
        <f>+landbouw!I8</f>
        <v>0</v>
      </c>
      <c r="K24" s="686">
        <f>+landbouw!J8</f>
        <v>456.34894234238891</v>
      </c>
      <c r="L24" s="686">
        <f>+landbouw!K8</f>
        <v>0</v>
      </c>
      <c r="M24" s="686">
        <f>+landbouw!L8</f>
        <v>0</v>
      </c>
      <c r="N24" s="686">
        <f>+landbouw!M8</f>
        <v>0</v>
      </c>
      <c r="O24" s="686">
        <f>+landbouw!N8</f>
        <v>0</v>
      </c>
      <c r="P24" s="686">
        <f>+landbouw!O8</f>
        <v>0</v>
      </c>
      <c r="Q24" s="687">
        <f>+landbouw!P8</f>
        <v>0</v>
      </c>
      <c r="R24" s="689">
        <f>SUM(C24:Q24)</f>
        <v>20313.176821263514</v>
      </c>
      <c r="S24" s="67"/>
    </row>
    <row r="25" spans="1:19" s="454" customFormat="1" ht="15" thickBot="1">
      <c r="A25" s="823" t="s">
        <v>856</v>
      </c>
      <c r="B25" s="991"/>
      <c r="C25" s="992">
        <f>IF(Onbekend_ele_kWh="---",0,Onbekend_ele_kWh)/1000+IF(REST_rest_ele_kWh="---",0,REST_rest_ele_kWh)/1000</f>
        <v>27365.906761385002</v>
      </c>
      <c r="D25" s="992"/>
      <c r="E25" s="992">
        <f>IF(onbekend_gas_kWh="---",0,onbekend_gas_kWh)/1000+IF(REST_rest_gas_kWh="---",0,REST_rest_gas_kWh)/1000</f>
        <v>98499.386837011698</v>
      </c>
      <c r="F25" s="992"/>
      <c r="G25" s="992"/>
      <c r="H25" s="992"/>
      <c r="I25" s="992"/>
      <c r="J25" s="992"/>
      <c r="K25" s="992"/>
      <c r="L25" s="992"/>
      <c r="M25" s="992"/>
      <c r="N25" s="992"/>
      <c r="O25" s="992"/>
      <c r="P25" s="992"/>
      <c r="Q25" s="993"/>
      <c r="R25" s="689">
        <f>SUM(C25:Q25)</f>
        <v>125865.2935983967</v>
      </c>
      <c r="S25" s="67"/>
    </row>
    <row r="26" spans="1:19" s="454" customFormat="1" ht="15.75" thickBot="1">
      <c r="A26" s="694" t="s">
        <v>857</v>
      </c>
      <c r="B26" s="809"/>
      <c r="C26" s="804">
        <f>SUM(C24:C25)</f>
        <v>30400.371102579102</v>
      </c>
      <c r="D26" s="804">
        <f t="shared" ref="D26:R26" si="2">SUM(D24:D25)</f>
        <v>0</v>
      </c>
      <c r="E26" s="804">
        <f t="shared" si="2"/>
        <v>104813.85005899513</v>
      </c>
      <c r="F26" s="804">
        <f t="shared" si="2"/>
        <v>38.238159883934856</v>
      </c>
      <c r="G26" s="804">
        <f t="shared" si="2"/>
        <v>10469.662155859662</v>
      </c>
      <c r="H26" s="804">
        <f t="shared" si="2"/>
        <v>0</v>
      </c>
      <c r="I26" s="804">
        <f t="shared" si="2"/>
        <v>0</v>
      </c>
      <c r="J26" s="804">
        <f t="shared" si="2"/>
        <v>0</v>
      </c>
      <c r="K26" s="804">
        <f t="shared" si="2"/>
        <v>456.34894234238891</v>
      </c>
      <c r="L26" s="804">
        <f t="shared" si="2"/>
        <v>0</v>
      </c>
      <c r="M26" s="804">
        <f t="shared" si="2"/>
        <v>0</v>
      </c>
      <c r="N26" s="804">
        <f t="shared" si="2"/>
        <v>0</v>
      </c>
      <c r="O26" s="804">
        <f t="shared" si="2"/>
        <v>0</v>
      </c>
      <c r="P26" s="804">
        <f t="shared" si="2"/>
        <v>0</v>
      </c>
      <c r="Q26" s="804">
        <f t="shared" si="2"/>
        <v>0</v>
      </c>
      <c r="R26" s="804">
        <f t="shared" si="2"/>
        <v>146178.47041966021</v>
      </c>
      <c r="S26" s="67"/>
    </row>
    <row r="27" spans="1:19" s="454" customFormat="1" ht="17.25" thickTop="1" thickBot="1">
      <c r="A27" s="695" t="s">
        <v>115</v>
      </c>
      <c r="B27" s="796"/>
      <c r="C27" s="696">
        <f ca="1">C22+C16+C26</f>
        <v>1527041.0859270589</v>
      </c>
      <c r="D27" s="696">
        <f t="shared" ref="D27:R27" ca="1" si="3">D22+D16+D26</f>
        <v>11677.5</v>
      </c>
      <c r="E27" s="696">
        <f t="shared" ca="1" si="3"/>
        <v>2571746.2778033204</v>
      </c>
      <c r="F27" s="696">
        <f t="shared" si="3"/>
        <v>64225.995515154733</v>
      </c>
      <c r="G27" s="696">
        <f t="shared" ca="1" si="3"/>
        <v>278567.02094268653</v>
      </c>
      <c r="H27" s="696">
        <f t="shared" si="3"/>
        <v>1818191.0872403106</v>
      </c>
      <c r="I27" s="696">
        <f t="shared" si="3"/>
        <v>264337.44052709913</v>
      </c>
      <c r="J27" s="696">
        <f t="shared" si="3"/>
        <v>0</v>
      </c>
      <c r="K27" s="696">
        <f t="shared" si="3"/>
        <v>1314.3279303653821</v>
      </c>
      <c r="L27" s="696">
        <f t="shared" si="3"/>
        <v>0</v>
      </c>
      <c r="M27" s="696">
        <f t="shared" ca="1" si="3"/>
        <v>0</v>
      </c>
      <c r="N27" s="696">
        <f t="shared" si="3"/>
        <v>94118.808375229899</v>
      </c>
      <c r="O27" s="696">
        <f t="shared" ca="1" si="3"/>
        <v>152276.02475715461</v>
      </c>
      <c r="P27" s="696">
        <f t="shared" si="3"/>
        <v>1389.8033333333335</v>
      </c>
      <c r="Q27" s="696">
        <f t="shared" si="3"/>
        <v>2478.666666666667</v>
      </c>
      <c r="R27" s="696">
        <f t="shared" ca="1" si="3"/>
        <v>6787364.0390183795</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140638.87170752947</v>
      </c>
      <c r="D40" s="686">
        <f ca="1">tertiair!C20</f>
        <v>45.42360846777737</v>
      </c>
      <c r="E40" s="686">
        <f ca="1">tertiair!D20</f>
        <v>180274.26889943719</v>
      </c>
      <c r="F40" s="686">
        <f>tertiair!E20</f>
        <v>1707.4866827072226</v>
      </c>
      <c r="G40" s="686">
        <f ca="1">tertiair!F20</f>
        <v>38448.411865642534</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361114.46276378416</v>
      </c>
    </row>
    <row r="41" spans="1:18">
      <c r="A41" s="814" t="s">
        <v>224</v>
      </c>
      <c r="B41" s="821"/>
      <c r="C41" s="686">
        <f ca="1">huishoudens!B12</f>
        <v>78569.061662724009</v>
      </c>
      <c r="D41" s="686">
        <f ca="1">huishoudens!C12</f>
        <v>0</v>
      </c>
      <c r="E41" s="686">
        <f>huishoudens!D12</f>
        <v>248148.37148393178</v>
      </c>
      <c r="F41" s="686">
        <f>huishoudens!E12</f>
        <v>6421.1988216084292</v>
      </c>
      <c r="G41" s="686">
        <f>huishoudens!F12</f>
        <v>0</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333138.63196826424</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79041.178803357659</v>
      </c>
      <c r="D43" s="686">
        <f ca="1">industrie!C22</f>
        <v>936.86192464790815</v>
      </c>
      <c r="E43" s="686">
        <f>industrie!D22</f>
        <v>69868.993936398707</v>
      </c>
      <c r="F43" s="686">
        <f>industrie!E22</f>
        <v>5177.6903371316712</v>
      </c>
      <c r="G43" s="686">
        <f>industrie!F22</f>
        <v>33133.58293044025</v>
      </c>
      <c r="H43" s="686">
        <f>industrie!G22</f>
        <v>0</v>
      </c>
      <c r="I43" s="686">
        <f>industrie!H22</f>
        <v>0</v>
      </c>
      <c r="J43" s="686">
        <f>industrie!I22</f>
        <v>0</v>
      </c>
      <c r="K43" s="686">
        <f>industrie!J22</f>
        <v>303.72456176013958</v>
      </c>
      <c r="L43" s="686">
        <f>industrie!K22</f>
        <v>0</v>
      </c>
      <c r="M43" s="686">
        <f>industrie!L22</f>
        <v>0</v>
      </c>
      <c r="N43" s="686">
        <f>industrie!M22</f>
        <v>0</v>
      </c>
      <c r="O43" s="686">
        <f>industrie!N22</f>
        <v>0</v>
      </c>
      <c r="P43" s="686">
        <f>industrie!O22</f>
        <v>0</v>
      </c>
      <c r="Q43" s="763">
        <f>industrie!P22</f>
        <v>0</v>
      </c>
      <c r="R43" s="841">
        <f t="shared" ca="1" si="4"/>
        <v>188462.03249373636</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298249.11217361112</v>
      </c>
      <c r="D46" s="721">
        <f t="shared" ref="D46:Q46" ca="1" si="5">SUM(D39:D45)</f>
        <v>982.28553311568555</v>
      </c>
      <c r="E46" s="721">
        <f t="shared" ca="1" si="5"/>
        <v>498291.63431976765</v>
      </c>
      <c r="F46" s="721">
        <f t="shared" si="5"/>
        <v>13306.375841447323</v>
      </c>
      <c r="G46" s="721">
        <f t="shared" ca="1" si="5"/>
        <v>71581.994796082785</v>
      </c>
      <c r="H46" s="721">
        <f t="shared" si="5"/>
        <v>0</v>
      </c>
      <c r="I46" s="721">
        <f t="shared" si="5"/>
        <v>0</v>
      </c>
      <c r="J46" s="721">
        <f t="shared" si="5"/>
        <v>0</v>
      </c>
      <c r="K46" s="721">
        <f t="shared" si="5"/>
        <v>303.72456176013958</v>
      </c>
      <c r="L46" s="721">
        <f t="shared" si="5"/>
        <v>0</v>
      </c>
      <c r="M46" s="721">
        <f t="shared" ca="1" si="5"/>
        <v>0</v>
      </c>
      <c r="N46" s="721">
        <f t="shared" si="5"/>
        <v>0</v>
      </c>
      <c r="O46" s="721">
        <f t="shared" ca="1" si="5"/>
        <v>0</v>
      </c>
      <c r="P46" s="721">
        <f t="shared" si="5"/>
        <v>0</v>
      </c>
      <c r="Q46" s="721">
        <f t="shared" si="5"/>
        <v>0</v>
      </c>
      <c r="R46" s="721">
        <f ca="1">SUM(R39:R45)</f>
        <v>882715.12722578482</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1844.8752852058199</v>
      </c>
      <c r="D49" s="686">
        <f ca="1">transport!C58</f>
        <v>0</v>
      </c>
      <c r="E49" s="686">
        <f>transport!D58</f>
        <v>0</v>
      </c>
      <c r="F49" s="686">
        <f>transport!E58</f>
        <v>0</v>
      </c>
      <c r="G49" s="686">
        <f>transport!F58</f>
        <v>0</v>
      </c>
      <c r="H49" s="686">
        <f>transport!G58</f>
        <v>9995.1424512154608</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11840.017736421281</v>
      </c>
    </row>
    <row r="50" spans="1:18">
      <c r="A50" s="817" t="s">
        <v>306</v>
      </c>
      <c r="B50" s="827"/>
      <c r="C50" s="692">
        <f ca="1">transport!B18</f>
        <v>16.967084730484373</v>
      </c>
      <c r="D50" s="692">
        <f>transport!C18</f>
        <v>0</v>
      </c>
      <c r="E50" s="692">
        <f>transport!D18</f>
        <v>28.716084585977434</v>
      </c>
      <c r="F50" s="692">
        <f>transport!E18</f>
        <v>1264.2450781991492</v>
      </c>
      <c r="G50" s="692">
        <f>transport!F18</f>
        <v>0</v>
      </c>
      <c r="H50" s="692">
        <f>transport!G18</f>
        <v>475461.87784194754</v>
      </c>
      <c r="I50" s="692">
        <f>transport!H18</f>
        <v>65820.022691247679</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542591.82878071081</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1861.8423699363043</v>
      </c>
      <c r="D52" s="721">
        <f t="shared" ref="D52:Q52" ca="1" si="6">SUM(D48:D51)</f>
        <v>0</v>
      </c>
      <c r="E52" s="721">
        <f t="shared" si="6"/>
        <v>28.716084585977434</v>
      </c>
      <c r="F52" s="721">
        <f t="shared" si="6"/>
        <v>1264.2450781991492</v>
      </c>
      <c r="G52" s="721">
        <f t="shared" si="6"/>
        <v>0</v>
      </c>
      <c r="H52" s="721">
        <f t="shared" si="6"/>
        <v>485457.02029316302</v>
      </c>
      <c r="I52" s="721">
        <f t="shared" si="6"/>
        <v>65820.022691247679</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554431.84651713213</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608.4800319433507</v>
      </c>
      <c r="D54" s="692">
        <f ca="1">+landbouw!C12</f>
        <v>0</v>
      </c>
      <c r="E54" s="692">
        <f>+landbouw!D12</f>
        <v>1275.521570840652</v>
      </c>
      <c r="F54" s="692">
        <f>+landbouw!E12</f>
        <v>8.6800622936532132</v>
      </c>
      <c r="G54" s="692">
        <f>+landbouw!F12</f>
        <v>2795.3997956145299</v>
      </c>
      <c r="H54" s="692">
        <f>+landbouw!G12</f>
        <v>0</v>
      </c>
      <c r="I54" s="692">
        <f>+landbouw!H12</f>
        <v>0</v>
      </c>
      <c r="J54" s="692">
        <f>+landbouw!I12</f>
        <v>0</v>
      </c>
      <c r="K54" s="692">
        <f>+landbouw!J12</f>
        <v>161.54752558920566</v>
      </c>
      <c r="L54" s="692">
        <f>+landbouw!K12</f>
        <v>0</v>
      </c>
      <c r="M54" s="692">
        <f>+landbouw!L12</f>
        <v>0</v>
      </c>
      <c r="N54" s="692">
        <f>+landbouw!M12</f>
        <v>0</v>
      </c>
      <c r="O54" s="692">
        <f>+landbouw!N12</f>
        <v>0</v>
      </c>
      <c r="P54" s="692">
        <f>+landbouw!O12</f>
        <v>0</v>
      </c>
      <c r="Q54" s="693">
        <f>+landbouw!P12</f>
        <v>0</v>
      </c>
      <c r="R54" s="720">
        <f ca="1">SUM(C54:Q54)</f>
        <v>4849.6289862813919</v>
      </c>
    </row>
    <row r="55" spans="1:18" ht="15" thickBot="1">
      <c r="A55" s="817" t="s">
        <v>856</v>
      </c>
      <c r="B55" s="827"/>
      <c r="C55" s="692">
        <f ca="1">C25*'EF ele_warmte'!B12</f>
        <v>5487.4949737500219</v>
      </c>
      <c r="D55" s="692"/>
      <c r="E55" s="692">
        <f>E25*EF_CO2_aardgas</f>
        <v>19896.876141076365</v>
      </c>
      <c r="F55" s="692"/>
      <c r="G55" s="692"/>
      <c r="H55" s="692"/>
      <c r="I55" s="692"/>
      <c r="J55" s="692"/>
      <c r="K55" s="692"/>
      <c r="L55" s="692"/>
      <c r="M55" s="692"/>
      <c r="N55" s="692"/>
      <c r="O55" s="692"/>
      <c r="P55" s="692"/>
      <c r="Q55" s="693"/>
      <c r="R55" s="720">
        <f ca="1">SUM(C55:Q55)</f>
        <v>25384.371114826386</v>
      </c>
    </row>
    <row r="56" spans="1:18" ht="15.75" thickBot="1">
      <c r="A56" s="815" t="s">
        <v>857</v>
      </c>
      <c r="B56" s="828"/>
      <c r="C56" s="721">
        <f ca="1">SUM(C54:C55)</f>
        <v>6095.9750056933726</v>
      </c>
      <c r="D56" s="721">
        <f t="shared" ref="D56:Q56" ca="1" si="7">SUM(D54:D55)</f>
        <v>0</v>
      </c>
      <c r="E56" s="721">
        <f t="shared" si="7"/>
        <v>21172.397711917016</v>
      </c>
      <c r="F56" s="721">
        <f t="shared" si="7"/>
        <v>8.6800622936532132</v>
      </c>
      <c r="G56" s="721">
        <f t="shared" si="7"/>
        <v>2795.3997956145299</v>
      </c>
      <c r="H56" s="721">
        <f t="shared" si="7"/>
        <v>0</v>
      </c>
      <c r="I56" s="721">
        <f t="shared" si="7"/>
        <v>0</v>
      </c>
      <c r="J56" s="721">
        <f t="shared" si="7"/>
        <v>0</v>
      </c>
      <c r="K56" s="721">
        <f t="shared" si="7"/>
        <v>161.54752558920566</v>
      </c>
      <c r="L56" s="721">
        <f t="shared" si="7"/>
        <v>0</v>
      </c>
      <c r="M56" s="721">
        <f t="shared" si="7"/>
        <v>0</v>
      </c>
      <c r="N56" s="721">
        <f t="shared" si="7"/>
        <v>0</v>
      </c>
      <c r="O56" s="721">
        <f t="shared" si="7"/>
        <v>0</v>
      </c>
      <c r="P56" s="721">
        <f t="shared" si="7"/>
        <v>0</v>
      </c>
      <c r="Q56" s="722">
        <f t="shared" si="7"/>
        <v>0</v>
      </c>
      <c r="R56" s="723">
        <f ca="1">SUM(R54:R55)</f>
        <v>30234.000101107777</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306206.9295492408</v>
      </c>
      <c r="D61" s="729">
        <f t="shared" ref="D61:Q61" ca="1" si="8">D46+D52+D56</f>
        <v>982.28553311568555</v>
      </c>
      <c r="E61" s="729">
        <f t="shared" ca="1" si="8"/>
        <v>519492.74811627064</v>
      </c>
      <c r="F61" s="729">
        <f t="shared" si="8"/>
        <v>14579.300981940127</v>
      </c>
      <c r="G61" s="729">
        <f t="shared" ca="1" si="8"/>
        <v>74377.394591697317</v>
      </c>
      <c r="H61" s="729">
        <f t="shared" si="8"/>
        <v>485457.02029316302</v>
      </c>
      <c r="I61" s="729">
        <f t="shared" si="8"/>
        <v>65820.022691247679</v>
      </c>
      <c r="J61" s="729">
        <f t="shared" si="8"/>
        <v>0</v>
      </c>
      <c r="K61" s="729">
        <f t="shared" si="8"/>
        <v>465.27208734934527</v>
      </c>
      <c r="L61" s="729">
        <f t="shared" si="8"/>
        <v>0</v>
      </c>
      <c r="M61" s="729">
        <f t="shared" ca="1" si="8"/>
        <v>0</v>
      </c>
      <c r="N61" s="729">
        <f t="shared" si="8"/>
        <v>0</v>
      </c>
      <c r="O61" s="729">
        <f t="shared" ca="1" si="8"/>
        <v>0</v>
      </c>
      <c r="P61" s="729">
        <f t="shared" si="8"/>
        <v>0</v>
      </c>
      <c r="Q61" s="729">
        <f t="shared" si="8"/>
        <v>0</v>
      </c>
      <c r="R61" s="729">
        <f ca="1">R46+R52+R56</f>
        <v>1467380.9738440248</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0.20052304575901056</v>
      </c>
      <c r="D63" s="772">
        <f t="shared" ca="1" si="9"/>
        <v>8.4117793458846971E-2</v>
      </c>
      <c r="E63" s="998">
        <f t="shared" ca="1" si="9"/>
        <v>0.20199999999999996</v>
      </c>
      <c r="F63" s="772">
        <f t="shared" si="9"/>
        <v>0.22700000000000004</v>
      </c>
      <c r="G63" s="772">
        <f t="shared" ca="1" si="9"/>
        <v>0.26700000000000007</v>
      </c>
      <c r="H63" s="772">
        <f t="shared" si="9"/>
        <v>0.26700000000000007</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83819.039879999997</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49445.876960765367</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7432.237182677949</v>
      </c>
      <c r="C76" s="739">
        <f>'lokale energieproductie'!B8*IFERROR(SUM(D76:H76)/SUM(D76:O76),0)</f>
        <v>2845.7628173220505</v>
      </c>
      <c r="D76" s="1008">
        <f>'lokale energieproductie'!C8</f>
        <v>451.40983222557327</v>
      </c>
      <c r="E76" s="1009">
        <f>'lokale energieproductie'!D8</f>
        <v>0</v>
      </c>
      <c r="F76" s="1009">
        <f>'lokale energieproductie'!E8</f>
        <v>2896.5464234474275</v>
      </c>
      <c r="G76" s="1009">
        <f>'lokale energieproductie'!F8</f>
        <v>0</v>
      </c>
      <c r="H76" s="1009">
        <f>'lokale energieproductie'!G8</f>
        <v>0</v>
      </c>
      <c r="I76" s="1009">
        <f>'lokale energieproductie'!I8</f>
        <v>8743.8084502093516</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864.56268117002901</v>
      </c>
      <c r="R76" s="844">
        <v>0</v>
      </c>
    </row>
    <row r="77" spans="1:18" ht="30.75" thickBot="1">
      <c r="A77" s="742" t="s">
        <v>352</v>
      </c>
      <c r="B77" s="739">
        <f>'lokale energieproductie'!B9*IFERROR(SUM(I77:O77)/SUM(D77:O77),0)</f>
        <v>1858.5</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5310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142555.65402344332</v>
      </c>
      <c r="C78" s="744">
        <f>SUM(C72:C77)</f>
        <v>2845.7628173220505</v>
      </c>
      <c r="D78" s="745">
        <f t="shared" ref="D78:H78" si="10">SUM(D76:D77)</f>
        <v>451.40983222557327</v>
      </c>
      <c r="E78" s="745">
        <f t="shared" si="10"/>
        <v>0</v>
      </c>
      <c r="F78" s="745">
        <f t="shared" si="10"/>
        <v>2896.5464234474275</v>
      </c>
      <c r="G78" s="745">
        <f t="shared" si="10"/>
        <v>0</v>
      </c>
      <c r="H78" s="745">
        <f t="shared" si="10"/>
        <v>0</v>
      </c>
      <c r="I78" s="745">
        <f>SUM(I76:I77)</f>
        <v>8743.8084502093516</v>
      </c>
      <c r="J78" s="745">
        <f>SUM(J76:J77)</f>
        <v>5310</v>
      </c>
      <c r="K78" s="745">
        <f t="shared" ref="K78:L78" si="11">SUM(K76:K77)</f>
        <v>0</v>
      </c>
      <c r="L78" s="745">
        <f t="shared" si="11"/>
        <v>0</v>
      </c>
      <c r="M78" s="745">
        <f>SUM(M76:M77)</f>
        <v>0</v>
      </c>
      <c r="N78" s="745">
        <f>SUM(N76:N77)</f>
        <v>0</v>
      </c>
      <c r="O78" s="852">
        <f>SUM(O76:O77)</f>
        <v>0</v>
      </c>
      <c r="P78" s="746">
        <v>0</v>
      </c>
      <c r="Q78" s="746">
        <f>SUM(Q76:Q77)</f>
        <v>864.56268117002901</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8444.2449601791923</v>
      </c>
      <c r="C87" s="755">
        <f>'lokale energieproductie'!B17*IFERROR(SUM(D87:H87)/SUM(D87:O87),0)</f>
        <v>3233.2550398208064</v>
      </c>
      <c r="D87" s="766">
        <f>'lokale energieproductie'!C17</f>
        <v>512.87588206014129</v>
      </c>
      <c r="E87" s="766">
        <f>'lokale energieproductie'!D17</f>
        <v>0</v>
      </c>
      <c r="F87" s="766">
        <f>'lokale energieproductie'!E17</f>
        <v>3290.9535765525725</v>
      </c>
      <c r="G87" s="766">
        <f>'lokale energieproductie'!F17</f>
        <v>0</v>
      </c>
      <c r="H87" s="766">
        <f>'lokale energieproductie'!G17</f>
        <v>0</v>
      </c>
      <c r="I87" s="766">
        <f>'lokale energieproductie'!I17</f>
        <v>9934.4058355049347</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982.28553311568544</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8444.2449601791923</v>
      </c>
      <c r="C90" s="744">
        <f>SUM(C87:C89)</f>
        <v>3233.2550398208064</v>
      </c>
      <c r="D90" s="744">
        <f t="shared" ref="D90:H90" si="12">SUM(D87:D89)</f>
        <v>512.87588206014129</v>
      </c>
      <c r="E90" s="744">
        <f t="shared" si="12"/>
        <v>0</v>
      </c>
      <c r="F90" s="744">
        <f t="shared" si="12"/>
        <v>3290.9535765525725</v>
      </c>
      <c r="G90" s="744">
        <f t="shared" si="12"/>
        <v>0</v>
      </c>
      <c r="H90" s="744">
        <f t="shared" si="12"/>
        <v>0</v>
      </c>
      <c r="I90" s="744">
        <f>SUM(I87:I89)</f>
        <v>9934.4058355049347</v>
      </c>
      <c r="J90" s="744">
        <f>SUM(J87:J89)</f>
        <v>0</v>
      </c>
      <c r="K90" s="744">
        <f t="shared" ref="K90:L90" si="13">SUM(K87:K89)</f>
        <v>0</v>
      </c>
      <c r="L90" s="744">
        <f t="shared" si="13"/>
        <v>0</v>
      </c>
      <c r="M90" s="744">
        <f>SUM(M87:M89)</f>
        <v>0</v>
      </c>
      <c r="N90" s="744">
        <f>SUM(N87:N89)</f>
        <v>0</v>
      </c>
      <c r="O90" s="744">
        <f>SUM(O87:O89)</f>
        <v>0</v>
      </c>
      <c r="P90" s="744">
        <v>0</v>
      </c>
      <c r="Q90" s="744">
        <f>SUM(Q87:Q89)</f>
        <v>982.28553311568544</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4"/>
  <sheetViews>
    <sheetView showGridLines="0" topLeftCell="A267" zoomScale="65" zoomScaleNormal="65" workbookViewId="0">
      <selection activeCell="M31" sqref="M31"/>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83819.039879999997</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49445.876960765367</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N32</f>
        <v>10278</v>
      </c>
      <c r="C8" s="556">
        <f>B51</f>
        <v>451.40983222557327</v>
      </c>
      <c r="D8" s="1015"/>
      <c r="E8" s="1015">
        <f>E51</f>
        <v>2896.5464234474275</v>
      </c>
      <c r="F8" s="1016"/>
      <c r="G8" s="557"/>
      <c r="H8" s="1015">
        <f>I51</f>
        <v>0</v>
      </c>
      <c r="I8" s="1015">
        <f>G51+F51</f>
        <v>8743.8084502093516</v>
      </c>
      <c r="J8" s="1015">
        <f>H51+D51+C51</f>
        <v>0</v>
      </c>
      <c r="K8" s="1015"/>
      <c r="L8" s="1015"/>
      <c r="M8" s="1015"/>
      <c r="N8" s="558"/>
      <c r="O8" s="559">
        <f>C8*$C$12+D8*$D$12+E8*$E$12+F8*$F$12+G8*$G$12+H8*$H$12+I8*$I$12+J8*$J$12</f>
        <v>864.56268117002901</v>
      </c>
      <c r="P8" s="1254"/>
      <c r="Q8" s="1255"/>
      <c r="S8" s="1027"/>
      <c r="T8" s="1275"/>
      <c r="U8" s="1275"/>
    </row>
    <row r="9" spans="1:21" s="544" customFormat="1" ht="17.45" customHeight="1" thickBot="1">
      <c r="A9" s="560" t="s">
        <v>247</v>
      </c>
      <c r="B9" s="561">
        <f>N39+'Eigen informatie GS &amp; warmtenet'!B12</f>
        <v>1858.5</v>
      </c>
      <c r="C9" s="562">
        <f>P39+IF(ISERROR(('Eigen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(T39+U39)+IF(ISERROR('Eigen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V39+Q39+R39+IF(ISERROR('Eigen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5310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145401.41684076536</v>
      </c>
      <c r="C10" s="569">
        <f t="shared" ref="C10:L10" si="0">SUM(C8:C9)</f>
        <v>451.40983222557327</v>
      </c>
      <c r="D10" s="569">
        <f t="shared" si="0"/>
        <v>0</v>
      </c>
      <c r="E10" s="569">
        <f t="shared" si="0"/>
        <v>2896.5464234474275</v>
      </c>
      <c r="F10" s="569">
        <f t="shared" si="0"/>
        <v>0</v>
      </c>
      <c r="G10" s="569">
        <f t="shared" si="0"/>
        <v>0</v>
      </c>
      <c r="H10" s="569">
        <f t="shared" si="0"/>
        <v>0</v>
      </c>
      <c r="I10" s="569">
        <f t="shared" si="0"/>
        <v>8743.8084502093516</v>
      </c>
      <c r="J10" s="569">
        <f t="shared" si="0"/>
        <v>5310</v>
      </c>
      <c r="K10" s="569">
        <f t="shared" si="0"/>
        <v>0</v>
      </c>
      <c r="L10" s="569">
        <f t="shared" si="0"/>
        <v>0</v>
      </c>
      <c r="M10" s="1018"/>
      <c r="N10" s="1018"/>
      <c r="O10" s="570">
        <f>SUM(O4:O9)</f>
        <v>864.56268117002901</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O32</f>
        <v>11677.5</v>
      </c>
      <c r="C17" s="581">
        <f>B52</f>
        <v>512.87588206014129</v>
      </c>
      <c r="D17" s="582"/>
      <c r="E17" s="582">
        <f>E52</f>
        <v>3290.9535765525725</v>
      </c>
      <c r="F17" s="1021"/>
      <c r="G17" s="583"/>
      <c r="H17" s="581">
        <f>I52</f>
        <v>0</v>
      </c>
      <c r="I17" s="582">
        <f>G52+F52</f>
        <v>9934.4058355049347</v>
      </c>
      <c r="J17" s="582">
        <f>H52+D52+C52</f>
        <v>0</v>
      </c>
      <c r="K17" s="582"/>
      <c r="L17" s="582"/>
      <c r="M17" s="582"/>
      <c r="N17" s="1022"/>
      <c r="O17" s="584">
        <f>C17*$C$22+E17*$E$22+H17*$H$22+I17*$I$22+J17*$J$22+D17*$D$22+F17*$F$22+G17*$G$22+K17*$K$22+L17*$L$22</f>
        <v>982.28553311568544</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11677.5</v>
      </c>
      <c r="C20" s="568">
        <f>SUM(C17:C19)</f>
        <v>512.87588206014129</v>
      </c>
      <c r="D20" s="568">
        <f t="shared" ref="D20:L20" si="1">SUM(D17:D19)</f>
        <v>0</v>
      </c>
      <c r="E20" s="568">
        <f t="shared" si="1"/>
        <v>3290.9535765525725</v>
      </c>
      <c r="F20" s="568">
        <f t="shared" si="1"/>
        <v>0</v>
      </c>
      <c r="G20" s="568">
        <f t="shared" si="1"/>
        <v>0</v>
      </c>
      <c r="H20" s="568">
        <f t="shared" si="1"/>
        <v>0</v>
      </c>
      <c r="I20" s="568">
        <f t="shared" si="1"/>
        <v>9934.4058355049347</v>
      </c>
      <c r="J20" s="568">
        <f t="shared" si="1"/>
        <v>0</v>
      </c>
      <c r="K20" s="568">
        <f t="shared" si="1"/>
        <v>0</v>
      </c>
      <c r="L20" s="568">
        <f t="shared" si="1"/>
        <v>0</v>
      </c>
      <c r="M20" s="568"/>
      <c r="N20" s="568"/>
      <c r="O20" s="588">
        <f>SUM(O17:O19)</f>
        <v>982.28553311568544</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38.25">
      <c r="A28" s="592"/>
      <c r="B28" s="787">
        <v>44021</v>
      </c>
      <c r="C28" s="787">
        <v>9042</v>
      </c>
      <c r="D28" s="640" t="s">
        <v>920</v>
      </c>
      <c r="E28" s="639" t="s">
        <v>921</v>
      </c>
      <c r="F28" s="639" t="s">
        <v>922</v>
      </c>
      <c r="G28" s="639" t="s">
        <v>923</v>
      </c>
      <c r="H28" s="639" t="s">
        <v>924</v>
      </c>
      <c r="I28" s="639" t="s">
        <v>925</v>
      </c>
      <c r="J28" s="786">
        <v>39812</v>
      </c>
      <c r="K28" s="786">
        <v>39812</v>
      </c>
      <c r="L28" s="639" t="s">
        <v>926</v>
      </c>
      <c r="M28" s="639">
        <v>2200</v>
      </c>
      <c r="N28" s="639">
        <v>9900</v>
      </c>
      <c r="O28" s="639">
        <v>11137.5</v>
      </c>
      <c r="P28" s="639">
        <v>0</v>
      </c>
      <c r="Q28" s="639">
        <v>0</v>
      </c>
      <c r="R28" s="639">
        <v>0</v>
      </c>
      <c r="S28" s="639">
        <v>6187.5</v>
      </c>
      <c r="T28" s="639">
        <v>18562.5</v>
      </c>
      <c r="U28" s="639">
        <v>0</v>
      </c>
      <c r="V28" s="639">
        <v>0</v>
      </c>
      <c r="W28" s="639">
        <v>0</v>
      </c>
      <c r="X28" s="639">
        <v>300</v>
      </c>
      <c r="Y28" s="639" t="s">
        <v>33</v>
      </c>
      <c r="Z28" s="641" t="s">
        <v>389</v>
      </c>
    </row>
    <row r="29" spans="1:26" s="593" customFormat="1" ht="63.75">
      <c r="A29" s="592"/>
      <c r="B29" s="787">
        <v>44021</v>
      </c>
      <c r="C29" s="787">
        <v>9031</v>
      </c>
      <c r="D29" s="640" t="s">
        <v>927</v>
      </c>
      <c r="E29" s="639" t="s">
        <v>928</v>
      </c>
      <c r="F29" s="639" t="s">
        <v>929</v>
      </c>
      <c r="G29" s="639" t="s">
        <v>923</v>
      </c>
      <c r="H29" s="639" t="s">
        <v>930</v>
      </c>
      <c r="I29" s="639" t="s">
        <v>928</v>
      </c>
      <c r="J29" s="786">
        <v>40096</v>
      </c>
      <c r="K29" s="786">
        <v>40179</v>
      </c>
      <c r="L29" s="639" t="s">
        <v>926</v>
      </c>
      <c r="M29" s="639">
        <v>9</v>
      </c>
      <c r="N29" s="639">
        <v>40.5</v>
      </c>
      <c r="O29" s="639">
        <v>57.857142857142861</v>
      </c>
      <c r="P29" s="639">
        <v>0</v>
      </c>
      <c r="Q29" s="639">
        <v>0</v>
      </c>
      <c r="R29" s="639">
        <v>0</v>
      </c>
      <c r="S29" s="639">
        <v>0</v>
      </c>
      <c r="T29" s="639">
        <v>0</v>
      </c>
      <c r="U29" s="639">
        <v>115.71428571428572</v>
      </c>
      <c r="V29" s="639">
        <v>0</v>
      </c>
      <c r="W29" s="639">
        <v>0</v>
      </c>
      <c r="X29" s="639">
        <v>1600</v>
      </c>
      <c r="Y29" s="639" t="s">
        <v>49</v>
      </c>
      <c r="Z29" s="641" t="s">
        <v>155</v>
      </c>
    </row>
    <row r="30" spans="1:26" s="593" customFormat="1" ht="25.5">
      <c r="A30" s="592"/>
      <c r="B30" s="787">
        <v>44021</v>
      </c>
      <c r="C30" s="787">
        <v>9000</v>
      </c>
      <c r="D30" s="640" t="s">
        <v>931</v>
      </c>
      <c r="E30" s="639" t="s">
        <v>932</v>
      </c>
      <c r="F30" s="639" t="s">
        <v>933</v>
      </c>
      <c r="G30" s="639" t="s">
        <v>923</v>
      </c>
      <c r="H30" s="639" t="s">
        <v>930</v>
      </c>
      <c r="I30" s="639" t="s">
        <v>932</v>
      </c>
      <c r="J30" s="786">
        <v>40928</v>
      </c>
      <c r="K30" s="786">
        <v>41030</v>
      </c>
      <c r="L30" s="639" t="s">
        <v>926</v>
      </c>
      <c r="M30" s="639">
        <v>5</v>
      </c>
      <c r="N30" s="639">
        <v>22.5</v>
      </c>
      <c r="O30" s="639">
        <v>32.142857142857146</v>
      </c>
      <c r="P30" s="639">
        <v>64.285714285714292</v>
      </c>
      <c r="Q30" s="639">
        <v>0</v>
      </c>
      <c r="R30" s="639">
        <v>0</v>
      </c>
      <c r="S30" s="639">
        <v>0</v>
      </c>
      <c r="T30" s="639">
        <v>0</v>
      </c>
      <c r="U30" s="639">
        <v>0</v>
      </c>
      <c r="V30" s="639">
        <v>0</v>
      </c>
      <c r="W30" s="639">
        <v>0</v>
      </c>
      <c r="X30" s="639">
        <v>1300</v>
      </c>
      <c r="Y30" s="639" t="s">
        <v>53</v>
      </c>
      <c r="Z30" s="641" t="s">
        <v>155</v>
      </c>
    </row>
    <row r="31" spans="1:26" s="593" customFormat="1" ht="25.5">
      <c r="A31" s="592"/>
      <c r="B31" s="787">
        <v>44021</v>
      </c>
      <c r="C31" s="787">
        <v>9040</v>
      </c>
      <c r="D31" s="640" t="s">
        <v>934</v>
      </c>
      <c r="E31" s="639" t="s">
        <v>935</v>
      </c>
      <c r="F31" s="639" t="s">
        <v>936</v>
      </c>
      <c r="G31" s="639" t="s">
        <v>923</v>
      </c>
      <c r="H31" s="639" t="s">
        <v>930</v>
      </c>
      <c r="I31" s="639" t="s">
        <v>935</v>
      </c>
      <c r="J31" s="786">
        <v>41003</v>
      </c>
      <c r="K31" s="786">
        <v>41003</v>
      </c>
      <c r="L31" s="639" t="s">
        <v>926</v>
      </c>
      <c r="M31" s="639">
        <v>70</v>
      </c>
      <c r="N31" s="639">
        <v>315.00000000000006</v>
      </c>
      <c r="O31" s="639">
        <v>450.00000000000011</v>
      </c>
      <c r="P31" s="639">
        <v>900.00000000000023</v>
      </c>
      <c r="Q31" s="639">
        <v>0</v>
      </c>
      <c r="R31" s="639">
        <v>0</v>
      </c>
      <c r="S31" s="639">
        <v>0</v>
      </c>
      <c r="T31" s="639">
        <v>0</v>
      </c>
      <c r="U31" s="639">
        <v>0</v>
      </c>
      <c r="V31" s="639">
        <v>0</v>
      </c>
      <c r="W31" s="639">
        <v>0</v>
      </c>
      <c r="X31" s="639">
        <v>1300</v>
      </c>
      <c r="Y31" s="639" t="s">
        <v>53</v>
      </c>
      <c r="Z31" s="641" t="s">
        <v>155</v>
      </c>
    </row>
    <row r="32" spans="1:26" s="576" customFormat="1">
      <c r="A32" s="595" t="s">
        <v>279</v>
      </c>
      <c r="B32" s="596"/>
      <c r="C32" s="596"/>
      <c r="D32" s="596"/>
      <c r="E32" s="596"/>
      <c r="F32" s="596"/>
      <c r="G32" s="596"/>
      <c r="H32" s="596"/>
      <c r="I32" s="596"/>
      <c r="J32" s="596"/>
      <c r="K32" s="596"/>
      <c r="L32" s="597"/>
      <c r="M32" s="597">
        <f>SUM(M28:M31)</f>
        <v>2284</v>
      </c>
      <c r="N32" s="597">
        <f>SUM(N28:N31)</f>
        <v>10278</v>
      </c>
      <c r="O32" s="597">
        <f>SUM(O28:O31)</f>
        <v>11677.5</v>
      </c>
      <c r="P32" s="597">
        <f>SUM(P28:P31)</f>
        <v>964.28571428571456</v>
      </c>
      <c r="Q32" s="597">
        <f>SUM(Q28:Q31)</f>
        <v>0</v>
      </c>
      <c r="R32" s="597">
        <f>SUM(R28:R31)</f>
        <v>0</v>
      </c>
      <c r="S32" s="597">
        <f>SUM(S28:S31)</f>
        <v>6187.5</v>
      </c>
      <c r="T32" s="597">
        <f>SUM(T28:T31)</f>
        <v>18562.5</v>
      </c>
      <c r="U32" s="597">
        <f>SUM(U28:U31)</f>
        <v>115.71428571428572</v>
      </c>
      <c r="V32" s="597">
        <f>SUM(V28:V31)</f>
        <v>0</v>
      </c>
      <c r="W32" s="597">
        <f>SUM(W28:W31)</f>
        <v>0</v>
      </c>
      <c r="X32" s="598"/>
      <c r="Y32" s="598"/>
      <c r="Z32" s="599"/>
    </row>
    <row r="33" spans="1:27" s="576" customFormat="1">
      <c r="A33" s="595" t="s">
        <v>286</v>
      </c>
      <c r="B33" s="596"/>
      <c r="C33" s="596"/>
      <c r="D33" s="596"/>
      <c r="E33" s="596"/>
      <c r="F33" s="596"/>
      <c r="G33" s="596"/>
      <c r="H33" s="596"/>
      <c r="I33" s="596"/>
      <c r="J33" s="596"/>
      <c r="K33" s="596"/>
      <c r="L33" s="597"/>
      <c r="M33" s="597">
        <f>SUMIF($Z$28:$Z$31,"industrie",M28:M31)</f>
        <v>2200</v>
      </c>
      <c r="N33" s="597">
        <f>SUMIF($Z$28:$Z$31,"industrie",N28:N31)</f>
        <v>9900</v>
      </c>
      <c r="O33" s="597">
        <f>SUMIF($Z$28:$Z$31,"industrie",O28:O31)</f>
        <v>11137.5</v>
      </c>
      <c r="P33" s="597">
        <f>SUMIF($Z$28:$Z$31,"industrie",P28:P31)</f>
        <v>0</v>
      </c>
      <c r="Q33" s="597">
        <f>SUMIF($Z$28:$Z$31,"industrie",Q28:Q31)</f>
        <v>0</v>
      </c>
      <c r="R33" s="597">
        <f>SUMIF($Z$28:$Z$31,"industrie",R28:R31)</f>
        <v>0</v>
      </c>
      <c r="S33" s="597">
        <f>SUMIF($Z$28:$Z$31,"industrie",S28:S31)</f>
        <v>6187.5</v>
      </c>
      <c r="T33" s="597">
        <f>SUMIF($Z$28:$Z$31,"industrie",T28:T31)</f>
        <v>18562.5</v>
      </c>
      <c r="U33" s="597">
        <f>SUMIF($Z$28:$Z$31,"industrie",U28:U31)</f>
        <v>0</v>
      </c>
      <c r="V33" s="597">
        <f>SUMIF($Z$28:$Z$31,"industrie",V28:V31)</f>
        <v>0</v>
      </c>
      <c r="W33" s="597">
        <f>SUMIF($Z$28:$Z$31,"industrie",W28:W31)</f>
        <v>0</v>
      </c>
      <c r="X33" s="598"/>
      <c r="Y33" s="598"/>
      <c r="Z33" s="599"/>
    </row>
    <row r="34" spans="1:27" s="576" customFormat="1">
      <c r="A34" s="595" t="s">
        <v>287</v>
      </c>
      <c r="B34" s="596"/>
      <c r="C34" s="596"/>
      <c r="D34" s="596"/>
      <c r="E34" s="596"/>
      <c r="F34" s="596"/>
      <c r="G34" s="596"/>
      <c r="H34" s="596"/>
      <c r="I34" s="596"/>
      <c r="J34" s="596"/>
      <c r="K34" s="596"/>
      <c r="L34" s="597"/>
      <c r="M34" s="597">
        <f ca="1">SUMIF($Z$28:AC31,"tertiair",M28:M31)</f>
        <v>84</v>
      </c>
      <c r="N34" s="597">
        <f ca="1">SUMIF($Z$28:AD31,"tertiair",N28:N31)</f>
        <v>378.00000000000006</v>
      </c>
      <c r="O34" s="597">
        <f ca="1">SUMIF($Z$28:AE31,"tertiair",O28:O31)</f>
        <v>540.00000000000011</v>
      </c>
      <c r="P34" s="597">
        <f ca="1">SUMIF($Z$28:AF31,"tertiair",P28:P31)</f>
        <v>964.28571428571456</v>
      </c>
      <c r="Q34" s="597">
        <f ca="1">SUMIF($Z$28:AG31,"tertiair",Q28:Q31)</f>
        <v>0</v>
      </c>
      <c r="R34" s="597">
        <f ca="1">SUMIF($Z$28:AH31,"tertiair",R28:R31)</f>
        <v>0</v>
      </c>
      <c r="S34" s="597">
        <f ca="1">SUMIF($Z$28:AI31,"tertiair",S28:S31)</f>
        <v>0</v>
      </c>
      <c r="T34" s="597">
        <f ca="1">SUMIF($Z$28:AJ31,"tertiair",T28:T31)</f>
        <v>0</v>
      </c>
      <c r="U34" s="597">
        <f ca="1">SUMIF($Z$28:AK31,"tertiair",U28:U31)</f>
        <v>115.71428571428572</v>
      </c>
      <c r="V34" s="597">
        <f ca="1">SUMIF($Z$28:AL31,"tertiair",V28:V31)</f>
        <v>0</v>
      </c>
      <c r="W34" s="597">
        <f ca="1">SUMIF($Z$28:AM31,"tertiair",W28:W31)</f>
        <v>0</v>
      </c>
      <c r="X34" s="598"/>
      <c r="Y34" s="598"/>
      <c r="Z34" s="599"/>
    </row>
    <row r="35" spans="1:27" s="576" customFormat="1" ht="15.75" thickBot="1">
      <c r="A35" s="600" t="s">
        <v>288</v>
      </c>
      <c r="B35" s="601"/>
      <c r="C35" s="601"/>
      <c r="D35" s="601"/>
      <c r="E35" s="601"/>
      <c r="F35" s="601"/>
      <c r="G35" s="601"/>
      <c r="H35" s="601"/>
      <c r="I35" s="601"/>
      <c r="J35" s="601"/>
      <c r="K35" s="601"/>
      <c r="L35" s="602"/>
      <c r="M35" s="602">
        <f>SUMIF($Z$28:$Z$31,"landbouw",M28:M31)</f>
        <v>0</v>
      </c>
      <c r="N35" s="602">
        <f>SUMIF($Z$28:$Z$31,"landbouw",N28:N31)</f>
        <v>0</v>
      </c>
      <c r="O35" s="602">
        <f>SUMIF($Z$28:$Z$31,"landbouw",O28:O31)</f>
        <v>0</v>
      </c>
      <c r="P35" s="602">
        <f>SUMIF($Z$28:$Z$31,"landbouw",P28:P31)</f>
        <v>0</v>
      </c>
      <c r="Q35" s="602">
        <f>SUMIF($Z$28:$Z$31,"landbouw",Q28:Q31)</f>
        <v>0</v>
      </c>
      <c r="R35" s="602">
        <f>SUMIF($Z$28:$Z$31,"landbouw",R28:R31)</f>
        <v>0</v>
      </c>
      <c r="S35" s="602">
        <f>SUMIF($Z$28:$Z$31,"landbouw",S28:S31)</f>
        <v>0</v>
      </c>
      <c r="T35" s="602">
        <f>SUMIF($Z$28:$Z$31,"landbouw",T28:T31)</f>
        <v>0</v>
      </c>
      <c r="U35" s="602">
        <f>SUMIF($Z$28:$Z$31,"landbouw",U28:U31)</f>
        <v>0</v>
      </c>
      <c r="V35" s="602">
        <f>SUMIF($Z$28:$Z$31,"landbouw",V28:V31)</f>
        <v>0</v>
      </c>
      <c r="W35" s="602">
        <f>SUMIF($Z$28:$Z$31,"landbouw",W28:W31)</f>
        <v>0</v>
      </c>
      <c r="X35" s="603"/>
      <c r="Y35" s="603"/>
      <c r="Z35" s="604"/>
    </row>
    <row r="36" spans="1:27" s="544" customFormat="1" ht="15.75" thickBot="1">
      <c r="A36" s="605"/>
      <c r="B36" s="606"/>
      <c r="C36" s="606"/>
      <c r="D36" s="606"/>
      <c r="E36" s="606"/>
      <c r="F36" s="606"/>
      <c r="G36" s="606"/>
      <c r="H36" s="606"/>
      <c r="I36" s="606"/>
      <c r="J36" s="606"/>
      <c r="K36" s="606"/>
      <c r="L36" s="589"/>
      <c r="M36" s="589"/>
      <c r="N36" s="589"/>
      <c r="O36" s="590"/>
      <c r="P36" s="590"/>
    </row>
    <row r="37" spans="1:27" s="544" customFormat="1" ht="45">
      <c r="A37" s="607" t="s">
        <v>280</v>
      </c>
      <c r="B37" s="636" t="s">
        <v>89</v>
      </c>
      <c r="C37" s="636" t="s">
        <v>90</v>
      </c>
      <c r="D37" s="636" t="s">
        <v>91</v>
      </c>
      <c r="E37" s="636" t="s">
        <v>92</v>
      </c>
      <c r="F37" s="636" t="s">
        <v>93</v>
      </c>
      <c r="G37" s="636" t="s">
        <v>94</v>
      </c>
      <c r="H37" s="636" t="s">
        <v>95</v>
      </c>
      <c r="I37" s="636" t="s">
        <v>96</v>
      </c>
      <c r="J37" s="636" t="s">
        <v>97</v>
      </c>
      <c r="K37" s="636" t="s">
        <v>98</v>
      </c>
      <c r="L37" s="636" t="s">
        <v>99</v>
      </c>
      <c r="M37" s="637" t="s">
        <v>297</v>
      </c>
      <c r="N37" s="637" t="s">
        <v>100</v>
      </c>
      <c r="O37" s="637" t="s">
        <v>101</v>
      </c>
      <c r="P37" s="637" t="s">
        <v>546</v>
      </c>
      <c r="Q37" s="637" t="s">
        <v>102</v>
      </c>
      <c r="R37" s="637" t="s">
        <v>103</v>
      </c>
      <c r="S37" s="637" t="s">
        <v>104</v>
      </c>
      <c r="T37" s="637" t="s">
        <v>105</v>
      </c>
      <c r="U37" s="637" t="s">
        <v>106</v>
      </c>
      <c r="V37" s="637" t="s">
        <v>107</v>
      </c>
      <c r="W37" s="636" t="s">
        <v>108</v>
      </c>
      <c r="X37" s="636" t="s">
        <v>298</v>
      </c>
      <c r="Y37" s="636" t="s">
        <v>109</v>
      </c>
      <c r="Z37" s="638" t="s">
        <v>299</v>
      </c>
    </row>
    <row r="38" spans="1:27" s="608" customFormat="1" ht="63.75">
      <c r="A38" s="594"/>
      <c r="B38" s="787">
        <v>44021</v>
      </c>
      <c r="C38" s="787">
        <v>9000</v>
      </c>
      <c r="D38" s="642" t="s">
        <v>937</v>
      </c>
      <c r="E38" s="642" t="s">
        <v>938</v>
      </c>
      <c r="F38" s="642" t="s">
        <v>939</v>
      </c>
      <c r="G38" s="642" t="s">
        <v>940</v>
      </c>
      <c r="H38" s="642" t="s">
        <v>941</v>
      </c>
      <c r="I38" s="642" t="s">
        <v>942</v>
      </c>
      <c r="J38" s="786">
        <v>38292</v>
      </c>
      <c r="K38" s="786">
        <v>38687</v>
      </c>
      <c r="L38" s="642" t="s">
        <v>943</v>
      </c>
      <c r="M38" s="642">
        <v>413</v>
      </c>
      <c r="N38" s="642">
        <v>1858.5</v>
      </c>
      <c r="O38" s="642">
        <v>0</v>
      </c>
      <c r="P38" s="642">
        <v>0</v>
      </c>
      <c r="Q38" s="642">
        <v>5310</v>
      </c>
      <c r="R38" s="642">
        <v>0</v>
      </c>
      <c r="S38" s="642">
        <v>0</v>
      </c>
      <c r="T38" s="642">
        <v>0</v>
      </c>
      <c r="U38" s="642">
        <v>0</v>
      </c>
      <c r="V38" s="642">
        <v>0</v>
      </c>
      <c r="W38" s="642">
        <v>0</v>
      </c>
      <c r="X38" s="642">
        <v>1600</v>
      </c>
      <c r="Y38" s="642" t="s">
        <v>49</v>
      </c>
      <c r="Z38" s="643" t="s">
        <v>155</v>
      </c>
    </row>
    <row r="39" spans="1:27" s="576" customFormat="1">
      <c r="A39" s="595" t="s">
        <v>279</v>
      </c>
      <c r="B39" s="596"/>
      <c r="C39" s="596"/>
      <c r="D39" s="596"/>
      <c r="E39" s="596"/>
      <c r="F39" s="596"/>
      <c r="G39" s="596"/>
      <c r="H39" s="596"/>
      <c r="I39" s="596"/>
      <c r="J39" s="596"/>
      <c r="K39" s="596"/>
      <c r="L39" s="597"/>
      <c r="M39" s="597">
        <f>SUM(M38:M38)</f>
        <v>413</v>
      </c>
      <c r="N39" s="597">
        <f>SUM(N38:N38)</f>
        <v>1858.5</v>
      </c>
      <c r="O39" s="597">
        <f>SUM(O38:O38)</f>
        <v>0</v>
      </c>
      <c r="P39" s="597">
        <f>SUM(P38:P38)</f>
        <v>0</v>
      </c>
      <c r="Q39" s="597">
        <f>SUM(Q38:Q38)</f>
        <v>5310</v>
      </c>
      <c r="R39" s="597">
        <f>SUM(R38:R38)</f>
        <v>0</v>
      </c>
      <c r="S39" s="597">
        <f>SUM(S38:S38)</f>
        <v>0</v>
      </c>
      <c r="T39" s="597">
        <f>SUM(T38:T38)</f>
        <v>0</v>
      </c>
      <c r="U39" s="597">
        <f>SUM(U38:U38)</f>
        <v>0</v>
      </c>
      <c r="V39" s="597">
        <f>SUM(V38:V38)</f>
        <v>0</v>
      </c>
      <c r="W39" s="597">
        <f>SUM(W38:W38)</f>
        <v>0</v>
      </c>
      <c r="X39" s="598"/>
      <c r="Y39" s="598"/>
      <c r="Z39" s="599"/>
    </row>
    <row r="40" spans="1:27" s="576" customFormat="1">
      <c r="A40" s="595" t="s">
        <v>286</v>
      </c>
      <c r="B40" s="596"/>
      <c r="C40" s="596"/>
      <c r="D40" s="596"/>
      <c r="E40" s="596"/>
      <c r="F40" s="596"/>
      <c r="G40" s="596"/>
      <c r="H40" s="596"/>
      <c r="I40" s="596"/>
      <c r="J40" s="596"/>
      <c r="K40" s="596"/>
      <c r="L40" s="597"/>
      <c r="M40" s="597">
        <f>SUMIF($Z$38:$Z$38,"industrie",M38:M38)</f>
        <v>0</v>
      </c>
      <c r="N40" s="597">
        <f>SUMIF($Z$38:$Z$38,"industrie",N38:N38)</f>
        <v>0</v>
      </c>
      <c r="O40" s="597">
        <f>SUMIF($Z$38:$Z$38,"industrie",O38:O38)</f>
        <v>0</v>
      </c>
      <c r="P40" s="597">
        <f>SUMIF($Z$38:$Z$38,"industrie",P38:P38)</f>
        <v>0</v>
      </c>
      <c r="Q40" s="597">
        <f>SUMIF($Z$38:$Z$38,"industrie",Q38:Q38)</f>
        <v>0</v>
      </c>
      <c r="R40" s="597">
        <f>SUMIF($Z$38:$Z$38,"industrie",R38:R38)</f>
        <v>0</v>
      </c>
      <c r="S40" s="597">
        <f>SUMIF($Z$38:$Z$38,"industrie",S38:S38)</f>
        <v>0</v>
      </c>
      <c r="T40" s="597">
        <f>SUMIF($Z$38:$Z$38,"industrie",T38:T38)</f>
        <v>0</v>
      </c>
      <c r="U40" s="597">
        <f>SUMIF($Z$38:$Z$38,"industrie",U38:U38)</f>
        <v>0</v>
      </c>
      <c r="V40" s="597">
        <f>SUMIF($Z$38:$Z$38,"industrie",V38:V38)</f>
        <v>0</v>
      </c>
      <c r="W40" s="597">
        <f>SUMIF($Z$38:$Z$38,"industrie",W38:W38)</f>
        <v>0</v>
      </c>
      <c r="X40" s="598"/>
      <c r="Y40" s="598"/>
      <c r="Z40" s="599"/>
    </row>
    <row r="41" spans="1:27" s="576" customFormat="1">
      <c r="A41" s="595" t="s">
        <v>287</v>
      </c>
      <c r="B41" s="596"/>
      <c r="C41" s="596"/>
      <c r="D41" s="596"/>
      <c r="E41" s="596"/>
      <c r="F41" s="596"/>
      <c r="G41" s="596"/>
      <c r="H41" s="596"/>
      <c r="I41" s="596"/>
      <c r="J41" s="596"/>
      <c r="K41" s="596"/>
      <c r="L41" s="597"/>
      <c r="M41" s="597">
        <f>SUMIF($Z$38:$Z$39,"tertiair",M38:M39)</f>
        <v>413</v>
      </c>
      <c r="N41" s="597">
        <f>SUMIF($Z$38:$Z$39,"tertiair",N38:N39)</f>
        <v>1858.5</v>
      </c>
      <c r="O41" s="597">
        <f>SUMIF($Z$38:$Z$39,"tertiair",O38:O39)</f>
        <v>0</v>
      </c>
      <c r="P41" s="597">
        <f>SUMIF($Z$38:$Z$39,"tertiair",P38:P39)</f>
        <v>0</v>
      </c>
      <c r="Q41" s="597">
        <f>SUMIF($Z$38:$Z$39,"tertiair",Q38:Q39)</f>
        <v>5310</v>
      </c>
      <c r="R41" s="597">
        <f>SUMIF($Z$38:$Z$39,"tertiair",R38:R39)</f>
        <v>0</v>
      </c>
      <c r="S41" s="597">
        <f>SUMIF($Z$38:$Z$39,"tertiair",S38:S39)</f>
        <v>0</v>
      </c>
      <c r="T41" s="597">
        <f>SUMIF($Z$38:$Z$39,"tertiair",T38:T39)</f>
        <v>0</v>
      </c>
      <c r="U41" s="597">
        <f>SUMIF($Z$38:$Z$39,"tertiair",U38:U39)</f>
        <v>0</v>
      </c>
      <c r="V41" s="597">
        <f>SUMIF($Z$38:$Z$39,"tertiair",V38:V39)</f>
        <v>0</v>
      </c>
      <c r="W41" s="597">
        <f>SUMIF($Z$38:$Z$39,"tertiair",W38:W39)</f>
        <v>0</v>
      </c>
      <c r="X41" s="598"/>
      <c r="Y41" s="598"/>
      <c r="Z41" s="599"/>
    </row>
    <row r="42" spans="1:27" s="576" customFormat="1" ht="15.75" thickBot="1">
      <c r="A42" s="600" t="s">
        <v>288</v>
      </c>
      <c r="B42" s="601"/>
      <c r="C42" s="601"/>
      <c r="D42" s="601"/>
      <c r="E42" s="601"/>
      <c r="F42" s="601"/>
      <c r="G42" s="601"/>
      <c r="H42" s="601"/>
      <c r="I42" s="601"/>
      <c r="J42" s="601"/>
      <c r="K42" s="601"/>
      <c r="L42" s="602"/>
      <c r="M42" s="602">
        <f>SUMIF($Z$38:$Z$40,"landbouw",M38:M40)</f>
        <v>0</v>
      </c>
      <c r="N42" s="602">
        <f>SUMIF($Z$38:$Z$40,"landbouw",N38:N40)</f>
        <v>0</v>
      </c>
      <c r="O42" s="602">
        <f>SUMIF($Z$38:$Z$40,"landbouw",O38:O40)</f>
        <v>0</v>
      </c>
      <c r="P42" s="602">
        <f>SUMIF($Z$38:$Z$40,"landbouw",P38:P40)</f>
        <v>0</v>
      </c>
      <c r="Q42" s="602">
        <f>SUMIF($Z$38:$Z$40,"landbouw",Q38:Q40)</f>
        <v>0</v>
      </c>
      <c r="R42" s="602">
        <f>SUMIF($Z$38:$Z$40,"landbouw",R38:R40)</f>
        <v>0</v>
      </c>
      <c r="S42" s="602">
        <f>SUMIF($Z$38:$Z$40,"landbouw",S38:S40)</f>
        <v>0</v>
      </c>
      <c r="T42" s="602">
        <f>SUMIF($Z$38:$Z$40,"landbouw",T38:T40)</f>
        <v>0</v>
      </c>
      <c r="U42" s="602">
        <f>SUMIF($Z$38:$Z$40,"landbouw",U38:U40)</f>
        <v>0</v>
      </c>
      <c r="V42" s="602">
        <f>SUMIF($Z$38:$Z$40,"landbouw",V38:V40)</f>
        <v>0</v>
      </c>
      <c r="W42" s="602">
        <f>SUMIF($Z$38:$Z$40,"landbouw",W38:W40)</f>
        <v>0</v>
      </c>
      <c r="X42" s="603"/>
      <c r="Y42" s="603"/>
      <c r="Z42" s="604"/>
    </row>
    <row r="43" spans="1:27" s="609" customFormat="1">
      <c r="A43" s="605"/>
      <c r="B43" s="589"/>
      <c r="C43" s="589"/>
      <c r="D43" s="589"/>
      <c r="E43" s="589"/>
      <c r="F43" s="589"/>
      <c r="G43" s="589"/>
      <c r="H43" s="589"/>
      <c r="I43" s="589"/>
      <c r="J43" s="589"/>
      <c r="K43" s="589"/>
      <c r="L43" s="589"/>
      <c r="M43" s="589"/>
      <c r="N43" s="589"/>
      <c r="O43" s="589"/>
      <c r="P43" s="589"/>
      <c r="Q43" s="589"/>
      <c r="R43" s="589"/>
      <c r="S43" s="589"/>
      <c r="T43" s="589"/>
      <c r="U43" s="589"/>
      <c r="V43" s="589"/>
      <c r="W43" s="589"/>
      <c r="X43" s="589"/>
      <c r="Y43" s="589"/>
    </row>
    <row r="44" spans="1:27" s="609" customFormat="1" ht="15.75" thickBot="1">
      <c r="A44" s="605"/>
      <c r="B44" s="589"/>
      <c r="C44" s="589"/>
      <c r="D44" s="589"/>
      <c r="E44" s="589"/>
      <c r="F44" s="589"/>
      <c r="G44" s="589"/>
      <c r="H44" s="589"/>
      <c r="I44" s="589"/>
      <c r="J44" s="589"/>
      <c r="K44" s="589"/>
      <c r="L44" s="589"/>
      <c r="M44" s="589"/>
      <c r="N44" s="589"/>
      <c r="O44" s="589"/>
      <c r="P44" s="589"/>
      <c r="Q44" s="589"/>
      <c r="R44" s="589"/>
      <c r="S44" s="589"/>
      <c r="T44" s="589"/>
      <c r="U44" s="589"/>
      <c r="V44" s="589"/>
      <c r="W44" s="589"/>
      <c r="X44" s="589"/>
      <c r="Y44" s="589"/>
      <c r="Z44" s="589"/>
      <c r="AA44" s="589"/>
    </row>
    <row r="45" spans="1:27">
      <c r="A45" s="610" t="s">
        <v>281</v>
      </c>
      <c r="B45" s="611"/>
      <c r="C45" s="611"/>
      <c r="D45" s="611"/>
      <c r="E45" s="611"/>
      <c r="F45" s="611"/>
      <c r="G45" s="611"/>
      <c r="H45" s="611"/>
      <c r="I45" s="612"/>
      <c r="J45" s="613"/>
      <c r="K45" s="613"/>
      <c r="L45" s="614"/>
      <c r="M45" s="614"/>
      <c r="N45" s="614"/>
      <c r="O45" s="614"/>
      <c r="P45" s="614"/>
    </row>
    <row r="46" spans="1:27">
      <c r="A46" s="616"/>
      <c r="B46" s="606"/>
      <c r="C46" s="606"/>
      <c r="D46" s="606"/>
      <c r="E46" s="606"/>
      <c r="F46" s="606"/>
      <c r="G46" s="606"/>
      <c r="H46" s="606"/>
      <c r="I46" s="617"/>
      <c r="J46" s="606"/>
      <c r="K46" s="606"/>
      <c r="L46" s="614"/>
      <c r="M46" s="614"/>
      <c r="N46" s="614"/>
      <c r="O46" s="614"/>
      <c r="P46" s="614"/>
    </row>
    <row r="47" spans="1:27">
      <c r="A47" s="618"/>
      <c r="B47" s="619" t="s">
        <v>282</v>
      </c>
      <c r="C47" s="619" t="s">
        <v>283</v>
      </c>
      <c r="D47" s="619"/>
      <c r="E47" s="619"/>
      <c r="F47" s="619"/>
      <c r="G47" s="619"/>
      <c r="H47" s="619"/>
      <c r="I47" s="620"/>
      <c r="J47" s="619"/>
      <c r="K47" s="619"/>
      <c r="L47" s="619"/>
      <c r="M47" s="619"/>
      <c r="N47" s="619"/>
      <c r="O47" s="619"/>
      <c r="P47" s="614"/>
    </row>
    <row r="48" spans="1:27">
      <c r="A48" s="616" t="s">
        <v>279</v>
      </c>
      <c r="B48" s="621">
        <f>IF(ISERROR(O32/(O32+N32)),0,O32/(O32+N32))</f>
        <v>0.53187128509940562</v>
      </c>
      <c r="C48" s="622">
        <f>IF(ISERROR(N32/(O32+N32)),0,N32/(N32+O32))</f>
        <v>0.46812871490059438</v>
      </c>
      <c r="D48" s="589"/>
      <c r="E48" s="589"/>
      <c r="F48" s="589"/>
      <c r="G48" s="589"/>
      <c r="H48" s="589"/>
      <c r="I48" s="623"/>
      <c r="J48" s="589"/>
      <c r="K48" s="589"/>
      <c r="L48" s="624"/>
      <c r="M48" s="624"/>
      <c r="N48" s="624"/>
      <c r="O48" s="624"/>
      <c r="P48" s="614"/>
    </row>
    <row r="49" spans="1:16">
      <c r="A49" s="616"/>
      <c r="B49" s="625"/>
      <c r="C49" s="625"/>
      <c r="D49" s="625"/>
      <c r="E49" s="625"/>
      <c r="F49" s="625"/>
      <c r="G49" s="625"/>
      <c r="H49" s="625"/>
      <c r="I49" s="626"/>
      <c r="J49" s="625"/>
      <c r="K49" s="625"/>
      <c r="L49" s="627"/>
      <c r="M49" s="627"/>
      <c r="N49" s="627"/>
      <c r="O49" s="627"/>
      <c r="P49" s="614"/>
    </row>
    <row r="50" spans="1:16" ht="30">
      <c r="A50" s="628"/>
      <c r="B50" s="629" t="s">
        <v>546</v>
      </c>
      <c r="C50" s="629" t="s">
        <v>102</v>
      </c>
      <c r="D50" s="629" t="s">
        <v>103</v>
      </c>
      <c r="E50" s="629" t="s">
        <v>104</v>
      </c>
      <c r="F50" s="629" t="s">
        <v>105</v>
      </c>
      <c r="G50" s="629" t="s">
        <v>106</v>
      </c>
      <c r="H50" s="629" t="s">
        <v>107</v>
      </c>
      <c r="I50" s="630" t="s">
        <v>108</v>
      </c>
      <c r="J50" s="619"/>
      <c r="K50" s="619"/>
      <c r="L50" s="627"/>
      <c r="M50" s="627"/>
      <c r="N50" s="627"/>
      <c r="O50" s="614"/>
      <c r="P50" s="614"/>
    </row>
    <row r="51" spans="1:16">
      <c r="A51" s="618" t="s">
        <v>284</v>
      </c>
      <c r="B51" s="631">
        <f t="shared" ref="B51:I51" si="2">$C$48*P32</f>
        <v>451.40983222557327</v>
      </c>
      <c r="C51" s="631">
        <f t="shared" si="2"/>
        <v>0</v>
      </c>
      <c r="D51" s="631">
        <f t="shared" si="2"/>
        <v>0</v>
      </c>
      <c r="E51" s="631">
        <f t="shared" si="2"/>
        <v>2896.5464234474275</v>
      </c>
      <c r="F51" s="631">
        <f t="shared" si="2"/>
        <v>8689.6392703422825</v>
      </c>
      <c r="G51" s="631">
        <f t="shared" si="2"/>
        <v>54.169179867068785</v>
      </c>
      <c r="H51" s="631">
        <f t="shared" si="2"/>
        <v>0</v>
      </c>
      <c r="I51" s="632">
        <f t="shared" si="2"/>
        <v>0</v>
      </c>
      <c r="J51" s="589"/>
      <c r="K51" s="589"/>
      <c r="L51" s="627"/>
      <c r="M51" s="627"/>
      <c r="N51" s="627"/>
      <c r="O51" s="614"/>
      <c r="P51" s="614"/>
    </row>
    <row r="52" spans="1:16" ht="15.75" thickBot="1">
      <c r="A52" s="633" t="s">
        <v>285</v>
      </c>
      <c r="B52" s="634">
        <f t="shared" ref="B52:I52" si="3">$B$48*P32</f>
        <v>512.87588206014129</v>
      </c>
      <c r="C52" s="634">
        <f t="shared" si="3"/>
        <v>0</v>
      </c>
      <c r="D52" s="634">
        <f t="shared" si="3"/>
        <v>0</v>
      </c>
      <c r="E52" s="634">
        <f t="shared" si="3"/>
        <v>3290.9535765525725</v>
      </c>
      <c r="F52" s="634">
        <f t="shared" si="3"/>
        <v>9872.8607296577175</v>
      </c>
      <c r="G52" s="634">
        <f t="shared" si="3"/>
        <v>61.545105847216938</v>
      </c>
      <c r="H52" s="634">
        <f t="shared" si="3"/>
        <v>0</v>
      </c>
      <c r="I52" s="635">
        <f t="shared" si="3"/>
        <v>0</v>
      </c>
      <c r="J52" s="589"/>
      <c r="K52" s="589"/>
      <c r="L52" s="627"/>
      <c r="M52" s="627"/>
      <c r="N52" s="627"/>
      <c r="O52" s="614"/>
      <c r="P52" s="614"/>
    </row>
    <row r="53" spans="1:16">
      <c r="J53" s="574"/>
      <c r="K53" s="574"/>
      <c r="L53" s="574"/>
      <c r="M53" s="574"/>
      <c r="N53" s="574"/>
    </row>
    <row r="54" spans="1:16">
      <c r="J54" s="574"/>
      <c r="K54" s="574"/>
      <c r="L54" s="574"/>
      <c r="M54" s="574"/>
      <c r="N54"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391820.60777766479</v>
      </c>
      <c r="C4" s="458">
        <f>huishoudens!C8</f>
        <v>0</v>
      </c>
      <c r="D4" s="458">
        <f>huishoudens!D8</f>
        <v>1228457.2845739196</v>
      </c>
      <c r="E4" s="458">
        <f>huishoudens!E8</f>
        <v>28287.219478451228</v>
      </c>
      <c r="F4" s="458">
        <f>huishoudens!F8</f>
        <v>0</v>
      </c>
      <c r="G4" s="458">
        <f>huishoudens!G8</f>
        <v>0</v>
      </c>
      <c r="H4" s="458">
        <f>huishoudens!H8</f>
        <v>0</v>
      </c>
      <c r="I4" s="458">
        <f>huishoudens!I8</f>
        <v>0</v>
      </c>
      <c r="J4" s="458">
        <f>huishoudens!J8</f>
        <v>0</v>
      </c>
      <c r="K4" s="458">
        <f>huishoudens!K8</f>
        <v>0</v>
      </c>
      <c r="L4" s="458">
        <f>huishoudens!L8</f>
        <v>0</v>
      </c>
      <c r="M4" s="458">
        <f>huishoudens!M8</f>
        <v>0</v>
      </c>
      <c r="N4" s="458">
        <f>huishoudens!N8</f>
        <v>99592.930871502016</v>
      </c>
      <c r="O4" s="458">
        <f>huishoudens!O8</f>
        <v>1364.7900000000002</v>
      </c>
      <c r="P4" s="459">
        <f>huishoudens!P8</f>
        <v>2211.7333333333336</v>
      </c>
      <c r="Q4" s="460">
        <f>SUM(B4:P4)</f>
        <v>1751734.5660348712</v>
      </c>
    </row>
    <row r="5" spans="1:17">
      <c r="A5" s="457" t="s">
        <v>155</v>
      </c>
      <c r="B5" s="458">
        <f ca="1">tertiair!B16</f>
        <v>686745.99930041609</v>
      </c>
      <c r="C5" s="458">
        <f ca="1">tertiair!C16</f>
        <v>540.00000000000011</v>
      </c>
      <c r="D5" s="458">
        <f ca="1">tertiair!D16</f>
        <v>892446.87573978794</v>
      </c>
      <c r="E5" s="458">
        <f>tertiair!E16</f>
        <v>7521.9677652300552</v>
      </c>
      <c r="F5" s="458">
        <f ca="1">tertiair!F16</f>
        <v>144001.54256794957</v>
      </c>
      <c r="G5" s="458">
        <f>tertiair!G16</f>
        <v>0</v>
      </c>
      <c r="H5" s="458">
        <f>tertiair!H16</f>
        <v>0</v>
      </c>
      <c r="I5" s="458">
        <f>tertiair!I16</f>
        <v>0</v>
      </c>
      <c r="J5" s="458">
        <f>tertiair!J16</f>
        <v>0</v>
      </c>
      <c r="K5" s="458">
        <f>tertiair!K16</f>
        <v>0</v>
      </c>
      <c r="L5" s="458">
        <f ca="1">tertiair!L16</f>
        <v>0</v>
      </c>
      <c r="M5" s="458">
        <f>tertiair!M16</f>
        <v>0</v>
      </c>
      <c r="N5" s="458">
        <f ca="1">tertiair!N16</f>
        <v>32301.910749070201</v>
      </c>
      <c r="O5" s="458">
        <f>tertiair!O16</f>
        <v>25.013333333333335</v>
      </c>
      <c r="P5" s="459">
        <f>tertiair!P16</f>
        <v>266.93333333333334</v>
      </c>
      <c r="Q5" s="457">
        <f t="shared" ref="Q5:Q14" ca="1" si="0">SUM(B5:P5)</f>
        <v>1763850.2427891204</v>
      </c>
    </row>
    <row r="6" spans="1:17">
      <c r="A6" s="457" t="s">
        <v>193</v>
      </c>
      <c r="B6" s="458">
        <f>'openbare verlichting'!B8</f>
        <v>14614.142</v>
      </c>
      <c r="C6" s="458"/>
      <c r="D6" s="458"/>
      <c r="E6" s="458"/>
      <c r="F6" s="458"/>
      <c r="G6" s="458"/>
      <c r="H6" s="458"/>
      <c r="I6" s="458"/>
      <c r="J6" s="458"/>
      <c r="K6" s="458"/>
      <c r="L6" s="458"/>
      <c r="M6" s="458"/>
      <c r="N6" s="458"/>
      <c r="O6" s="458"/>
      <c r="P6" s="459"/>
      <c r="Q6" s="457">
        <f t="shared" si="0"/>
        <v>14614.142</v>
      </c>
    </row>
    <row r="7" spans="1:17">
      <c r="A7" s="457" t="s">
        <v>111</v>
      </c>
      <c r="B7" s="458">
        <f>landbouw!B8</f>
        <v>3034.4643411941011</v>
      </c>
      <c r="C7" s="458">
        <f>landbouw!C8</f>
        <v>0</v>
      </c>
      <c r="D7" s="458">
        <f>landbouw!D8</f>
        <v>6314.4632219834257</v>
      </c>
      <c r="E7" s="458">
        <f>landbouw!E8</f>
        <v>38.238159883934856</v>
      </c>
      <c r="F7" s="458">
        <f>landbouw!F8</f>
        <v>10469.662155859662</v>
      </c>
      <c r="G7" s="458">
        <f>landbouw!G8</f>
        <v>0</v>
      </c>
      <c r="H7" s="458">
        <f>landbouw!H8</f>
        <v>0</v>
      </c>
      <c r="I7" s="458">
        <f>landbouw!I8</f>
        <v>0</v>
      </c>
      <c r="J7" s="458">
        <f>landbouw!J8</f>
        <v>456.34894234238891</v>
      </c>
      <c r="K7" s="458">
        <f>landbouw!K8</f>
        <v>0</v>
      </c>
      <c r="L7" s="458">
        <f>landbouw!L8</f>
        <v>0</v>
      </c>
      <c r="M7" s="458">
        <f>landbouw!M8</f>
        <v>0</v>
      </c>
      <c r="N7" s="458">
        <f>landbouw!N8</f>
        <v>0</v>
      </c>
      <c r="O7" s="458">
        <f>landbouw!O8</f>
        <v>0</v>
      </c>
      <c r="P7" s="459">
        <f>landbouw!P8</f>
        <v>0</v>
      </c>
      <c r="Q7" s="457">
        <f t="shared" si="0"/>
        <v>20313.176821263514</v>
      </c>
    </row>
    <row r="8" spans="1:17">
      <c r="A8" s="457" t="s">
        <v>655</v>
      </c>
      <c r="B8" s="458">
        <f>industrie!B18</f>
        <v>394175.03611205705</v>
      </c>
      <c r="C8" s="458">
        <f>industrie!C18</f>
        <v>11137.5</v>
      </c>
      <c r="D8" s="458">
        <f>industrie!D18</f>
        <v>345886.10859603318</v>
      </c>
      <c r="E8" s="458">
        <f>industrie!E18</f>
        <v>22809.208533619694</v>
      </c>
      <c r="F8" s="458">
        <f>industrie!F18</f>
        <v>124095.81621887733</v>
      </c>
      <c r="G8" s="458">
        <f>industrie!G18</f>
        <v>0</v>
      </c>
      <c r="H8" s="458">
        <f>industrie!H18</f>
        <v>0</v>
      </c>
      <c r="I8" s="458">
        <f>industrie!I18</f>
        <v>0</v>
      </c>
      <c r="J8" s="458">
        <f>industrie!J18</f>
        <v>857.97898802299324</v>
      </c>
      <c r="K8" s="458">
        <f>industrie!K18</f>
        <v>0</v>
      </c>
      <c r="L8" s="458">
        <f>industrie!L18</f>
        <v>0</v>
      </c>
      <c r="M8" s="458">
        <f>industrie!M18</f>
        <v>0</v>
      </c>
      <c r="N8" s="458">
        <f>industrie!N18</f>
        <v>20381.183136582415</v>
      </c>
      <c r="O8" s="458">
        <f>industrie!O18</f>
        <v>0</v>
      </c>
      <c r="P8" s="459">
        <f>industrie!P18</f>
        <v>0</v>
      </c>
      <c r="Q8" s="457">
        <f t="shared" si="0"/>
        <v>919342.83158519259</v>
      </c>
    </row>
    <row r="9" spans="1:17" s="463" customFormat="1">
      <c r="A9" s="461" t="s">
        <v>573</v>
      </c>
      <c r="B9" s="462">
        <f>transport!B14</f>
        <v>84.614138321415112</v>
      </c>
      <c r="C9" s="462">
        <f>transport!C14</f>
        <v>0</v>
      </c>
      <c r="D9" s="462">
        <f>transport!D14</f>
        <v>142.1588345840467</v>
      </c>
      <c r="E9" s="462">
        <f>transport!E14</f>
        <v>5569.3615779698202</v>
      </c>
      <c r="F9" s="462">
        <f>transport!F14</f>
        <v>0</v>
      </c>
      <c r="G9" s="462">
        <f>transport!G14</f>
        <v>1780756.0967863202</v>
      </c>
      <c r="H9" s="462">
        <f>transport!H14</f>
        <v>264337.44052709913</v>
      </c>
      <c r="I9" s="462">
        <f>transport!I14</f>
        <v>0</v>
      </c>
      <c r="J9" s="462">
        <f>transport!J14</f>
        <v>0</v>
      </c>
      <c r="K9" s="462">
        <f>transport!K14</f>
        <v>0</v>
      </c>
      <c r="L9" s="462">
        <f>transport!L14</f>
        <v>0</v>
      </c>
      <c r="M9" s="462">
        <f>transport!M14</f>
        <v>92452.545980447772</v>
      </c>
      <c r="N9" s="462">
        <f>transport!N14</f>
        <v>0</v>
      </c>
      <c r="O9" s="462">
        <f>transport!O14</f>
        <v>0</v>
      </c>
      <c r="P9" s="462">
        <f>transport!P14</f>
        <v>0</v>
      </c>
      <c r="Q9" s="461">
        <f>SUM(B9:P9)</f>
        <v>2143342.2178447424</v>
      </c>
    </row>
    <row r="10" spans="1:17">
      <c r="A10" s="457" t="s">
        <v>563</v>
      </c>
      <c r="B10" s="458">
        <f>transport!B54</f>
        <v>9200.3154960203356</v>
      </c>
      <c r="C10" s="458">
        <f>transport!C54</f>
        <v>0</v>
      </c>
      <c r="D10" s="458">
        <f>transport!D54</f>
        <v>0</v>
      </c>
      <c r="E10" s="458">
        <f>transport!E54</f>
        <v>0</v>
      </c>
      <c r="F10" s="458">
        <f>transport!F54</f>
        <v>0</v>
      </c>
      <c r="G10" s="458">
        <f>transport!G54</f>
        <v>37434.990453990489</v>
      </c>
      <c r="H10" s="458">
        <f>transport!H54</f>
        <v>0</v>
      </c>
      <c r="I10" s="458">
        <f>transport!I54</f>
        <v>0</v>
      </c>
      <c r="J10" s="458">
        <f>transport!J54</f>
        <v>0</v>
      </c>
      <c r="K10" s="458">
        <f>transport!K54</f>
        <v>0</v>
      </c>
      <c r="L10" s="458">
        <f>transport!L54</f>
        <v>0</v>
      </c>
      <c r="M10" s="458">
        <f>transport!M54</f>
        <v>1666.2623947821282</v>
      </c>
      <c r="N10" s="458">
        <f>transport!N54</f>
        <v>0</v>
      </c>
      <c r="O10" s="458">
        <f>transport!O54</f>
        <v>0</v>
      </c>
      <c r="P10" s="459">
        <f>transport!P54</f>
        <v>0</v>
      </c>
      <c r="Q10" s="457">
        <f t="shared" si="0"/>
        <v>48301.568344792948</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27365.906761385002</v>
      </c>
      <c r="C14" s="465"/>
      <c r="D14" s="465">
        <f>'SEAP template'!E25</f>
        <v>98499.386837011698</v>
      </c>
      <c r="E14" s="465"/>
      <c r="F14" s="465"/>
      <c r="G14" s="465"/>
      <c r="H14" s="465"/>
      <c r="I14" s="465"/>
      <c r="J14" s="465"/>
      <c r="K14" s="465"/>
      <c r="L14" s="465"/>
      <c r="M14" s="465"/>
      <c r="N14" s="465"/>
      <c r="O14" s="465"/>
      <c r="P14" s="466"/>
      <c r="Q14" s="457">
        <f t="shared" si="0"/>
        <v>125865.2935983967</v>
      </c>
    </row>
    <row r="15" spans="1:17" s="470" customFormat="1">
      <c r="A15" s="467" t="s">
        <v>567</v>
      </c>
      <c r="B15" s="468">
        <f ca="1">SUM(B4:B14)</f>
        <v>1527041.0859270589</v>
      </c>
      <c r="C15" s="468">
        <f t="shared" ref="C15:Q15" ca="1" si="1">SUM(C4:C14)</f>
        <v>11677.5</v>
      </c>
      <c r="D15" s="468">
        <f t="shared" ca="1" si="1"/>
        <v>2571746.27780332</v>
      </c>
      <c r="E15" s="468">
        <f t="shared" si="1"/>
        <v>64225.99551515474</v>
      </c>
      <c r="F15" s="468">
        <f t="shared" ca="1" si="1"/>
        <v>278567.02094268659</v>
      </c>
      <c r="G15" s="468">
        <f t="shared" si="1"/>
        <v>1818191.0872403106</v>
      </c>
      <c r="H15" s="468">
        <f t="shared" si="1"/>
        <v>264337.44052709913</v>
      </c>
      <c r="I15" s="468">
        <f t="shared" si="1"/>
        <v>0</v>
      </c>
      <c r="J15" s="468">
        <f t="shared" si="1"/>
        <v>1314.3279303653821</v>
      </c>
      <c r="K15" s="468">
        <f t="shared" si="1"/>
        <v>0</v>
      </c>
      <c r="L15" s="468">
        <f t="shared" ca="1" si="1"/>
        <v>0</v>
      </c>
      <c r="M15" s="468">
        <f t="shared" si="1"/>
        <v>94118.808375229899</v>
      </c>
      <c r="N15" s="468">
        <f t="shared" ca="1" si="1"/>
        <v>152276.02475715461</v>
      </c>
      <c r="O15" s="468">
        <f t="shared" si="1"/>
        <v>1389.8033333333335</v>
      </c>
      <c r="P15" s="468">
        <f t="shared" si="1"/>
        <v>2478.666666666667</v>
      </c>
      <c r="Q15" s="468">
        <f t="shared" ca="1" si="1"/>
        <v>6787364.0390183795</v>
      </c>
    </row>
    <row r="17" spans="1:17">
      <c r="A17" s="471" t="s">
        <v>568</v>
      </c>
      <c r="B17" s="777">
        <f ca="1">huishoudens!B10</f>
        <v>0.20052304575901059</v>
      </c>
      <c r="C17" s="777">
        <f ca="1">huishoudens!C10</f>
        <v>8.4117793458846971E-2</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78569.061662724009</v>
      </c>
      <c r="C22" s="458">
        <f t="shared" ref="C22:C32" ca="1" si="3">C4*$C$17</f>
        <v>0</v>
      </c>
      <c r="D22" s="458">
        <f t="shared" ref="D22:D32" si="4">D4*$D$17</f>
        <v>248148.37148393178</v>
      </c>
      <c r="E22" s="458">
        <f t="shared" ref="E22:E32" si="5">E4*$E$17</f>
        <v>6421.1988216084292</v>
      </c>
      <c r="F22" s="458">
        <f t="shared" ref="F22:F32" si="6">F4*$F$17</f>
        <v>0</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333138.63196826424</v>
      </c>
    </row>
    <row r="23" spans="1:17">
      <c r="A23" s="457" t="s">
        <v>155</v>
      </c>
      <c r="B23" s="458">
        <f t="shared" ca="1" si="2"/>
        <v>137708.39944253478</v>
      </c>
      <c r="C23" s="458">
        <f t="shared" ca="1" si="3"/>
        <v>45.42360846777737</v>
      </c>
      <c r="D23" s="458">
        <f t="shared" ca="1" si="4"/>
        <v>180274.26889943719</v>
      </c>
      <c r="E23" s="458">
        <f t="shared" si="5"/>
        <v>1707.4866827072226</v>
      </c>
      <c r="F23" s="458">
        <f t="shared" ca="1" si="6"/>
        <v>38448.411865642534</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358183.99049878947</v>
      </c>
    </row>
    <row r="24" spans="1:17">
      <c r="A24" s="457" t="s">
        <v>193</v>
      </c>
      <c r="B24" s="458">
        <f t="shared" ca="1" si="2"/>
        <v>2930.4722649946784</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2930.4722649946784</v>
      </c>
    </row>
    <row r="25" spans="1:17">
      <c r="A25" s="457" t="s">
        <v>111</v>
      </c>
      <c r="B25" s="458">
        <f t="shared" ca="1" si="2"/>
        <v>608.4800319433507</v>
      </c>
      <c r="C25" s="458">
        <f t="shared" ca="1" si="3"/>
        <v>0</v>
      </c>
      <c r="D25" s="458">
        <f t="shared" si="4"/>
        <v>1275.521570840652</v>
      </c>
      <c r="E25" s="458">
        <f t="shared" si="5"/>
        <v>8.6800622936532132</v>
      </c>
      <c r="F25" s="458">
        <f t="shared" si="6"/>
        <v>2795.3997956145299</v>
      </c>
      <c r="G25" s="458">
        <f t="shared" si="7"/>
        <v>0</v>
      </c>
      <c r="H25" s="458">
        <f t="shared" si="8"/>
        <v>0</v>
      </c>
      <c r="I25" s="458">
        <f t="shared" si="9"/>
        <v>0</v>
      </c>
      <c r="J25" s="458">
        <f t="shared" si="10"/>
        <v>161.54752558920566</v>
      </c>
      <c r="K25" s="458">
        <f t="shared" si="11"/>
        <v>0</v>
      </c>
      <c r="L25" s="458">
        <f t="shared" si="12"/>
        <v>0</v>
      </c>
      <c r="M25" s="458">
        <f t="shared" si="13"/>
        <v>0</v>
      </c>
      <c r="N25" s="458">
        <f t="shared" si="14"/>
        <v>0</v>
      </c>
      <c r="O25" s="458">
        <f t="shared" si="15"/>
        <v>0</v>
      </c>
      <c r="P25" s="459">
        <f t="shared" si="16"/>
        <v>0</v>
      </c>
      <c r="Q25" s="457">
        <f t="shared" ca="1" si="17"/>
        <v>4849.6289862813919</v>
      </c>
    </row>
    <row r="26" spans="1:17">
      <c r="A26" s="457" t="s">
        <v>655</v>
      </c>
      <c r="B26" s="458">
        <f t="shared" ca="1" si="2"/>
        <v>79041.178803357659</v>
      </c>
      <c r="C26" s="458">
        <f t="shared" ca="1" si="3"/>
        <v>936.86192464790815</v>
      </c>
      <c r="D26" s="458">
        <f t="shared" si="4"/>
        <v>69868.993936398707</v>
      </c>
      <c r="E26" s="458">
        <f t="shared" si="5"/>
        <v>5177.6903371316712</v>
      </c>
      <c r="F26" s="458">
        <f t="shared" si="6"/>
        <v>33133.58293044025</v>
      </c>
      <c r="G26" s="458">
        <f t="shared" si="7"/>
        <v>0</v>
      </c>
      <c r="H26" s="458">
        <f t="shared" si="8"/>
        <v>0</v>
      </c>
      <c r="I26" s="458">
        <f t="shared" si="9"/>
        <v>0</v>
      </c>
      <c r="J26" s="458">
        <f t="shared" si="10"/>
        <v>303.72456176013958</v>
      </c>
      <c r="K26" s="458">
        <f t="shared" si="11"/>
        <v>0</v>
      </c>
      <c r="L26" s="458">
        <f t="shared" si="12"/>
        <v>0</v>
      </c>
      <c r="M26" s="458">
        <f t="shared" si="13"/>
        <v>0</v>
      </c>
      <c r="N26" s="458">
        <f t="shared" si="14"/>
        <v>0</v>
      </c>
      <c r="O26" s="458">
        <f t="shared" si="15"/>
        <v>0</v>
      </c>
      <c r="P26" s="459">
        <f t="shared" si="16"/>
        <v>0</v>
      </c>
      <c r="Q26" s="457">
        <f t="shared" ca="1" si="17"/>
        <v>188462.03249373636</v>
      </c>
    </row>
    <row r="27" spans="1:17" s="463" customFormat="1">
      <c r="A27" s="461" t="s">
        <v>573</v>
      </c>
      <c r="B27" s="771">
        <f t="shared" ca="1" si="2"/>
        <v>16.967084730484373</v>
      </c>
      <c r="C27" s="462">
        <f t="shared" ca="1" si="3"/>
        <v>0</v>
      </c>
      <c r="D27" s="462">
        <f t="shared" si="4"/>
        <v>28.716084585977434</v>
      </c>
      <c r="E27" s="462">
        <f t="shared" si="5"/>
        <v>1264.2450781991492</v>
      </c>
      <c r="F27" s="462">
        <f t="shared" si="6"/>
        <v>0</v>
      </c>
      <c r="G27" s="462">
        <f t="shared" si="7"/>
        <v>475461.87784194754</v>
      </c>
      <c r="H27" s="462">
        <f t="shared" si="8"/>
        <v>65820.022691247679</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542591.82878071081</v>
      </c>
    </row>
    <row r="28" spans="1:17">
      <c r="A28" s="457" t="s">
        <v>563</v>
      </c>
      <c r="B28" s="458">
        <f t="shared" ca="1" si="2"/>
        <v>1844.8752852058199</v>
      </c>
      <c r="C28" s="458">
        <f t="shared" ca="1" si="3"/>
        <v>0</v>
      </c>
      <c r="D28" s="458">
        <f t="shared" si="4"/>
        <v>0</v>
      </c>
      <c r="E28" s="458">
        <f t="shared" si="5"/>
        <v>0</v>
      </c>
      <c r="F28" s="458">
        <f t="shared" si="6"/>
        <v>0</v>
      </c>
      <c r="G28" s="458">
        <f t="shared" si="7"/>
        <v>9995.1424512154608</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11840.017736421281</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5487.4949737500219</v>
      </c>
      <c r="C32" s="458">
        <f t="shared" ca="1" si="3"/>
        <v>0</v>
      </c>
      <c r="D32" s="458">
        <f t="shared" si="4"/>
        <v>19896.876141076365</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25384.371114826386</v>
      </c>
    </row>
    <row r="33" spans="1:17" s="470" customFormat="1">
      <c r="A33" s="467" t="s">
        <v>567</v>
      </c>
      <c r="B33" s="468">
        <f ca="1">SUM(B22:B32)</f>
        <v>306206.92954924086</v>
      </c>
      <c r="C33" s="468">
        <f t="shared" ref="C33:Q33" ca="1" si="18">SUM(C22:C32)</f>
        <v>982.28553311568555</v>
      </c>
      <c r="D33" s="468">
        <f t="shared" ca="1" si="18"/>
        <v>519492.7481162707</v>
      </c>
      <c r="E33" s="468">
        <f t="shared" si="18"/>
        <v>14579.300981940127</v>
      </c>
      <c r="F33" s="468">
        <f t="shared" ca="1" si="18"/>
        <v>74377.394591697317</v>
      </c>
      <c r="G33" s="468">
        <f t="shared" si="18"/>
        <v>485457.02029316302</v>
      </c>
      <c r="H33" s="468">
        <f t="shared" si="18"/>
        <v>65820.022691247679</v>
      </c>
      <c r="I33" s="468">
        <f t="shared" si="18"/>
        <v>0</v>
      </c>
      <c r="J33" s="468">
        <f t="shared" si="18"/>
        <v>465.27208734934527</v>
      </c>
      <c r="K33" s="468">
        <f t="shared" si="18"/>
        <v>0</v>
      </c>
      <c r="L33" s="468">
        <f t="shared" ca="1" si="18"/>
        <v>0</v>
      </c>
      <c r="M33" s="468">
        <f t="shared" si="18"/>
        <v>0</v>
      </c>
      <c r="N33" s="468">
        <f t="shared" ca="1" si="18"/>
        <v>0</v>
      </c>
      <c r="O33" s="468">
        <f t="shared" si="18"/>
        <v>0</v>
      </c>
      <c r="P33" s="468">
        <f t="shared" si="18"/>
        <v>0</v>
      </c>
      <c r="Q33" s="468">
        <f t="shared" ca="1" si="18"/>
        <v>1467380.9738440244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83819.039879999997</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49445.876960765367</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7432.237182677949</v>
      </c>
      <c r="C8" s="1034">
        <f>'SEAP template'!C76</f>
        <v>2845.7628173220505</v>
      </c>
      <c r="D8" s="1034">
        <f>'SEAP template'!D76</f>
        <v>451.40983222557327</v>
      </c>
      <c r="E8" s="1034">
        <f>'SEAP template'!E76</f>
        <v>0</v>
      </c>
      <c r="F8" s="1034">
        <f>'SEAP template'!F76</f>
        <v>2896.5464234474275</v>
      </c>
      <c r="G8" s="1034">
        <f>'SEAP template'!G76</f>
        <v>0</v>
      </c>
      <c r="H8" s="1034">
        <f>'SEAP template'!H76</f>
        <v>0</v>
      </c>
      <c r="I8" s="1034">
        <f>'SEAP template'!I76</f>
        <v>8743.8084502093516</v>
      </c>
      <c r="J8" s="1034">
        <f>'SEAP template'!J76</f>
        <v>0</v>
      </c>
      <c r="K8" s="1034">
        <f>'SEAP template'!K76</f>
        <v>0</v>
      </c>
      <c r="L8" s="1034">
        <f>'SEAP template'!L76</f>
        <v>0</v>
      </c>
      <c r="M8" s="1034">
        <f>'SEAP template'!M76</f>
        <v>0</v>
      </c>
      <c r="N8" s="1034">
        <f>'SEAP template'!N76</f>
        <v>0</v>
      </c>
      <c r="O8" s="1034">
        <f>'SEAP template'!O76</f>
        <v>0</v>
      </c>
      <c r="P8" s="1035">
        <f>'SEAP template'!Q76</f>
        <v>864.56268117002901</v>
      </c>
    </row>
    <row r="9" spans="1:16">
      <c r="A9" s="1037" t="s">
        <v>871</v>
      </c>
      <c r="B9" s="1034">
        <f>'SEAP template'!B77</f>
        <v>1858.5</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5310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142555.65402344332</v>
      </c>
      <c r="C10" s="1038">
        <f>SUM(C4:C9)</f>
        <v>2845.7628173220505</v>
      </c>
      <c r="D10" s="1038">
        <f t="shared" ref="D10:H10" si="0">SUM(D8:D9)</f>
        <v>451.40983222557327</v>
      </c>
      <c r="E10" s="1038">
        <f t="shared" si="0"/>
        <v>0</v>
      </c>
      <c r="F10" s="1038">
        <f t="shared" si="0"/>
        <v>2896.5464234474275</v>
      </c>
      <c r="G10" s="1038">
        <f t="shared" si="0"/>
        <v>0</v>
      </c>
      <c r="H10" s="1038">
        <f t="shared" si="0"/>
        <v>0</v>
      </c>
      <c r="I10" s="1038">
        <f>SUM(I8:I9)</f>
        <v>8743.8084502093516</v>
      </c>
      <c r="J10" s="1038">
        <f>SUM(J8:J9)</f>
        <v>5310</v>
      </c>
      <c r="K10" s="1038">
        <f t="shared" ref="K10:L10" si="1">SUM(K8:K9)</f>
        <v>0</v>
      </c>
      <c r="L10" s="1038">
        <f t="shared" si="1"/>
        <v>0</v>
      </c>
      <c r="M10" s="1038">
        <f>SUM(M8:M9)</f>
        <v>0</v>
      </c>
      <c r="N10" s="1038">
        <f>SUM(N8:N9)</f>
        <v>0</v>
      </c>
      <c r="O10" s="1038">
        <f>SUM(O8:O9)</f>
        <v>0</v>
      </c>
      <c r="P10" s="1038">
        <f>SUM(P8:P9)</f>
        <v>864.56268117002901</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0.20052304575901059</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8444.2449601791923</v>
      </c>
      <c r="C17" s="1040">
        <f>'SEAP template'!C87</f>
        <v>3233.2550398208064</v>
      </c>
      <c r="D17" s="1035">
        <f>'SEAP template'!D87</f>
        <v>512.87588206014129</v>
      </c>
      <c r="E17" s="1035">
        <f>'SEAP template'!E87</f>
        <v>0</v>
      </c>
      <c r="F17" s="1035">
        <f>'SEAP template'!F87</f>
        <v>3290.9535765525725</v>
      </c>
      <c r="G17" s="1035">
        <f>'SEAP template'!G87</f>
        <v>0</v>
      </c>
      <c r="H17" s="1035">
        <f>'SEAP template'!H87</f>
        <v>0</v>
      </c>
      <c r="I17" s="1035">
        <f>'SEAP template'!I87</f>
        <v>9934.4058355049347</v>
      </c>
      <c r="J17" s="1035">
        <f>'SEAP template'!J87</f>
        <v>0</v>
      </c>
      <c r="K17" s="1035">
        <f>'SEAP template'!K87</f>
        <v>0</v>
      </c>
      <c r="L17" s="1035">
        <f>'SEAP template'!L87</f>
        <v>0</v>
      </c>
      <c r="M17" s="1035">
        <f>'SEAP template'!M87</f>
        <v>0</v>
      </c>
      <c r="N17" s="1035">
        <f>'SEAP template'!N87</f>
        <v>0</v>
      </c>
      <c r="O17" s="1035">
        <f>'SEAP template'!O87</f>
        <v>0</v>
      </c>
      <c r="P17" s="1035">
        <f>'SEAP template'!Q87</f>
        <v>982.28553311568544</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8444.2449601791923</v>
      </c>
      <c r="C20" s="1038">
        <f>SUM(C17:C19)</f>
        <v>3233.2550398208064</v>
      </c>
      <c r="D20" s="1038">
        <f t="shared" ref="D20:H20" si="2">SUM(D17:D19)</f>
        <v>512.87588206014129</v>
      </c>
      <c r="E20" s="1038">
        <f t="shared" si="2"/>
        <v>0</v>
      </c>
      <c r="F20" s="1038">
        <f t="shared" si="2"/>
        <v>3290.9535765525725</v>
      </c>
      <c r="G20" s="1038">
        <f t="shared" si="2"/>
        <v>0</v>
      </c>
      <c r="H20" s="1038">
        <f t="shared" si="2"/>
        <v>0</v>
      </c>
      <c r="I20" s="1038">
        <f>SUM(I17:I19)</f>
        <v>9934.4058355049347</v>
      </c>
      <c r="J20" s="1038">
        <f>SUM(J17:J19)</f>
        <v>0</v>
      </c>
      <c r="K20" s="1038">
        <f t="shared" ref="K20:L20" si="3">SUM(K17:K19)</f>
        <v>0</v>
      </c>
      <c r="L20" s="1038">
        <f t="shared" si="3"/>
        <v>0</v>
      </c>
      <c r="M20" s="1038">
        <f>SUM(M17:M19)</f>
        <v>0</v>
      </c>
      <c r="N20" s="1038">
        <f>SUM(N17:N19)</f>
        <v>0</v>
      </c>
      <c r="O20" s="1038">
        <f>SUM(O17:O19)</f>
        <v>0</v>
      </c>
      <c r="P20" s="1038">
        <f>SUM(P17:P19)</f>
        <v>982.28553311568544</v>
      </c>
    </row>
    <row r="22" spans="1:16">
      <c r="A22" s="471" t="s">
        <v>879</v>
      </c>
      <c r="B22" s="777" t="s">
        <v>873</v>
      </c>
      <c r="C22" s="777">
        <f ca="1">'EF ele_warmte'!B22</f>
        <v>8.4117793458846971E-2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0.20052304575901059</v>
      </c>
      <c r="C17" s="508">
        <f ca="1">'EF ele_warmte'!B22</f>
        <v>8.4117793458846971E-2</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2</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3.1266666666666669</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1</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19.066666666666666</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2020-06-20T16:21:34Z</dcterms:modified>
</cp:coreProperties>
</file>