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7" i="18"/>
  <c r="I51" i="18" s="1"/>
  <c r="H17" i="18" s="1"/>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D20" i="18"/>
  <c r="B17" i="18"/>
  <c r="G12" i="18"/>
  <c r="F12" i="18"/>
  <c r="E12" i="18"/>
  <c r="D12" i="18"/>
  <c r="C12" i="18"/>
  <c r="L10" i="18"/>
  <c r="K10" i="18"/>
  <c r="G10" i="18"/>
  <c r="D10" i="18"/>
  <c r="B6" i="18"/>
  <c r="B5" i="18"/>
  <c r="B4" i="18"/>
  <c r="B20" i="18" l="1"/>
  <c r="C47" i="18"/>
  <c r="C51" i="18"/>
  <c r="F51" i="18"/>
  <c r="G51" i="18"/>
  <c r="I17" i="18" s="1"/>
  <c r="I20" i="18" s="1"/>
  <c r="F20" i="18"/>
  <c r="B51" i="18"/>
  <c r="C17" i="18" s="1"/>
  <c r="C20" i="18" s="1"/>
  <c r="O18" i="18"/>
  <c r="H20" i="18"/>
  <c r="G20" i="18"/>
  <c r="K20" i="18"/>
  <c r="B10" i="18"/>
  <c r="O19" i="18"/>
  <c r="O9" i="18"/>
  <c r="D51" i="18"/>
  <c r="H51" i="18"/>
  <c r="E50" i="18"/>
  <c r="E8" i="18" s="1"/>
  <c r="E10" i="18" s="1"/>
  <c r="E51" i="18"/>
  <c r="E17" i="18" s="1"/>
  <c r="E20" i="18" s="1"/>
  <c r="N6" i="17"/>
  <c r="I50" i="18" l="1"/>
  <c r="H8" i="18" s="1"/>
  <c r="H10" i="18" s="1"/>
  <c r="G50" i="18"/>
  <c r="F50" i="18"/>
  <c r="D50" i="18"/>
  <c r="C50" i="18"/>
  <c r="B50" i="18"/>
  <c r="C8" i="18" s="1"/>
  <c r="C10" i="18" s="1"/>
  <c r="H50" i="18"/>
  <c r="J8" i="18" s="1"/>
  <c r="J1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46" i="14" l="1"/>
  <c r="O15" i="48"/>
  <c r="O33" i="48"/>
  <c r="J5" i="48"/>
  <c r="J23" i="48" s="1"/>
  <c r="K10" i="14"/>
  <c r="J20" i="15"/>
  <c r="K40" i="14" s="1"/>
  <c r="E20" i="15"/>
  <c r="F40" i="14" s="1"/>
  <c r="E5" i="48"/>
  <c r="F10" i="14"/>
  <c r="R1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F46" i="14" s="1"/>
  <c r="F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63" i="14" s="1"/>
  <c r="K13" i="14"/>
  <c r="K16" i="14" s="1"/>
  <c r="K27" i="14" s="1"/>
  <c r="J8" i="48"/>
  <c r="J26" i="48" s="1"/>
  <c r="J33" i="48" s="1"/>
  <c r="F13" i="14"/>
  <c r="E8" i="48"/>
  <c r="E26" i="48" s="1"/>
  <c r="H63" i="14"/>
  <c r="E63" i="14"/>
  <c r="E23" i="48"/>
  <c r="E33" i="48" s="1"/>
  <c r="F16" i="14"/>
  <c r="F27" i="14" s="1"/>
  <c r="F63"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<sst xmlns="http://schemas.openxmlformats.org/spreadsheetml/2006/main" count="2474" uniqueCount="933">
  <si>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</si>
  <si>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</si>
  <si>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</si>
  <si>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</si>
  <si>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</si>
  <si>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</si>
  <si>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</si>
  <si>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</si>
  <si>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</si>
  <si>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</si>
  <si>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</si>
  <si>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</si>
  <si>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</si>
  <si>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</si>
  <si>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</si>
  <si>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</si>
  <si>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</si>
  <si>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</si>
  <si>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</si>
  <si>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</si>
  <si>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</si>
  <si>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</si>
  <si>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</si>
  <si>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</si>
  <si>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</si>
  <si>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</si>
  <si>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</si>
  <si>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</si>
  <si>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</si>
  <si>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</si>
  <si>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</si>
  <si>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</si>
  <si>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</si>
  <si>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</si>
  <si>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</si>
  <si>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</si>
  <si>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</si>
  <si>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</si>
  <si>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</si>
  <si>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</si>
  <si>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</si>
  <si>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</si>
  <si>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</si>
  <si>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</si>
  <si>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</si>
  <si>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</si>
  <si>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</si>
  <si>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</si>
  <si>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</si>
  <si>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</si>
  <si>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</si>
  <si>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</si>
  <si>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</si>
  <si>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</si>
  <si>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</si>
  <si>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</si>
  <si>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</si>
  <si>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</si>
  <si>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</si>
  <si>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</si>
  <si>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</si>
  <si>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</si>
  <si>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</si>
  <si>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</si>
  <si>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</si>
  <si>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</si>
  <si>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</si>
  <si>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</si>
  <si>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</si>
  <si>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</si>
  <si>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</si>
  <si>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</si>
  <si>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</si>
  <si>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</si>
  <si>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</si>
  <si>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</si>
  <si>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</si>
  <si>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</si>
  <si>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</si>
  <si>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</si>
  <si>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</si>
  <si>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</si>
  <si>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</si>
  <si>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</si>
  <si>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</si>
  <si>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</si>
  <si>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</si>
  <si>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</si>
  <si>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</si>
  <si>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</si>
  <si>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</si>
  <si>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</si>
  <si>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</si>
  <si>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</si>
  <si>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</si>
  <si>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</si>
  <si>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</si>
  <si>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</si>
  <si>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</si>
  <si>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</si>
  <si>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</si>
  <si>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</si>
  <si>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</si>
  <si>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</si>
  <si>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</si>
  <si>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</si>
  <si>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</si>
  <si>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</si>
  <si>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</si>
  <si>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</si>
  <si>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</si>
  <si>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</si>
  <si>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</si>
  <si>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</si>
  <si>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</si>
  <si>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</si>
  <si>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</si>
  <si>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</si>
  <si>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</si>
  <si>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</si>
  <si>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</si>
  <si>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</si>
  <si>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</si>
  <si>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</si>
  <si>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</si>
  <si>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</si>
  <si>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</si>
  <si>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</si>
  <si>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</si>
  <si>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</si>
  <si>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</si>
  <si>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</si>
  <si>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</si>
  <si>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</si>
  <si>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</si>
  <si>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</si>
  <si>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</si>
  <si>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</si>
  <si>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</si>
  <si>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</si>
  <si>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</si>
  <si>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</si>
  <si>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</si>
  <si>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</si>
  <si>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</si>
  <si>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</si>
  <si>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</si>
  <si>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</si>
  <si>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</si>
  <si>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</si>
  <si>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</si>
  <si>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</si>
  <si>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</si>
  <si>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</si>
  <si>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</si>
  <si>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</si>
  <si>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</si>
  <si>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</si>
  <si>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</si>
  <si>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</si>
  <si>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</si>
  <si>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</si>
  <si>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</si>
  <si>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</si>
  <si>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</si>
  <si>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</si>
  <si>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</si>
  <si>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</si>
  <si>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</si>
  <si>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</si>
  <si>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</si>
  <si>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</si>
  <si>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</si>
  <si>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</si>
  <si>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</si>
  <si>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</si>
  <si>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</si>
  <si>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</si>
  <si>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</si>
  <si>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</si>
  <si>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</si>
  <si>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</si>
  <si>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</si>
  <si>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</si>
  <si>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</si>
  <si>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</si>
  <si>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</si>
  <si>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</si>
  <si>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</si>
  <si>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</si>
  <si>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</si>
  <si>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</si>
  <si>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</si>
  <si>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</si>
  <si>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</si>
  <si>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</si>
  <si>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</si>
  <si>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</si>
  <si>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</si>
  <si>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</si>
  <si>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</si>
  <si>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</si>
  <si>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</si>
  <si>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</si>
  <si>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</si>
  <si>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</si>
  <si>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</si>
  <si>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</si>
  <si>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</si>
  <si>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</si>
  <si>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</si>
  <si>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</si>
  <si>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</si>
  <si>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</si>
  <si>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</si>
  <si>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</si>
  <si>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</si>
  <si>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</si>
  <si>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</si>
  <si>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</si>
  <si>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</si>
  <si>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</si>
  <si>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</si>
  <si>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</si>
  <si>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</si>
  <si>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</si>
  <si>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</si>
  <si>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</si>
  <si>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</si>
  <si>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</si>
  <si>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</si>
  <si>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</si>
  <si>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</si>
  <si>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</si>
  <si>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</si>
  <si>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</si>
  <si>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</si>
  <si>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</si>
  <si>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</si>
  <si>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</si>
  <si>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</si>
  <si>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</si>
  <si>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</si>
  <si>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</si>
  <si>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</si>
  <si>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</si>
  <si>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</si>
  <si>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</si>
  <si>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</si>
  <si>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</si>
  <si>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</si>
  <si>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</si>
  <si>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</si>
  <si>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</si>
  <si>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</si>
  <si>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</si>
  <si>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</si>
  <si>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</si>
  <si>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</si>
  <si>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</si>
  <si>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</si>
  <si>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</si>
  <si>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</si>
  <si>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</si>
  <si>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</si>
  <si>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</si>
  <si>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</si>
  <si>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</si>
  <si>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</si>
  <si>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</si>
  <si>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</si>
  <si>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</si>
  <si>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</si>
  <si>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</si>
  <si>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</si>
  <si>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</si>
  <si>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</si>
  <si>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</si>
  <si>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</si>
  <si>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</si>
  <si>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</si>
  <si>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</si>
  <si>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</si>
  <si>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</si>
  <si>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</si>
  <si>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</si>
  <si>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</si>
  <si>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</si>
  <si>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</si>
  <si>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</si>
  <si>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</si>
  <si>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</si>
  <si>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</si>
  <si>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</si>
  <si>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</si>
  <si>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</si>
  <si>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</si>
  <si>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</si>
  <si>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</si>
  <si>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</si>
  <si>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</si>
  <si>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</si>
  <si>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</si>
  <si>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</si>
  <si>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</si>
  <si>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</si>
  <si>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</si>
  <si>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</si>
  <si>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</si>
  <si>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</si>
  <si>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</si>
  <si>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</si>
  <si>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</si>
  <si>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</si>
  <si>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</si>
  <si>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</si>
  <si>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</si>
  <si>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</si>
  <si>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</si>
  <si>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</si>
  <si>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</si>
  <si>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</si>
  <si>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</si>
  <si>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</si>
  <si>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</si>
  <si>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</si>
  <si>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</si>
  <si>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</si>
  <si>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</si>
  <si>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</si>
  <si>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</si>
  <si>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</si>
  <si>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</si>
  <si>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</si>
  <si>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</si>
  <si>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</si>
  <si>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</si>
  <si>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</si>
  <si>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</si>
  <si>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</si>
  <si>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</si>
  <si>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</si>
  <si>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</si>
  <si>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</si>
  <si>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</si>
  <si>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</si>
  <si>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</si>
  <si>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</si>
  <si>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</si>
  <si>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</si>
  <si>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</si>
  <si>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</si>
  <si>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</si>
  <si>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</si>
  <si>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</si>
  <si>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</si>
  <si>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</si>
  <si>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</si>
  <si>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</si>
  <si>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</si>
  <si>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</si>
  <si>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</si>
  <si>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</si>
  <si>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</si>
  <si>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</si>
  <si>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</si>
  <si>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</si>
  <si>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</si>
  <si>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</si>
  <si>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</si>
  <si>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</si>
  <si>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</si>
  <si>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</si>
  <si>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</si>
  <si>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</si>
  <si>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</si>
  <si>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</si>
  <si>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</si>
  <si>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</si>
  <si>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</si>
  <si>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</si>
  <si>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</si>
  <si>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</si>
  <si>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</si>
  <si>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</si>
  <si>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</si>
  <si>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</si>
  <si>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</si>
  <si>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</si>
  <si>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</si>
  <si>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</si>
  <si>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</si>
  <si>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</si>
  <si>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</si>
  <si>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</si>
  <si>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</si>
  <si>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</si>
  <si>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</si>
  <si>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</si>
  <si>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</si>
  <si>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</si>
  <si>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</si>
  <si>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</si>
  <si>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</si>
  <si>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</si>
  <si>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</si>
  <si>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</si>
  <si>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</si>
  <si>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</si>
  <si>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</si>
  <si>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</si>
  <si>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</si>
  <si>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</si>
  <si>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</si>
  <si>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</si>
  <si>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</si>
  <si>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</si>
  <si>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</si>
  <si>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</si>
  <si>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</si>
  <si>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</si>
  <si>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</si>
  <si>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</si>
  <si>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</si>
  <si>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</si>
  <si>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</si>
  <si>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</si>
  <si>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</si>
  <si>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</si>
  <si>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</si>
  <si>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</si>
  <si>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</si>
  <si>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</si>
  <si>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</si>
  <si>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</si>
  <si>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</si>
  <si>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</si>
  <si>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</si>
  <si>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</si>
  <si>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</si>
  <si>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</si>
  <si>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</si>
  <si>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</si>
  <si>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</si>
  <si>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</si>
  <si>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</si>
  <si>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</si>
  <si>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</si>
  <si>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</si>
  <si>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</si>
  <si>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</si>
  <si>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</si>
  <si>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</si>
  <si>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</si>
  <si>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</si>
  <si>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</si>
  <si>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</si>
  <si>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</si>
  <si>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</si>
  <si>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</si>
  <si>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</si>
  <si>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</si>
  <si>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</si>
  <si>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</si>
  <si>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</si>
  <si>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</si>
  <si>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</si>
  <si>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</si>
  <si>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</si>
  <si>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</si>
  <si>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</si>
  <si>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</si>
  <si>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</si>
  <si>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</si>
  <si>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</si>
  <si>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</si>
  <si>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</si>
  <si>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</si>
  <si>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</si>
  <si>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</si>
  <si>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</si>
  <si>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</si>
  <si>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</si>
  <si>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</si>
  <si>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</si>
  <si>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</si>
  <si>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</si>
  <si>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</si>
  <si>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</si>
  <si>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</si>
  <si>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</si>
  <si>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</si>
  <si>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</si>
  <si>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</si>
  <si>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</si>
  <si>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</si>
  <si>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</si>
  <si>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</si>
  <si>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</si>
  <si>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</si>
  <si>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</si>
  <si>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</si>
  <si>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</si>
  <si>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</si>
  <si>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</si>
  <si>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</si>
  <si>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</si>
  <si>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</si>
  <si>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</si>
  <si>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</si>
  <si>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</si>
  <si>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</si>
  <si>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</si>
  <si>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</si>
  <si>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</si>
  <si>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</si>
  <si>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</si>
  <si>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</si>
  <si>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</si>
  <si>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</si>
  <si>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</si>
  <si>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</si>
  <si>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</si>
  <si>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</si>
  <si>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</si>
  <si>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</si>
  <si>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</si>
  <si>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</si>
  <si>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</si>
  <si>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</si>
  <si>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</si>
  <si>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</si>
  <si>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</si>
  <si>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</si>
  <si>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</si>
  <si>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</si>
  <si>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</si>
  <si>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</si>
  <si>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</si>
  <si>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</si>
  <si>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</si>
  <si>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</si>
  <si>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</si>
  <si>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</si>
  <si>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</si>
  <si>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</si>
  <si>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</si>
  <si>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</si>
  <si>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</si>
  <si>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</si>
  <si>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</si>
  <si>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</si>
  <si>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</si>
  <si>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</si>
  <si>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</si>
  <si>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</si>
  <si>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</si>
  <si>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</si>
  <si>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</si>
  <si>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</si>
  <si>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</si>
  <si>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</si>
  <si>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</si>
  <si>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</si>
  <si>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</si>
  <si>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</si>
  <si>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</si>
  <si>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</si>
  <si>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</si>
  <si>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</si>
  <si>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</si>
  <si>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</si>
  <si>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</si>
  <si>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</si>
  <si>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</si>
  <si>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</si>
  <si>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</si>
  <si>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</si>
  <si>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</si>
  <si>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</si>
  <si>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</si>
  <si>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</si>
  <si>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</si>
  <si>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</si>
  <si>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</si>
  <si>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</si>
  <si>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</si>
  <si>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</si>
  <si>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</si>
  <si>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</si>
  <si>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</si>
  <si>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</si>
  <si>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</si>
  <si>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</si>
  <si>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</si>
  <si>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</si>
  <si>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</si>
  <si>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</si>
  <si>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</si>
  <si>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</si>
  <si>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</si>
  <si>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</si>
  <si>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</si>
  <si>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</si>
  <si>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</si>
  <si>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</si>
  <si>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</si>
  <si>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</si>
  <si>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</si>
  <si>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</si>
  <si>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</si>
  <si>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</si>
  <si>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</si>
  <si>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</si>
  <si>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</si>
  <si>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</si>
  <si>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</si>
  <si>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</si>
  <si>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</si>
  <si>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</si>
  <si>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</si>
  <si>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</si>
  <si>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</si>
  <si>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</si>
  <si>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</si>
  <si>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</si>
  <si>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</si>
  <si>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</si>
  <si>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</si>
  <si>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</si>
  <si>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</si>
  <si>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</si>
  <si>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</si>
  <si>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</si>
  <si>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</si>
  <si>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</si>
  <si>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</si>
  <si>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</si>
  <si>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</si>
  <si>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</si>
  <si>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</si>
  <si>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</si>
  <si>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</si>
  <si>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</si>
  <si>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</si>
  <si>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</si>
  <si>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</si>
  <si>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</si>
  <si>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</si>
  <si>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</si>
  <si>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</si>
  <si>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</si>
  <si>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</si>
  <si>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</si>
  <si>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</si>
  <si>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</si>
  <si>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</si>
  <si>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</si>
  <si>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</si>
  <si>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</si>
  <si>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</si>
  <si>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</si>
  <si>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</si>
  <si>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</si>
  <si>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</si>
  <si>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</si>
  <si>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</si>
  <si>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</si>
  <si>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</si>
  <si>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</si>
  <si>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</si>
  <si>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</si>
  <si>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</si>
  <si>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</si>
  <si>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</si>
  <si>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</si>
  <si>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</si>
  <si>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</si>
  <si>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</si>
  <si>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</si>
  <si>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</si>
  <si>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</si>
  <si>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</si>
  <si>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</si>
  <si>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</si>
  <si>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</si>
  <si>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</si>
  <si>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</si>
  <si>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</si>
  <si>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</si>
  <si>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</si>
  <si>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</si>
  <si>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</si>
  <si>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</si>
  <si>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</si>
  <si>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</si>
  <si>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</si>
  <si>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</si>
  <si>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</si>
  <si>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</si>
  <si>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</si>
  <si>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</si>
  <si>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</si>
  <si>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</si>
  <si>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</si>
  <si>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</si>
  <si>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</si>
  <si>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</si>
  <si>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</si>
  <si>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</si>
  <si>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</si>
  <si>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</si>
  <si>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</si>
  <si>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</si>
  <si>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</si>
  <si>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</si>
  <si>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</si>
  <si>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</si>
  <si>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</si>
  <si>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</si>
  <si>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</si>
  <si>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</si>
  <si>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</si>
  <si>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</si>
  <si>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</si>
  <si>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</si>
  <si>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</si>
  <si>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</si>
  <si>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</si>
  <si>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</si>
  <si>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</si>
  <si>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</si>
  <si>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</si>
  <si>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</si>
  <si>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</si>
  <si>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</si>
  <si>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</si>
  <si>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</si>
  <si>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</si>
  <si>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</si>
  <si>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</si>
  <si>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</si>
  <si>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</si>
  <si>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</si>
  <si>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</si>
  <si>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</si>
  <si>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</si>
  <si>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</si>
  <si>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</si>
  <si>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</si>
  <si>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</si>
  <si>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</si>
  <si>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</si>
  <si>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</si>
  <si>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</si>
  <si>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</si>
  <si>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</si>
  <si>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</si>
  <si>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</si>
  <si>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</si>
  <si>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</si>
  <si>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</si>
  <si>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</si>
  <si>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</si>
  <si>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</si>
  <si>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</si>
  <si>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</si>
  <si>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</si>
  <si>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</si>
  <si>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</si>
  <si>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</si>
  <si>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</si>
  <si>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</si>
  <si>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</si>
  <si>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</si>
  <si>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</si>
  <si>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</si>
  <si>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</si>
  <si>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</si>
  <si>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</si>
  <si>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</si>
  <si>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</si>
  <si>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</si>
  <si>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</si>
  <si>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</si>
  <si>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</si>
  <si>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</si>
  <si>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</si>
  <si>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</si>
  <si>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</si>
  <si>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</si>
  <si>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</si>
  <si>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</si>
  <si>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</si>
  <si>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</si>
  <si>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</si>
  <si>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</si>
  <si>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</si>
  <si>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</si>
  <si>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</si>
  <si>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</si>
  <si>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</si>
  <si>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</si>
  <si>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</si>
  <si>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</si>
  <si>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</si>
  <si>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</si>
  <si>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</si>
  <si>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</si>
  <si>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</si>
  <si>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</si>
  <si>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</si>
  <si>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</si>
  <si>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</si>
  <si>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</si>
  <si>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</si>
  <si>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</si>
  <si>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</si>
  <si>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</si>
  <si>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</si>
  <si>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</si>
  <si>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</si>
  <si>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</si>
  <si>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</si>
  <si>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</si>
  <si>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</si>
  <si>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</si>
  <si>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</si>
  <si>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</si>
  <si>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</si>
  <si>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</si>
  <si>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</si>
  <si>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</si>
  <si>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</si>
  <si>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</si>
  <si>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</si>
  <si>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</si>
  <si>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</si>
  <si>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</si>
  <si>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</si>
  <si>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</si>
  <si>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</si>
  <si>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</si>
  <si>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</si>
  <si>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</si>
  <si>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</si>
  <si>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</si>
  <si>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</si>
  <si>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</si>
  <si>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</si>
  <si>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</si>
  <si>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</si>
  <si>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</si>
  <si>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</si>
  <si>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</si>
  <si>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</si>
  <si>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</si>
  <si>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</si>
  <si>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</si>
  <si>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</si>
  <si>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</si>
  <si>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</si>
  <si>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</si>
  <si>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</si>
  <si>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</si>
  <si>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</si>
  <si>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</si>
  <si>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</si>
  <si>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</si>
  <si>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</si>
  <si>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</si>
  <si>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</si>
  <si>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</si>
  <si>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</si>
  <si>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</si>
  <si>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</si>
  <si>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</si>
  <si>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</si>
  <si>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</si>
  <si>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</si>
  <si>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</si>
  <si>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</si>
  <si>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</si>
  <si>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</si>
  <si>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</si>
  <si>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</si>
  <si>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</si>
  <si>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</si>
  <si>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</si>
  <si>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</si>
  <si>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</si>
  <si>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</si>
  <si>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</si>
  <si>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</si>
  <si>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</si>
  <si>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</si>
  <si>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</si>
  <si>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</si>
  <si>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</si>
  <si>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</si>
  <si>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</si>
  <si>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</si>
  <si>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</si>
  <si>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</si>
  <si>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</si>
  <si>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</si>
  <si>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</si>
  <si>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</si>
  <si>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</si>
  <si>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</si>
  <si>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</si>
  <si>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</si>
  <si>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</si>
  <si>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44019</t>
  </si>
  <si>
    <t>EVERGEM</t>
  </si>
  <si>
    <t>Cultuurgrond (ha)</t>
  </si>
  <si>
    <t>Paarden&amp;pony's 200 - 600 kg</t>
  </si>
  <si>
    <t>Paarden&amp;pony's &lt; 200 kg</t>
  </si>
  <si>
    <t>Fluvius</t>
  </si>
  <si>
    <t>referentietaak LNE (2017); Jaarverslag De Lijn</t>
  </si>
  <si>
    <t>E. Van Wingen nv</t>
  </si>
  <si>
    <t>Industrieterrein Durmakker 27 , 9940 Evergem</t>
  </si>
  <si>
    <t>WKK-0260 Van Wingen Evergem</t>
  </si>
  <si>
    <t>interne verbrandingsmotor</t>
  </si>
  <si>
    <t>WKK interne verbrandinsgmotor (gas)</t>
  </si>
  <si>
    <t>IMEWO</t>
  </si>
  <si>
    <t>Biolectric nv</t>
  </si>
  <si>
    <t>Jan de Malschelaan 4 B, 9140 Temse</t>
  </si>
  <si>
    <t>WKK-0482 Philip Vereecke</t>
  </si>
  <si>
    <t>Volpenswege 19 , 9940 Sleidinge</t>
  </si>
  <si>
    <t>TWZ nv</t>
  </si>
  <si>
    <t>Durmakker 4 , 9940 Evergem</t>
  </si>
  <si>
    <t>WKK-0455 TWZ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</si>
</sst>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286064.12756694865</c:v>
                </c:pt>
                <c:pt idx="1">
                  <c:v>104254.95160605172</c:v>
                </c:pt>
                <c:pt idx="2">
                  <c:v>2390.288</c:v>
                </c:pt>
                <c:pt idx="3">
                  <c:v>27943.771469833147</c:v>
                </c:pt>
                <c:pt idx="4">
                  <c:v>196365.44353172687</c:v>
                </c:pt>
                <c:pt idx="5">
                  <c:v>164779.74067424523</c:v>
                </c:pt>
                <c:pt idx="6">
                  <c:v>4060.6496250897276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286064.12756694865</c:v>
                </c:pt>
                <c:pt idx="1">
                  <c:v>104254.95160605172</c:v>
                </c:pt>
                <c:pt idx="2">
                  <c:v>2390.288</c:v>
                </c:pt>
                <c:pt idx="3">
                  <c:v>27943.771469833147</c:v>
                </c:pt>
                <c:pt idx="4">
                  <c:v>196365.44353172687</c:v>
                </c:pt>
                <c:pt idx="5">
                  <c:v>164779.74067424523</c:v>
                </c:pt>
                <c:pt idx="6">
                  <c:v>4060.6496250897276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53273.007192527919</c:v>
                </c:pt>
                <c:pt idx="2">
                  <c:v>20546.711087007723</c:v>
                </c:pt>
                <c:pt idx="3">
                  <c:v>471.55441726089811</c:v>
                </c:pt>
                <c:pt idx="4">
                  <c:v>6883.6190532465207</c:v>
                </c:pt>
                <c:pt idx="5">
                  <c:v>39599.124052761224</c:v>
                </c:pt>
                <c:pt idx="6">
                  <c:v>41642.409038165933</c:v>
                </c:pt>
                <c:pt idx="7">
                  <c:v>974.45964365810619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53273.007192527919</c:v>
                </c:pt>
                <c:pt idx="2">
                  <c:v>20546.711087007723</c:v>
                </c:pt>
                <c:pt idx="3">
                  <c:v>471.55441726089811</c:v>
                </c:pt>
                <c:pt idx="4">
                  <c:v>6883.6190532465207</c:v>
                </c:pt>
                <c:pt idx="5">
                  <c:v>39599.124052761224</c:v>
                </c:pt>
                <c:pt idx="6">
                  <c:v>41642.409038165933</c:v>
                </c:pt>
                <c:pt idx="7">
                  <c:v>974.45964365810619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44019</v>
      </c>
      <c r="B6" s="395"/>
      <c r="C6" s="396"/>
    </row>
    <row r="7" spans="1:7" s="393" customFormat="1" ht="15.75" customHeight="1">
      <c r="A7" s="397" t="str">
        <f>txtMunicipality</f>
        <v>EVERGEM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0.1972793308843529</v>
      </c>
      <c r="C17" s="508">
        <f ca="1">'EF ele_warmte'!B22</f>
        <v>0.23237084808746117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0.1972793308843529</v>
      </c>
      <c r="C29" s="509">
        <f ca="1">'EF ele_warmte'!B22</f>
        <v>0.23237084808746117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13791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4271</v>
      </c>
      <c r="C14" s="332"/>
      <c r="D14" s="332"/>
      <c r="E14" s="332"/>
      <c r="F14" s="332"/>
    </row>
    <row r="15" spans="1:6">
      <c r="A15" s="1306" t="s">
        <v>183</v>
      </c>
      <c r="B15" s="1307">
        <v>58</v>
      </c>
      <c r="C15" s="332"/>
      <c r="D15" s="332"/>
      <c r="E15" s="332"/>
      <c r="F15" s="332"/>
    </row>
    <row r="16" spans="1:6">
      <c r="A16" s="1306" t="s">
        <v>6</v>
      </c>
      <c r="B16" s="1307">
        <v>2622</v>
      </c>
      <c r="C16" s="332"/>
      <c r="D16" s="332"/>
      <c r="E16" s="332"/>
      <c r="F16" s="332"/>
    </row>
    <row r="17" spans="1:6">
      <c r="A17" s="1306" t="s">
        <v>7</v>
      </c>
      <c r="B17" s="1307">
        <v>1400</v>
      </c>
      <c r="C17" s="332"/>
      <c r="D17" s="332"/>
      <c r="E17" s="332"/>
      <c r="F17" s="332"/>
    </row>
    <row r="18" spans="1:6">
      <c r="A18" s="1306" t="s">
        <v>8</v>
      </c>
      <c r="B18" s="1307">
        <v>2780</v>
      </c>
      <c r="C18" s="332"/>
      <c r="D18" s="332"/>
      <c r="E18" s="332"/>
      <c r="F18" s="332"/>
    </row>
    <row r="19" spans="1:6">
      <c r="A19" s="1306" t="s">
        <v>9</v>
      </c>
      <c r="B19" s="1307">
        <v>2889</v>
      </c>
      <c r="C19" s="332"/>
      <c r="D19" s="332"/>
      <c r="E19" s="332"/>
      <c r="F19" s="332"/>
    </row>
    <row r="20" spans="1:6">
      <c r="A20" s="1306" t="s">
        <v>10</v>
      </c>
      <c r="B20" s="1307">
        <v>1533</v>
      </c>
      <c r="C20" s="332"/>
      <c r="D20" s="332"/>
      <c r="E20" s="332"/>
      <c r="F20" s="332"/>
    </row>
    <row r="21" spans="1:6">
      <c r="A21" s="1306" t="s">
        <v>11</v>
      </c>
      <c r="B21" s="1307">
        <v>11547</v>
      </c>
      <c r="C21" s="332"/>
      <c r="D21" s="332"/>
      <c r="E21" s="332"/>
      <c r="F21" s="332"/>
    </row>
    <row r="22" spans="1:6">
      <c r="A22" s="1306" t="s">
        <v>12</v>
      </c>
      <c r="B22" s="1307">
        <v>21408</v>
      </c>
      <c r="C22" s="332"/>
      <c r="D22" s="332"/>
      <c r="E22" s="332"/>
      <c r="F22" s="332"/>
    </row>
    <row r="23" spans="1:6">
      <c r="A23" s="1306" t="s">
        <v>13</v>
      </c>
      <c r="B23" s="1307">
        <v>796</v>
      </c>
      <c r="C23" s="332"/>
      <c r="D23" s="332"/>
      <c r="E23" s="332"/>
      <c r="F23" s="332"/>
    </row>
    <row r="24" spans="1:6">
      <c r="A24" s="1306" t="s">
        <v>14</v>
      </c>
      <c r="B24" s="1307">
        <v>51</v>
      </c>
      <c r="C24" s="332"/>
      <c r="D24" s="332"/>
      <c r="E24" s="332"/>
      <c r="F24" s="332"/>
    </row>
    <row r="25" spans="1:6">
      <c r="A25" s="1306" t="s">
        <v>15</v>
      </c>
      <c r="B25" s="1307">
        <v>2817</v>
      </c>
      <c r="C25" s="332"/>
      <c r="D25" s="332"/>
      <c r="E25" s="332"/>
      <c r="F25" s="332"/>
    </row>
    <row r="26" spans="1:6">
      <c r="A26" s="1306" t="s">
        <v>16</v>
      </c>
      <c r="B26" s="1307">
        <v>288</v>
      </c>
      <c r="C26" s="332"/>
      <c r="D26" s="332"/>
      <c r="E26" s="332"/>
      <c r="F26" s="332"/>
    </row>
    <row r="27" spans="1:6">
      <c r="A27" s="1306" t="s">
        <v>17</v>
      </c>
      <c r="B27" s="1307">
        <v>2</v>
      </c>
      <c r="C27" s="332"/>
      <c r="D27" s="332"/>
      <c r="E27" s="332"/>
      <c r="F27" s="332"/>
    </row>
    <row r="28" spans="1:6" s="43" customFormat="1">
      <c r="A28" s="1308" t="s">
        <v>18</v>
      </c>
      <c r="B28" s="1309">
        <v>43833</v>
      </c>
      <c r="C28" s="338"/>
      <c r="D28" s="338"/>
      <c r="E28" s="338"/>
      <c r="F28" s="338"/>
    </row>
    <row r="29" spans="1:6">
      <c r="A29" s="1308" t="s">
        <v>916</v>
      </c>
      <c r="B29" s="1309">
        <v>359</v>
      </c>
      <c r="C29" s="338"/>
      <c r="D29" s="338"/>
      <c r="E29" s="338"/>
      <c r="F29" s="338"/>
    </row>
    <row r="30" spans="1:6">
      <c r="A30" s="1301" t="s">
        <v>917</v>
      </c>
      <c r="B30" s="1310">
        <v>64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6</v>
      </c>
      <c r="F35" s="1307">
        <v>72852.200424322902</v>
      </c>
    </row>
    <row r="36" spans="1:6">
      <c r="A36" s="1306" t="s">
        <v>24</v>
      </c>
      <c r="B36" s="1306" t="s">
        <v>26</v>
      </c>
      <c r="C36" s="1307">
        <v>3</v>
      </c>
      <c r="D36" s="1307">
        <v>236765.621948438</v>
      </c>
      <c r="E36" s="1307">
        <v>4</v>
      </c>
      <c r="F36" s="1307">
        <v>15213.303455650799</v>
      </c>
    </row>
    <row r="37" spans="1:6">
      <c r="A37" s="1306" t="s">
        <v>24</v>
      </c>
      <c r="B37" s="1306" t="s">
        <v>27</v>
      </c>
      <c r="C37" s="1307">
        <v>0</v>
      </c>
      <c r="D37" s="1307">
        <v>0</v>
      </c>
      <c r="E37" s="1307">
        <v>0</v>
      </c>
      <c r="F37" s="1307">
        <v>0</v>
      </c>
    </row>
    <row r="38" spans="1:6">
      <c r="A38" s="1306" t="s">
        <v>24</v>
      </c>
      <c r="B38" s="1306" t="s">
        <v>28</v>
      </c>
      <c r="C38" s="1307">
        <v>1</v>
      </c>
      <c r="D38" s="1307">
        <v>14070.055542690599</v>
      </c>
      <c r="E38" s="1307">
        <v>4</v>
      </c>
      <c r="F38" s="1307">
        <v>231134.532065078</v>
      </c>
    </row>
    <row r="39" spans="1:6">
      <c r="A39" s="1306" t="s">
        <v>29</v>
      </c>
      <c r="B39" s="1306" t="s">
        <v>30</v>
      </c>
      <c r="C39" s="1307">
        <v>7246</v>
      </c>
      <c r="D39" s="1307">
        <v>126697045.760171</v>
      </c>
      <c r="E39" s="1307">
        <v>13340</v>
      </c>
      <c r="F39" s="1307">
        <v>64408907.878156401</v>
      </c>
    </row>
    <row r="40" spans="1:6">
      <c r="A40" s="1306" t="s">
        <v>29</v>
      </c>
      <c r="B40" s="1306" t="s">
        <v>28</v>
      </c>
      <c r="C40" s="1307">
        <v>1</v>
      </c>
      <c r="D40" s="1307">
        <v>15074.131999212001</v>
      </c>
      <c r="E40" s="1307">
        <v>2</v>
      </c>
      <c r="F40" s="1307">
        <v>21374.5409862985</v>
      </c>
    </row>
    <row r="41" spans="1:6">
      <c r="A41" s="1306" t="s">
        <v>31</v>
      </c>
      <c r="B41" s="1306" t="s">
        <v>32</v>
      </c>
      <c r="C41" s="1307">
        <v>95</v>
      </c>
      <c r="D41" s="1307">
        <v>37001952.6322762</v>
      </c>
      <c r="E41" s="1307">
        <v>304</v>
      </c>
      <c r="F41" s="1307">
        <v>2345900.9561737501</v>
      </c>
    </row>
    <row r="42" spans="1:6">
      <c r="A42" s="1306" t="s">
        <v>31</v>
      </c>
      <c r="B42" s="1306" t="s">
        <v>33</v>
      </c>
      <c r="C42" s="1307">
        <v>0</v>
      </c>
      <c r="D42" s="1307">
        <v>0</v>
      </c>
      <c r="E42" s="1307">
        <v>5</v>
      </c>
      <c r="F42" s="1307">
        <v>45223237.512757003</v>
      </c>
    </row>
    <row r="43" spans="1:6">
      <c r="A43" s="1306" t="s">
        <v>31</v>
      </c>
      <c r="B43" s="1306" t="s">
        <v>34</v>
      </c>
      <c r="C43" s="1307">
        <v>0</v>
      </c>
      <c r="D43" s="1307">
        <v>0</v>
      </c>
      <c r="E43" s="1307">
        <v>0</v>
      </c>
      <c r="F43" s="1307">
        <v>0</v>
      </c>
    </row>
    <row r="44" spans="1:6">
      <c r="A44" s="1306" t="s">
        <v>31</v>
      </c>
      <c r="B44" s="1306" t="s">
        <v>35</v>
      </c>
      <c r="C44" s="1307">
        <v>6</v>
      </c>
      <c r="D44" s="1307">
        <v>115404.606853223</v>
      </c>
      <c r="E44" s="1307">
        <v>38</v>
      </c>
      <c r="F44" s="1307">
        <v>487073.87550192699</v>
      </c>
    </row>
    <row r="45" spans="1:6">
      <c r="A45" s="1306" t="s">
        <v>31</v>
      </c>
      <c r="B45" s="1306" t="s">
        <v>36</v>
      </c>
      <c r="C45" s="1307">
        <v>0</v>
      </c>
      <c r="D45" s="1307">
        <v>0</v>
      </c>
      <c r="E45" s="1307">
        <v>3</v>
      </c>
      <c r="F45" s="1307">
        <v>140642.282294087</v>
      </c>
    </row>
    <row r="46" spans="1:6">
      <c r="A46" s="1306" t="s">
        <v>31</v>
      </c>
      <c r="B46" s="1306" t="s">
        <v>37</v>
      </c>
      <c r="C46" s="1307">
        <v>0</v>
      </c>
      <c r="D46" s="1307">
        <v>0</v>
      </c>
      <c r="E46" s="1307">
        <v>0</v>
      </c>
      <c r="F46" s="1307">
        <v>0</v>
      </c>
    </row>
    <row r="47" spans="1:6">
      <c r="A47" s="1306" t="s">
        <v>31</v>
      </c>
      <c r="B47" s="1306" t="s">
        <v>38</v>
      </c>
      <c r="C47" s="1307">
        <v>11</v>
      </c>
      <c r="D47" s="1307">
        <v>374046.25373843301</v>
      </c>
      <c r="E47" s="1307">
        <v>13</v>
      </c>
      <c r="F47" s="1307">
        <v>265937.52494661103</v>
      </c>
    </row>
    <row r="48" spans="1:6">
      <c r="A48" s="1306" t="s">
        <v>31</v>
      </c>
      <c r="B48" s="1306" t="s">
        <v>28</v>
      </c>
      <c r="C48" s="1307">
        <v>34</v>
      </c>
      <c r="D48" s="1307">
        <v>50372322.947957799</v>
      </c>
      <c r="E48" s="1307">
        <v>44</v>
      </c>
      <c r="F48" s="1307">
        <v>35682359.906637602</v>
      </c>
    </row>
    <row r="49" spans="1:6">
      <c r="A49" s="1306" t="s">
        <v>31</v>
      </c>
      <c r="B49" s="1306" t="s">
        <v>39</v>
      </c>
      <c r="C49" s="1307">
        <v>0</v>
      </c>
      <c r="D49" s="1307">
        <v>0</v>
      </c>
      <c r="E49" s="1307">
        <v>3</v>
      </c>
      <c r="F49" s="1307">
        <v>28318</v>
      </c>
    </row>
    <row r="50" spans="1:6">
      <c r="A50" s="1306" t="s">
        <v>31</v>
      </c>
      <c r="B50" s="1306" t="s">
        <v>40</v>
      </c>
      <c r="C50" s="1307">
        <v>20</v>
      </c>
      <c r="D50" s="1307">
        <v>5060020.4546755003</v>
      </c>
      <c r="E50" s="1307">
        <v>42</v>
      </c>
      <c r="F50" s="1307">
        <v>3979250.2198773399</v>
      </c>
    </row>
    <row r="51" spans="1:6">
      <c r="A51" s="1306" t="s">
        <v>41</v>
      </c>
      <c r="B51" s="1306" t="s">
        <v>42</v>
      </c>
      <c r="C51" s="1307">
        <v>19</v>
      </c>
      <c r="D51" s="1307">
        <v>4763326.7556091798</v>
      </c>
      <c r="E51" s="1307">
        <v>226</v>
      </c>
      <c r="F51" s="1307">
        <v>4238048.0899409298</v>
      </c>
    </row>
    <row r="52" spans="1:6">
      <c r="A52" s="1306" t="s">
        <v>41</v>
      </c>
      <c r="B52" s="1306" t="s">
        <v>28</v>
      </c>
      <c r="C52" s="1307">
        <v>6</v>
      </c>
      <c r="D52" s="1307">
        <v>4342974.9646044597</v>
      </c>
      <c r="E52" s="1307">
        <v>10</v>
      </c>
      <c r="F52" s="1307">
        <v>554495.34754724498</v>
      </c>
    </row>
    <row r="53" spans="1:6">
      <c r="A53" s="1306" t="s">
        <v>43</v>
      </c>
      <c r="B53" s="1306" t="s">
        <v>44</v>
      </c>
      <c r="C53" s="1307">
        <v>178</v>
      </c>
      <c r="D53" s="1307">
        <v>7682623.8469485696</v>
      </c>
      <c r="E53" s="1307">
        <v>366</v>
      </c>
      <c r="F53" s="1307">
        <v>1909111.32011518</v>
      </c>
    </row>
    <row r="54" spans="1:6">
      <c r="A54" s="1306" t="s">
        <v>45</v>
      </c>
      <c r="B54" s="1306" t="s">
        <v>46</v>
      </c>
      <c r="C54" s="1307">
        <v>0</v>
      </c>
      <c r="D54" s="1307">
        <v>0</v>
      </c>
      <c r="E54" s="1307">
        <v>3</v>
      </c>
      <c r="F54" s="1307">
        <v>2390288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48</v>
      </c>
      <c r="D57" s="1307">
        <v>3605500.2015227298</v>
      </c>
      <c r="E57" s="1307">
        <v>148</v>
      </c>
      <c r="F57" s="1307">
        <v>4833508.4103737399</v>
      </c>
    </row>
    <row r="58" spans="1:6">
      <c r="A58" s="1306" t="s">
        <v>48</v>
      </c>
      <c r="B58" s="1306" t="s">
        <v>50</v>
      </c>
      <c r="C58" s="1307">
        <v>34</v>
      </c>
      <c r="D58" s="1307">
        <v>5524557.1338338703</v>
      </c>
      <c r="E58" s="1307">
        <v>70</v>
      </c>
      <c r="F58" s="1307">
        <v>3029534.06095745</v>
      </c>
    </row>
    <row r="59" spans="1:6">
      <c r="A59" s="1306" t="s">
        <v>48</v>
      </c>
      <c r="B59" s="1306" t="s">
        <v>51</v>
      </c>
      <c r="C59" s="1307">
        <v>116</v>
      </c>
      <c r="D59" s="1307">
        <v>9481083.8770427201</v>
      </c>
      <c r="E59" s="1307">
        <v>337</v>
      </c>
      <c r="F59" s="1307">
        <v>12248862.081390999</v>
      </c>
    </row>
    <row r="60" spans="1:6">
      <c r="A60" s="1306" t="s">
        <v>48</v>
      </c>
      <c r="B60" s="1306" t="s">
        <v>52</v>
      </c>
      <c r="C60" s="1307">
        <v>62</v>
      </c>
      <c r="D60" s="1307">
        <v>2883438.7757389699</v>
      </c>
      <c r="E60" s="1307">
        <v>114</v>
      </c>
      <c r="F60" s="1307">
        <v>1959983.6958282001</v>
      </c>
    </row>
    <row r="61" spans="1:6">
      <c r="A61" s="1306" t="s">
        <v>48</v>
      </c>
      <c r="B61" s="1306" t="s">
        <v>53</v>
      </c>
      <c r="C61" s="1307">
        <v>224</v>
      </c>
      <c r="D61" s="1307">
        <v>10040118.3966513</v>
      </c>
      <c r="E61" s="1307">
        <v>524</v>
      </c>
      <c r="F61" s="1307">
        <v>9471104.8186070397</v>
      </c>
    </row>
    <row r="62" spans="1:6">
      <c r="A62" s="1306" t="s">
        <v>48</v>
      </c>
      <c r="B62" s="1306" t="s">
        <v>54</v>
      </c>
      <c r="C62" s="1307">
        <v>6</v>
      </c>
      <c r="D62" s="1307">
        <v>486344.10549803497</v>
      </c>
      <c r="E62" s="1307">
        <v>25</v>
      </c>
      <c r="F62" s="1307">
        <v>905392.40546237398</v>
      </c>
    </row>
    <row r="63" spans="1:6">
      <c r="A63" s="1306" t="s">
        <v>48</v>
      </c>
      <c r="B63" s="1306" t="s">
        <v>28</v>
      </c>
      <c r="C63" s="1307">
        <v>113</v>
      </c>
      <c r="D63" s="1307">
        <v>22921044.7604177</v>
      </c>
      <c r="E63" s="1307">
        <v>99</v>
      </c>
      <c r="F63" s="1307">
        <v>9295639.6525850296</v>
      </c>
    </row>
    <row r="64" spans="1:6">
      <c r="A64" s="1306" t="s">
        <v>55</v>
      </c>
      <c r="B64" s="1306" t="s">
        <v>56</v>
      </c>
      <c r="C64" s="1307">
        <v>0</v>
      </c>
      <c r="D64" s="1307">
        <v>0</v>
      </c>
      <c r="E64" s="1307">
        <v>0</v>
      </c>
      <c r="F64" s="1307">
        <v>0</v>
      </c>
    </row>
    <row r="65" spans="1:6">
      <c r="A65" s="1306" t="s">
        <v>55</v>
      </c>
      <c r="B65" s="1306" t="s">
        <v>28</v>
      </c>
      <c r="C65" s="1307">
        <v>3</v>
      </c>
      <c r="D65" s="1307">
        <v>87475.2574500255</v>
      </c>
      <c r="E65" s="1307">
        <v>7</v>
      </c>
      <c r="F65" s="1307">
        <v>34514.848579226898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9</v>
      </c>
      <c r="D68" s="1310">
        <v>437888.65362566803</v>
      </c>
      <c r="E68" s="1310">
        <v>26</v>
      </c>
      <c r="F68" s="1310">
        <v>1083078.54159271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118710296</v>
      </c>
      <c r="E73" s="456"/>
      <c r="F73" s="332"/>
    </row>
    <row r="74" spans="1:6">
      <c r="A74" s="1306" t="s">
        <v>63</v>
      </c>
      <c r="B74" s="1306" t="s">
        <v>724</v>
      </c>
      <c r="C74" s="1320" t="s">
        <v>725</v>
      </c>
      <c r="D74" s="1321">
        <v>12703263.226827538</v>
      </c>
      <c r="E74" s="456"/>
      <c r="F74" s="332"/>
    </row>
    <row r="75" spans="1:6">
      <c r="A75" s="1306" t="s">
        <v>64</v>
      </c>
      <c r="B75" s="1306" t="s">
        <v>722</v>
      </c>
      <c r="C75" s="1320" t="s">
        <v>726</v>
      </c>
      <c r="D75" s="1321">
        <v>53276640</v>
      </c>
      <c r="E75" s="456"/>
      <c r="F75" s="332"/>
    </row>
    <row r="76" spans="1:6">
      <c r="A76" s="1306" t="s">
        <v>64</v>
      </c>
      <c r="B76" s="1306" t="s">
        <v>724</v>
      </c>
      <c r="C76" s="1320" t="s">
        <v>727</v>
      </c>
      <c r="D76" s="1321">
        <v>2166352.2268275381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786333.54634492367</v>
      </c>
      <c r="C83" s="456"/>
      <c r="D83" s="332"/>
      <c r="E83" s="332"/>
      <c r="F83" s="332"/>
    </row>
    <row r="84" spans="1:6">
      <c r="A84" s="1301" t="s">
        <v>336</v>
      </c>
      <c r="B84" s="1322">
        <v>308920.22041854536</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6690.8776030079334</v>
      </c>
      <c r="C91" s="332"/>
      <c r="D91" s="332"/>
      <c r="E91" s="332"/>
      <c r="F91" s="332"/>
    </row>
    <row r="92" spans="1:6">
      <c r="A92" s="1301" t="s">
        <v>68</v>
      </c>
      <c r="B92" s="1302">
        <v>16077.404866983854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2815</v>
      </c>
      <c r="C97" s="332"/>
      <c r="D97" s="332"/>
      <c r="E97" s="332"/>
      <c r="F97" s="332"/>
    </row>
    <row r="98" spans="1:6">
      <c r="A98" s="1306" t="s">
        <v>71</v>
      </c>
      <c r="B98" s="1307">
        <v>1</v>
      </c>
      <c r="C98" s="332"/>
      <c r="D98" s="332"/>
      <c r="E98" s="332"/>
      <c r="F98" s="332"/>
    </row>
    <row r="99" spans="1:6">
      <c r="A99" s="1306" t="s">
        <v>72</v>
      </c>
      <c r="B99" s="1307">
        <v>245</v>
      </c>
      <c r="C99" s="332"/>
      <c r="D99" s="332"/>
      <c r="E99" s="332"/>
      <c r="F99" s="332"/>
    </row>
    <row r="100" spans="1:6">
      <c r="A100" s="1306" t="s">
        <v>73</v>
      </c>
      <c r="B100" s="1307">
        <v>1781</v>
      </c>
      <c r="C100" s="332"/>
      <c r="D100" s="332"/>
      <c r="E100" s="332"/>
      <c r="F100" s="332"/>
    </row>
    <row r="101" spans="1:6">
      <c r="A101" s="1306" t="s">
        <v>74</v>
      </c>
      <c r="B101" s="1307">
        <v>249</v>
      </c>
      <c r="C101" s="332"/>
      <c r="D101" s="332"/>
      <c r="E101" s="332"/>
      <c r="F101" s="332"/>
    </row>
    <row r="102" spans="1:6">
      <c r="A102" s="1306" t="s">
        <v>75</v>
      </c>
      <c r="B102" s="1307">
        <v>206</v>
      </c>
      <c r="C102" s="332"/>
      <c r="D102" s="332"/>
      <c r="E102" s="332"/>
      <c r="F102" s="332"/>
    </row>
    <row r="103" spans="1:6">
      <c r="A103" s="1306" t="s">
        <v>76</v>
      </c>
      <c r="B103" s="1307">
        <v>399</v>
      </c>
      <c r="C103" s="332"/>
      <c r="D103" s="332"/>
      <c r="E103" s="332"/>
      <c r="F103" s="332"/>
    </row>
    <row r="104" spans="1:6">
      <c r="A104" s="1306" t="s">
        <v>77</v>
      </c>
      <c r="B104" s="1307">
        <v>6177</v>
      </c>
      <c r="C104" s="332"/>
      <c r="D104" s="332"/>
      <c r="E104" s="332"/>
      <c r="F104" s="332"/>
    </row>
    <row r="105" spans="1:6">
      <c r="A105" s="1301" t="s">
        <v>78</v>
      </c>
      <c r="B105" s="1310">
        <v>16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47</v>
      </c>
      <c r="C123" s="1307">
        <v>42</v>
      </c>
      <c r="D123" s="332"/>
      <c r="E123" s="332"/>
      <c r="F123" s="332"/>
    </row>
    <row r="124" spans="1:6" s="43" customFormat="1">
      <c r="A124" s="1308" t="s">
        <v>88</v>
      </c>
      <c r="B124" s="1329">
        <v>2</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240</v>
      </c>
      <c r="C129" s="332"/>
      <c r="D129" s="332"/>
      <c r="E129" s="332"/>
      <c r="F129" s="332"/>
    </row>
    <row r="130" spans="1:6">
      <c r="A130" s="1306" t="s">
        <v>294</v>
      </c>
      <c r="B130" s="1307">
        <v>6</v>
      </c>
      <c r="C130" s="332"/>
      <c r="D130" s="332"/>
      <c r="E130" s="332"/>
      <c r="F130" s="332"/>
    </row>
    <row r="131" spans="1:6">
      <c r="A131" s="1306" t="s">
        <v>295</v>
      </c>
      <c r="B131" s="1307">
        <v>4</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211262.91660987388</v>
      </c>
      <c r="C3" s="43" t="s">
        <v>169</v>
      </c>
      <c r="D3" s="43"/>
      <c r="E3" s="156"/>
      <c r="F3" s="43"/>
      <c r="G3" s="43"/>
      <c r="H3" s="43"/>
      <c r="I3" s="43"/>
      <c r="J3" s="43"/>
      <c r="K3" s="96"/>
    </row>
    <row r="4" spans="1:11">
      <c r="A4" s="363" t="s">
        <v>170</v>
      </c>
      <c r="B4" s="49">
        <f>IF(ISERROR('SEAP template'!B78+'SEAP template'!C78),0,'SEAP template'!B78+'SEAP template'!C78)</f>
        <v>24570.494969991789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418.78164705882352</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0.1972793308843529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598.25949579831945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2574.5892857142858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0.23237084808746117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2390.288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2390.288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0.1972793308843529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471.55441726089811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64430.282419142699</v>
      </c>
      <c r="C5" s="17">
        <f>IF(ISERROR('Eigen informatie GS &amp; warmtenet'!B57),0,'Eigen informatie GS &amp; warmtenet'!B57)</f>
        <v>0</v>
      </c>
      <c r="D5" s="30">
        <f>(SUM(HH_hh_gas_kWh,HH_rest_gas_kWh)/1000)*0.902</f>
        <v>114294.33214273752</v>
      </c>
      <c r="E5" s="17">
        <f>B46*B57</f>
        <v>10593.764977053619</v>
      </c>
      <c r="F5" s="17">
        <f>B51*B62</f>
        <v>51498.249397059517</v>
      </c>
      <c r="G5" s="18"/>
      <c r="H5" s="17"/>
      <c r="I5" s="17"/>
      <c r="J5" s="17">
        <f>B50*B61+C50*C61</f>
        <v>0</v>
      </c>
      <c r="K5" s="17"/>
      <c r="L5" s="17"/>
      <c r="M5" s="17"/>
      <c r="N5" s="17">
        <f>B48*B59+C48*C59</f>
        <v>36854.2343612806</v>
      </c>
      <c r="O5" s="17">
        <f>B69*B70*B71</f>
        <v>443.98666666666668</v>
      </c>
      <c r="P5" s="17">
        <f>B77*B78*B79/1000-B77*B78*B79/1000/B80</f>
        <v>1258.4000000000001</v>
      </c>
    </row>
    <row r="6" spans="1:16">
      <c r="A6" s="16" t="s">
        <v>633</v>
      </c>
      <c r="B6" s="779">
        <f>kWh_PV_kleiner_dan_10kW</f>
        <v>6690.8776030079334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71121.160022150638</v>
      </c>
      <c r="C8" s="21">
        <f>C5</f>
        <v>0</v>
      </c>
      <c r="D8" s="21">
        <f>D5</f>
        <v>114294.33214273752</v>
      </c>
      <c r="E8" s="21">
        <f>E5</f>
        <v>10593.764977053619</v>
      </c>
      <c r="F8" s="21">
        <f>F5</f>
        <v>51498.249397059517</v>
      </c>
      <c r="G8" s="21"/>
      <c r="H8" s="21"/>
      <c r="I8" s="21"/>
      <c r="J8" s="21">
        <f>J5</f>
        <v>0</v>
      </c>
      <c r="K8" s="21"/>
      <c r="L8" s="21">
        <f>L5</f>
        <v>0</v>
      </c>
      <c r="M8" s="21">
        <f>M5</f>
        <v>0</v>
      </c>
      <c r="N8" s="21">
        <f>N5</f>
        <v>36854.2343612806</v>
      </c>
      <c r="O8" s="21">
        <f>O5</f>
        <v>443.98666666666668</v>
      </c>
      <c r="P8" s="21">
        <f>P5</f>
        <v>1258.4000000000001</v>
      </c>
    </row>
    <row r="9" spans="1:16">
      <c r="B9" s="19"/>
      <c r="C9" s="19"/>
      <c r="D9" s="261"/>
      <c r="E9" s="19"/>
      <c r="F9" s="19"/>
      <c r="G9" s="19"/>
      <c r="H9" s="19"/>
      <c r="I9" s="19"/>
      <c r="J9" s="19"/>
      <c r="K9" s="19"/>
      <c r="L9" s="19"/>
      <c r="M9" s="19"/>
      <c r="N9" s="19"/>
      <c r="O9" s="19"/>
      <c r="P9" s="19"/>
    </row>
    <row r="10" spans="1:16">
      <c r="A10" s="24" t="s">
        <v>213</v>
      </c>
      <c r="B10" s="25">
        <f ca="1">'EF ele_warmte'!B12</f>
        <v>0.1972793308843529</v>
      </c>
      <c r="C10" s="25">
        <f ca="1">'EF ele_warmte'!B22</f>
        <v>0.23237084808746117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14030.734860888868</v>
      </c>
      <c r="C12" s="23">
        <f ca="1">C10*C8</f>
        <v>0</v>
      </c>
      <c r="D12" s="23">
        <f>D8*D10</f>
        <v>23087.455092832981</v>
      </c>
      <c r="E12" s="23">
        <f>E10*E8</f>
        <v>2404.7846497911714</v>
      </c>
      <c r="F12" s="23">
        <f>F10*F8</f>
        <v>13750.032589014892</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2815</v>
      </c>
      <c r="C18" s="168" t="s">
        <v>110</v>
      </c>
      <c r="D18" s="230"/>
      <c r="E18" s="15"/>
    </row>
    <row r="19" spans="1:7">
      <c r="A19" s="173" t="s">
        <v>71</v>
      </c>
      <c r="B19" s="37">
        <f>aantalw2001_ander</f>
        <v>1</v>
      </c>
      <c r="C19" s="168" t="s">
        <v>110</v>
      </c>
      <c r="D19" s="231"/>
      <c r="E19" s="15"/>
    </row>
    <row r="20" spans="1:7">
      <c r="A20" s="173" t="s">
        <v>72</v>
      </c>
      <c r="B20" s="37">
        <f>aantalw2001_propaan</f>
        <v>245</v>
      </c>
      <c r="C20" s="169">
        <f>IF(ISERROR(B20/SUM($B$20,$B$21,$B$22)*100),0,B20/SUM($B$20,$B$21,$B$22)*100)</f>
        <v>10.76923076923077</v>
      </c>
      <c r="D20" s="231"/>
      <c r="E20" s="15"/>
    </row>
    <row r="21" spans="1:7">
      <c r="A21" s="173" t="s">
        <v>73</v>
      </c>
      <c r="B21" s="37">
        <f>aantalw2001_elektriciteit</f>
        <v>1781</v>
      </c>
      <c r="C21" s="169">
        <f>IF(ISERROR(B21/SUM($B$20,$B$21,$B$22)*100),0,B21/SUM($B$20,$B$21,$B$22)*100)</f>
        <v>78.285714285714278</v>
      </c>
      <c r="D21" s="231"/>
      <c r="E21" s="15"/>
    </row>
    <row r="22" spans="1:7">
      <c r="A22" s="173" t="s">
        <v>74</v>
      </c>
      <c r="B22" s="37">
        <f>aantalw2001_hout</f>
        <v>249</v>
      </c>
      <c r="C22" s="169">
        <f>IF(ISERROR(B22/SUM($B$20,$B$21,$B$22)*100),0,B22/SUM($B$20,$B$21,$B$22)*100)</f>
        <v>10.945054945054945</v>
      </c>
      <c r="D22" s="231"/>
      <c r="E22" s="15"/>
    </row>
    <row r="23" spans="1:7">
      <c r="A23" s="173" t="s">
        <v>75</v>
      </c>
      <c r="B23" s="37">
        <f>aantalw2001_niet_gespec</f>
        <v>206</v>
      </c>
      <c r="C23" s="168" t="s">
        <v>110</v>
      </c>
      <c r="D23" s="230"/>
      <c r="E23" s="15"/>
    </row>
    <row r="24" spans="1:7">
      <c r="A24" s="173" t="s">
        <v>76</v>
      </c>
      <c r="B24" s="37">
        <f>aantalw2001_steenkool</f>
        <v>399</v>
      </c>
      <c r="C24" s="168" t="s">
        <v>110</v>
      </c>
      <c r="D24" s="231"/>
      <c r="E24" s="15"/>
    </row>
    <row r="25" spans="1:7">
      <c r="A25" s="173" t="s">
        <v>77</v>
      </c>
      <c r="B25" s="37">
        <f>aantalw2001_stookolie</f>
        <v>6177</v>
      </c>
      <c r="C25" s="168" t="s">
        <v>110</v>
      </c>
      <c r="D25" s="230"/>
      <c r="E25" s="52"/>
    </row>
    <row r="26" spans="1:7">
      <c r="A26" s="173" t="s">
        <v>78</v>
      </c>
      <c r="B26" s="37">
        <f>aantalw2001_WP</f>
        <v>16</v>
      </c>
      <c r="C26" s="168" t="s">
        <v>110</v>
      </c>
      <c r="D26" s="230"/>
      <c r="E26" s="15"/>
    </row>
    <row r="27" spans="1:7" s="15" customFormat="1">
      <c r="A27" s="173"/>
      <c r="B27" s="29"/>
      <c r="C27" s="36"/>
      <c r="D27" s="230"/>
    </row>
    <row r="28" spans="1:7" s="15" customFormat="1">
      <c r="A28" s="232" t="s">
        <v>742</v>
      </c>
      <c r="B28" s="37">
        <f>aantalHuishoudens</f>
        <v>13791</v>
      </c>
      <c r="C28" s="36"/>
      <c r="D28" s="230"/>
    </row>
    <row r="29" spans="1:7" s="15" customFormat="1">
      <c r="A29" s="232" t="s">
        <v>743</v>
      </c>
      <c r="B29" s="37">
        <f>SUM(HH_hh_gas_aantal,HH_rest_gas_aantal)</f>
        <v>7247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7247</v>
      </c>
      <c r="C32" s="169">
        <f>IF(ISERROR(B32/SUM($B$32,$B$34,$B$35,$B$36,$B$38,$B$39)*100),0,B32/SUM($B$32,$B$34,$B$35,$B$36,$B$38,$B$39)*100)</f>
        <v>52.801457194899811</v>
      </c>
      <c r="D32" s="235"/>
      <c r="G32" s="15"/>
    </row>
    <row r="33" spans="1:7">
      <c r="A33" s="173" t="s">
        <v>71</v>
      </c>
      <c r="B33" s="34" t="s">
        <v>110</v>
      </c>
      <c r="C33" s="169"/>
      <c r="D33" s="235"/>
      <c r="G33" s="15"/>
    </row>
    <row r="34" spans="1:7">
      <c r="A34" s="173" t="s">
        <v>72</v>
      </c>
      <c r="B34" s="33">
        <f>IF((($B$28-$B$32-$B$39-$B$77-$B$38)*C20/100)&lt;0,0,($B$28-$B$32-$B$39-$B$77-$B$38)*C20/100)</f>
        <v>461.97846153846154</v>
      </c>
      <c r="C34" s="169">
        <f>IF(ISERROR(B34/SUM($B$32,$B$34,$B$35,$B$36,$B$38,$B$39)*100),0,B34/SUM($B$32,$B$34,$B$35,$B$36,$B$38,$B$39)*100)</f>
        <v>3.3659632898977159</v>
      </c>
      <c r="D34" s="235"/>
      <c r="G34" s="15"/>
    </row>
    <row r="35" spans="1:7">
      <c r="A35" s="173" t="s">
        <v>73</v>
      </c>
      <c r="B35" s="33">
        <f>IF((($B$28-$B$32-$B$39-$B$77-$B$38)*C21/100)&lt;0,0,($B$28-$B$32-$B$39-$B$77-$B$38)*C21/100)</f>
        <v>3358.3005714285709</v>
      </c>
      <c r="C35" s="169">
        <f>IF(ISERROR(B35/SUM($B$32,$B$34,$B$35,$B$36,$B$38,$B$39)*100),0,B35/SUM($B$32,$B$34,$B$35,$B$36,$B$38,$B$39)*100)</f>
        <v>24.468492323705433</v>
      </c>
      <c r="D35" s="235"/>
      <c r="G35" s="15"/>
    </row>
    <row r="36" spans="1:7">
      <c r="A36" s="173" t="s">
        <v>74</v>
      </c>
      <c r="B36" s="33">
        <f>IF((($B$28-$B$32-$B$39-$B$77-$B$38)*C22/100)&lt;0,0,($B$28-$B$32-$B$39-$B$77-$B$38)*C22/100)</f>
        <v>469.52096703296706</v>
      </c>
      <c r="C36" s="169">
        <f>IF(ISERROR(B36/SUM($B$32,$B$34,$B$35,$B$36,$B$38,$B$39)*100),0,B36/SUM($B$32,$B$34,$B$35,$B$36,$B$38,$B$39)*100)</f>
        <v>3.4209177925899241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2188.1999999999998</v>
      </c>
      <c r="C39" s="169">
        <f>IF(ISERROR(B39/SUM($B$32,$B$34,$B$35,$B$36,$B$38,$B$39)*100),0,B39/SUM($B$32,$B$34,$B$35,$B$36,$B$38,$B$39)*100)</f>
        <v>15.943169398907104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7247</v>
      </c>
      <c r="C44" s="34" t="s">
        <v>110</v>
      </c>
      <c r="D44" s="176"/>
    </row>
    <row r="45" spans="1:7">
      <c r="A45" s="173" t="s">
        <v>71</v>
      </c>
      <c r="B45" s="33" t="str">
        <f t="shared" si="0"/>
        <v>-</v>
      </c>
      <c r="C45" s="34" t="s">
        <v>110</v>
      </c>
      <c r="D45" s="176"/>
    </row>
    <row r="46" spans="1:7">
      <c r="A46" s="173" t="s">
        <v>72</v>
      </c>
      <c r="B46" s="33">
        <f t="shared" si="0"/>
        <v>461.97846153846154</v>
      </c>
      <c r="C46" s="34" t="s">
        <v>110</v>
      </c>
      <c r="D46" s="176"/>
    </row>
    <row r="47" spans="1:7">
      <c r="A47" s="173" t="s">
        <v>73</v>
      </c>
      <c r="B47" s="33">
        <f t="shared" si="0"/>
        <v>3358.3005714285709</v>
      </c>
      <c r="C47" s="34" t="s">
        <v>110</v>
      </c>
      <c r="D47" s="176"/>
    </row>
    <row r="48" spans="1:7">
      <c r="A48" s="173" t="s">
        <v>74</v>
      </c>
      <c r="B48" s="33">
        <f t="shared" si="0"/>
        <v>469.52096703296706</v>
      </c>
      <c r="C48" s="33">
        <f>B48*10</f>
        <v>4695.2096703296702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2188.1999999999998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284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41744.025125204833</v>
      </c>
      <c r="C5" s="17">
        <f>IF(ISERROR('Eigen informatie GS &amp; warmtenet'!B58),0,'Eigen informatie GS &amp; warmtenet'!B58)</f>
        <v>0</v>
      </c>
      <c r="D5" s="30">
        <f>SUM(D6:D12)</f>
        <v>49557.762700136198</v>
      </c>
      <c r="E5" s="17">
        <f>SUM(E6:E12)</f>
        <v>462.80756759490794</v>
      </c>
      <c r="F5" s="17">
        <f>SUM(F6:F12)</f>
        <v>8233.9647260670899</v>
      </c>
      <c r="G5" s="18"/>
      <c r="H5" s="17"/>
      <c r="I5" s="17"/>
      <c r="J5" s="17">
        <f>SUM(J6:J12)</f>
        <v>0</v>
      </c>
      <c r="K5" s="17"/>
      <c r="L5" s="17"/>
      <c r="M5" s="17"/>
      <c r="N5" s="17">
        <f>SUM(N6:N12)</f>
        <v>4175.9781537153603</v>
      </c>
      <c r="O5" s="17">
        <f>B38*B39*B40</f>
        <v>9.3800000000000008</v>
      </c>
      <c r="P5" s="17">
        <f>B46*B47*B48/1000-B46*B47*B48/1000/B49</f>
        <v>95.333333333333343</v>
      </c>
      <c r="R5" s="32"/>
    </row>
    <row r="6" spans="1:18">
      <c r="A6" s="32" t="s">
        <v>53</v>
      </c>
      <c r="B6" s="37">
        <f>B26</f>
        <v>9471.1048186070402</v>
      </c>
      <c r="C6" s="33"/>
      <c r="D6" s="37">
        <f>IF(ISERROR(TER_kantoor_gas_kWh/1000),0,TER_kantoor_gas_kWh/1000)*0.902</f>
        <v>9056.1867937794723</v>
      </c>
      <c r="E6" s="33">
        <f>$C$26*'E Balans VL '!I12/100/3.6*1000000</f>
        <v>36.797247370008179</v>
      </c>
      <c r="F6" s="33">
        <f>$C$26*('E Balans VL '!L12+'E Balans VL '!N12)/100/3.6*1000000</f>
        <v>1440.4688627271619</v>
      </c>
      <c r="G6" s="34"/>
      <c r="H6" s="33"/>
      <c r="I6" s="33"/>
      <c r="J6" s="33">
        <f>$C$26*('E Balans VL '!D12+'E Balans VL '!E12)/100/3.6*1000000</f>
        <v>0</v>
      </c>
      <c r="K6" s="33"/>
      <c r="L6" s="33"/>
      <c r="M6" s="33"/>
      <c r="N6" s="33">
        <f>$C$26*'E Balans VL '!Y12/100/3.6*1000000</f>
        <v>5.2197133654677623</v>
      </c>
      <c r="O6" s="33"/>
      <c r="P6" s="33"/>
      <c r="R6" s="32"/>
    </row>
    <row r="7" spans="1:18">
      <c r="A7" s="32" t="s">
        <v>52</v>
      </c>
      <c r="B7" s="37">
        <f t="shared" ref="B7:B12" si="0">B27</f>
        <v>1959.9836958282001</v>
      </c>
      <c r="C7" s="33"/>
      <c r="D7" s="37">
        <f>IF(ISERROR(TER_horeca_gas_kWh/1000),0,TER_horeca_gas_kWh/1000)*0.902</f>
        <v>2600.8617757165512</v>
      </c>
      <c r="E7" s="33">
        <f>$C$27*'E Balans VL '!I9/100/3.6*1000000</f>
        <v>110.40640559882304</v>
      </c>
      <c r="F7" s="33">
        <f>$C$27*('E Balans VL '!L9+'E Balans VL '!N9)/100/3.6*1000000</f>
        <v>565.14195604839938</v>
      </c>
      <c r="G7" s="34"/>
      <c r="H7" s="33"/>
      <c r="I7" s="33"/>
      <c r="J7" s="33">
        <f>$C$27*('E Balans VL '!D9+'E Balans VL '!E9)/100/3.6*1000000</f>
        <v>0</v>
      </c>
      <c r="K7" s="33"/>
      <c r="L7" s="33"/>
      <c r="M7" s="33"/>
      <c r="N7" s="33">
        <f>$C$27*'E Balans VL '!Y9/100/3.6*1000000</f>
        <v>0.54114131338460392</v>
      </c>
      <c r="O7" s="33"/>
      <c r="P7" s="33"/>
      <c r="R7" s="32"/>
    </row>
    <row r="8" spans="1:18">
      <c r="A8" s="6" t="s">
        <v>51</v>
      </c>
      <c r="B8" s="37">
        <f t="shared" si="0"/>
        <v>12248.862081390998</v>
      </c>
      <c r="C8" s="33"/>
      <c r="D8" s="37">
        <f>IF(ISERROR(TER_handel_gas_kWh/1000),0,TER_handel_gas_kWh/1000)*0.902</f>
        <v>8551.9376570925342</v>
      </c>
      <c r="E8" s="33">
        <f>$C$28*'E Balans VL '!I13/100/3.6*1000000</f>
        <v>176.54765884804988</v>
      </c>
      <c r="F8" s="33">
        <f>$C$28*('E Balans VL '!L13+'E Balans VL '!N13)/100/3.6*1000000</f>
        <v>2127.9126002866942</v>
      </c>
      <c r="G8" s="34"/>
      <c r="H8" s="33"/>
      <c r="I8" s="33"/>
      <c r="J8" s="33">
        <f>$C$28*('E Balans VL '!D13+'E Balans VL '!E13)/100/3.6*1000000</f>
        <v>0</v>
      </c>
      <c r="K8" s="33"/>
      <c r="L8" s="33"/>
      <c r="M8" s="33"/>
      <c r="N8" s="33">
        <f>$C$28*'E Balans VL '!Y13/100/3.6*1000000</f>
        <v>36.698954367264108</v>
      </c>
      <c r="O8" s="33"/>
      <c r="P8" s="33"/>
      <c r="R8" s="32"/>
    </row>
    <row r="9" spans="1:18">
      <c r="A9" s="32" t="s">
        <v>50</v>
      </c>
      <c r="B9" s="37">
        <f t="shared" si="0"/>
        <v>3029.53406095745</v>
      </c>
      <c r="C9" s="33"/>
      <c r="D9" s="37">
        <f>IF(ISERROR(TER_gezond_gas_kWh/1000),0,TER_gezond_gas_kWh/1000)*0.902</f>
        <v>4983.150534718151</v>
      </c>
      <c r="E9" s="33">
        <f>$C$29*'E Balans VL '!I10/100/3.6*1000000</f>
        <v>3.2363276034946313</v>
      </c>
      <c r="F9" s="33">
        <f>$C$29*('E Balans VL '!L10+'E Balans VL '!N10)/100/3.6*1000000</f>
        <v>494.20907633725881</v>
      </c>
      <c r="G9" s="34"/>
      <c r="H9" s="33"/>
      <c r="I9" s="33"/>
      <c r="J9" s="33">
        <f>$C$29*('E Balans VL '!D10+'E Balans VL '!E10)/100/3.6*1000000</f>
        <v>0</v>
      </c>
      <c r="K9" s="33"/>
      <c r="L9" s="33"/>
      <c r="M9" s="33"/>
      <c r="N9" s="33">
        <f>$C$29*'E Balans VL '!Y10/100/3.6*1000000</f>
        <v>31.187324539908225</v>
      </c>
      <c r="O9" s="33"/>
      <c r="P9" s="33"/>
      <c r="R9" s="32"/>
    </row>
    <row r="10" spans="1:18">
      <c r="A10" s="32" t="s">
        <v>49</v>
      </c>
      <c r="B10" s="37">
        <f t="shared" si="0"/>
        <v>4833.5084103737399</v>
      </c>
      <c r="C10" s="33"/>
      <c r="D10" s="37">
        <f>IF(ISERROR(TER_ander_gas_kWh/1000),0,TER_ander_gas_kWh/1000)*0.902</f>
        <v>3252.161181773502</v>
      </c>
      <c r="E10" s="33">
        <f>$C$30*'E Balans VL '!I14/100/3.6*1000000</f>
        <v>22.228569948100727</v>
      </c>
      <c r="F10" s="33">
        <f>$C$30*('E Balans VL '!L14+'E Balans VL '!N14)/100/3.6*1000000</f>
        <v>1448.7549331473483</v>
      </c>
      <c r="G10" s="34"/>
      <c r="H10" s="33"/>
      <c r="I10" s="33"/>
      <c r="J10" s="33">
        <f>$C$30*('E Balans VL '!D14+'E Balans VL '!E14)/100/3.6*1000000</f>
        <v>0</v>
      </c>
      <c r="K10" s="33"/>
      <c r="L10" s="33"/>
      <c r="M10" s="33"/>
      <c r="N10" s="33">
        <f>$C$30*'E Balans VL '!Y14/100/3.6*1000000</f>
        <v>3364.4409172257397</v>
      </c>
      <c r="O10" s="33"/>
      <c r="P10" s="33"/>
      <c r="R10" s="32"/>
    </row>
    <row r="11" spans="1:18">
      <c r="A11" s="32" t="s">
        <v>54</v>
      </c>
      <c r="B11" s="37">
        <f t="shared" si="0"/>
        <v>905.39240546237397</v>
      </c>
      <c r="C11" s="33"/>
      <c r="D11" s="37">
        <f>IF(ISERROR(TER_onderwijs_gas_kWh/1000),0,TER_onderwijs_gas_kWh/1000)*0.902</f>
        <v>438.68238315922758</v>
      </c>
      <c r="E11" s="33">
        <f>$C$31*'E Balans VL '!I11/100/3.6*1000000</f>
        <v>0.83987052311540722</v>
      </c>
      <c r="F11" s="33">
        <f>$C$31*('E Balans VL '!L11+'E Balans VL '!N11)/100/3.6*1000000</f>
        <v>318.04354309057697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9295.6396525850305</v>
      </c>
      <c r="C12" s="33"/>
      <c r="D12" s="37">
        <f>IF(ISERROR(TER_rest_gas_kWh/1000),0,TER_rest_gas_kWh/1000)*0.902</f>
        <v>20674.782373896764</v>
      </c>
      <c r="E12" s="33">
        <f>$C$32*'E Balans VL '!I8/100/3.6*1000000</f>
        <v>112.75148770331609</v>
      </c>
      <c r="F12" s="33">
        <f>$C$32*('E Balans VL '!L8+'E Balans VL '!N8)/100/3.6*1000000</f>
        <v>1839.43375442965</v>
      </c>
      <c r="G12" s="34"/>
      <c r="H12" s="33"/>
      <c r="I12" s="33"/>
      <c r="J12" s="33">
        <f>$C$32*('E Balans VL '!D8+'E Balans VL '!E8)/100/3.6*1000000</f>
        <v>0</v>
      </c>
      <c r="K12" s="33"/>
      <c r="L12" s="33"/>
      <c r="M12" s="33"/>
      <c r="N12" s="33">
        <f>$C$32*'E Balans VL '!Y8/100/3.6*1000000</f>
        <v>737.89010290359636</v>
      </c>
      <c r="O12" s="33"/>
      <c r="P12" s="33"/>
      <c r="R12" s="32"/>
    </row>
    <row r="13" spans="1:18">
      <c r="A13" s="16" t="s">
        <v>496</v>
      </c>
      <c r="B13" s="249">
        <f ca="1">'lokale energieproductie'!N40+'lokale energieproductie'!N33</f>
        <v>56.7</v>
      </c>
      <c r="C13" s="249">
        <f ca="1">'lokale energieproductie'!O40+'lokale energieproductie'!O33</f>
        <v>81</v>
      </c>
      <c r="D13" s="310">
        <f ca="1">('lokale energieproductie'!P33+'lokale energieproductie'!P40)*(-1)</f>
        <v>-162.00000000000003</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41800.72512520483</v>
      </c>
      <c r="C16" s="21">
        <f t="shared" ca="1" si="1"/>
        <v>81</v>
      </c>
      <c r="D16" s="21">
        <f t="shared" ca="1" si="1"/>
        <v>49395.762700136198</v>
      </c>
      <c r="E16" s="21">
        <f t="shared" si="1"/>
        <v>462.80756759490794</v>
      </c>
      <c r="F16" s="21">
        <f t="shared" ca="1" si="1"/>
        <v>8233.9647260670899</v>
      </c>
      <c r="G16" s="21">
        <f t="shared" si="1"/>
        <v>0</v>
      </c>
      <c r="H16" s="21">
        <f t="shared" si="1"/>
        <v>0</v>
      </c>
      <c r="I16" s="21">
        <f t="shared" si="1"/>
        <v>0</v>
      </c>
      <c r="J16" s="21">
        <f t="shared" si="1"/>
        <v>0</v>
      </c>
      <c r="K16" s="21">
        <f t="shared" si="1"/>
        <v>0</v>
      </c>
      <c r="L16" s="21">
        <f t="shared" ca="1" si="1"/>
        <v>0</v>
      </c>
      <c r="M16" s="21">
        <f t="shared" si="1"/>
        <v>0</v>
      </c>
      <c r="N16" s="21">
        <f t="shared" ca="1" si="1"/>
        <v>4175.9781537153603</v>
      </c>
      <c r="O16" s="21">
        <f>O5</f>
        <v>9.3800000000000008</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0.1972793308843529</v>
      </c>
      <c r="C18" s="25">
        <f ca="1">'EF ele_warmte'!B22</f>
        <v>0.23237084808746117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8246.4190831811666</v>
      </c>
      <c r="C20" s="23">
        <f t="shared" ref="C20:P20" ca="1" si="2">C16*C18</f>
        <v>18.822038695084355</v>
      </c>
      <c r="D20" s="23">
        <f t="shared" ca="1" si="2"/>
        <v>9977.9440654275131</v>
      </c>
      <c r="E20" s="23">
        <f t="shared" si="2"/>
        <v>105.05731784404411</v>
      </c>
      <c r="F20" s="23">
        <f t="shared" ca="1" si="2"/>
        <v>2198.4685818599132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9471.1048186070402</v>
      </c>
      <c r="C26" s="39">
        <f>IF(ISERROR(B26*3.6/1000000/'E Balans VL '!Z12*100),0,B26*3.6/1000000/'E Balans VL '!Z12*100)</f>
        <v>0.20117095772267019</v>
      </c>
      <c r="D26" s="239" t="s">
        <v>689</v>
      </c>
      <c r="F26" s="6"/>
    </row>
    <row r="27" spans="1:18">
      <c r="A27" s="233" t="s">
        <v>52</v>
      </c>
      <c r="B27" s="33">
        <f>IF(ISERROR(TER_horeca_ele_kWh/1000),0,TER_horeca_ele_kWh/1000)</f>
        <v>1959.9836958282001</v>
      </c>
      <c r="C27" s="39">
        <f>IF(ISERROR(B27*3.6/1000000/'E Balans VL '!Z9*100),0,B27*3.6/1000000/'E Balans VL '!Z9*100)</f>
        <v>0.15240066880480863</v>
      </c>
      <c r="D27" s="239" t="s">
        <v>689</v>
      </c>
      <c r="F27" s="6"/>
    </row>
    <row r="28" spans="1:18">
      <c r="A28" s="173" t="s">
        <v>51</v>
      </c>
      <c r="B28" s="33">
        <f>IF(ISERROR(TER_handel_ele_kWh/1000),0,TER_handel_ele_kWh/1000)</f>
        <v>12248.862081390998</v>
      </c>
      <c r="C28" s="39">
        <f>IF(ISERROR(B28*3.6/1000000/'E Balans VL '!Z13*100),0,B28*3.6/1000000/'E Balans VL '!Z13*100)</f>
        <v>0.35045435961721372</v>
      </c>
      <c r="D28" s="239" t="s">
        <v>689</v>
      </c>
      <c r="F28" s="6"/>
    </row>
    <row r="29" spans="1:18">
      <c r="A29" s="233" t="s">
        <v>50</v>
      </c>
      <c r="B29" s="33">
        <f>IF(ISERROR(TER_gezond_ele_kWh/1000),0,TER_gezond_ele_kWh/1000)</f>
        <v>3029.53406095745</v>
      </c>
      <c r="C29" s="39">
        <f>IF(ISERROR(B29*3.6/1000000/'E Balans VL '!Z10*100),0,B29*3.6/1000000/'E Balans VL '!Z10*100)</f>
        <v>0.33028961057298661</v>
      </c>
      <c r="D29" s="239" t="s">
        <v>689</v>
      </c>
      <c r="F29" s="6"/>
    </row>
    <row r="30" spans="1:18">
      <c r="A30" s="233" t="s">
        <v>49</v>
      </c>
      <c r="B30" s="33">
        <f>IF(ISERROR(TER_ander_ele_kWh/1000),0,TER_ander_ele_kWh/1000)</f>
        <v>4833.5084103737399</v>
      </c>
      <c r="C30" s="39">
        <f>IF(ISERROR(B30*3.6/1000000/'E Balans VL '!Z14*100),0,B30*3.6/1000000/'E Balans VL '!Z14*100)</f>
        <v>0.35370518091724101</v>
      </c>
      <c r="D30" s="239" t="s">
        <v>689</v>
      </c>
      <c r="F30" s="6"/>
    </row>
    <row r="31" spans="1:18">
      <c r="A31" s="233" t="s">
        <v>54</v>
      </c>
      <c r="B31" s="33">
        <f>IF(ISERROR(TER_onderwijs_ele_kWh/1000),0,TER_onderwijs_ele_kWh/1000)</f>
        <v>905.39240546237397</v>
      </c>
      <c r="C31" s="39">
        <f>IF(ISERROR(B31*3.6/1000000/'E Balans VL '!Z11*100),0,B31*3.6/1000000/'E Balans VL '!Z11*100)</f>
        <v>0.18184873696297879</v>
      </c>
      <c r="D31" s="239" t="s">
        <v>689</v>
      </c>
    </row>
    <row r="32" spans="1:18">
      <c r="A32" s="233" t="s">
        <v>259</v>
      </c>
      <c r="B32" s="33">
        <f>IF(ISERROR(TER_rest_ele_kWh/1000),0,TER_rest_ele_kWh/1000)</f>
        <v>9295.6396525850305</v>
      </c>
      <c r="C32" s="39">
        <f>IF(ISERROR(B32*3.6/1000000/'E Balans VL '!Z8*100),0,B32*3.6/1000000/'E Balans VL '!Z8*100)</f>
        <v>7.5753821931489551E-2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6</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5</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88152.720278188324</v>
      </c>
      <c r="C5" s="17">
        <f>IF(ISERROR('Eigen informatie GS &amp; warmtenet'!B59),0,'Eigen informatie GS &amp; warmtenet'!B59)</f>
        <v>0</v>
      </c>
      <c r="D5" s="30">
        <f>SUM(D6:D15)</f>
        <v>83817.219699742054</v>
      </c>
      <c r="E5" s="17">
        <f>SUM(E6:E15)</f>
        <v>3181.8467049780402</v>
      </c>
      <c r="F5" s="17">
        <f>SUM(F6:F15)</f>
        <v>16937.786020401276</v>
      </c>
      <c r="G5" s="18"/>
      <c r="H5" s="17"/>
      <c r="I5" s="17"/>
      <c r="J5" s="17">
        <f>SUM(J6:J15)</f>
        <v>92.282293275846669</v>
      </c>
      <c r="K5" s="17"/>
      <c r="L5" s="17"/>
      <c r="M5" s="17"/>
      <c r="N5" s="17">
        <f>SUM(N6:N15)</f>
        <v>4183.5885351413044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487.07387550192698</v>
      </c>
      <c r="C8" s="33"/>
      <c r="D8" s="37">
        <f>IF( ISERROR(IND_metaal_Gas_kWH/1000),0,IND_metaal_Gas_kWH/1000)*0.902</f>
        <v>104.09495538160715</v>
      </c>
      <c r="E8" s="33">
        <f>C30*'E Balans VL '!I18/100/3.6*1000000</f>
        <v>13.990589955456777</v>
      </c>
      <c r="F8" s="33">
        <f>C30*'E Balans VL '!L18/100/3.6*1000000+C30*'E Balans VL '!N18/100/3.6*1000000</f>
        <v>124.92508128936316</v>
      </c>
      <c r="G8" s="34"/>
      <c r="H8" s="33"/>
      <c r="I8" s="33"/>
      <c r="J8" s="40">
        <f>C30*'E Balans VL '!D18/100/3.6*1000000+C30*'E Balans VL '!E18/100/3.6*1000000</f>
        <v>0</v>
      </c>
      <c r="K8" s="33"/>
      <c r="L8" s="33"/>
      <c r="M8" s="33"/>
      <c r="N8" s="33">
        <f>C30*'E Balans VL '!Y18/100/3.6*1000000</f>
        <v>13.225049978521518</v>
      </c>
      <c r="O8" s="33"/>
      <c r="P8" s="33"/>
      <c r="R8" s="32"/>
    </row>
    <row r="9" spans="1:18">
      <c r="A9" s="6" t="s">
        <v>32</v>
      </c>
      <c r="B9" s="37">
        <f t="shared" si="0"/>
        <v>2345.9009561737503</v>
      </c>
      <c r="C9" s="33"/>
      <c r="D9" s="37">
        <f>IF( ISERROR(IND_andere_gas_kWh/1000),0,IND_andere_gas_kWh/1000)*0.902</f>
        <v>33375.761274313139</v>
      </c>
      <c r="E9" s="33">
        <f>C31*'E Balans VL '!I19/100/3.6*1000000</f>
        <v>634.97771007454287</v>
      </c>
      <c r="F9" s="33">
        <f>C31*'E Balans VL '!L19/100/3.6*1000000+C31*'E Balans VL '!N19/100/3.6*1000000</f>
        <v>1562.6182849895044</v>
      </c>
      <c r="G9" s="34"/>
      <c r="H9" s="33"/>
      <c r="I9" s="33"/>
      <c r="J9" s="40">
        <f>C31*'E Balans VL '!D19/100/3.6*1000000+C31*'E Balans VL '!E19/100/3.6*1000000</f>
        <v>0</v>
      </c>
      <c r="K9" s="33"/>
      <c r="L9" s="33"/>
      <c r="M9" s="33"/>
      <c r="N9" s="33">
        <f>C31*'E Balans VL '!Y19/100/3.6*1000000</f>
        <v>198.33038602520654</v>
      </c>
      <c r="O9" s="33"/>
      <c r="P9" s="33"/>
      <c r="R9" s="32"/>
    </row>
    <row r="10" spans="1:18">
      <c r="A10" s="6" t="s">
        <v>40</v>
      </c>
      <c r="B10" s="37">
        <f t="shared" si="0"/>
        <v>3979.25021987734</v>
      </c>
      <c r="C10" s="33"/>
      <c r="D10" s="37">
        <f>IF( ISERROR(IND_voed_gas_kWh/1000),0,IND_voed_gas_kWh/1000)*0.902</f>
        <v>4564.1384501173015</v>
      </c>
      <c r="E10" s="33">
        <f>C32*'E Balans VL '!I20/100/3.6*1000000</f>
        <v>324.55679002268647</v>
      </c>
      <c r="F10" s="33">
        <f>C32*'E Balans VL '!L20/100/3.6*1000000+C32*'E Balans VL '!N20/100/3.6*1000000</f>
        <v>5933.4231070509068</v>
      </c>
      <c r="G10" s="34"/>
      <c r="H10" s="33"/>
      <c r="I10" s="33"/>
      <c r="J10" s="40">
        <f>C32*'E Balans VL '!D20/100/3.6*1000000+C32*'E Balans VL '!E20/100/3.6*1000000</f>
        <v>5.2640650247179427E-2</v>
      </c>
      <c r="K10" s="33"/>
      <c r="L10" s="33"/>
      <c r="M10" s="33"/>
      <c r="N10" s="33">
        <f>C32*'E Balans VL '!Y20/100/3.6*1000000</f>
        <v>1168.9633020000929</v>
      </c>
      <c r="O10" s="33"/>
      <c r="P10" s="33"/>
      <c r="R10" s="32"/>
    </row>
    <row r="11" spans="1:18">
      <c r="A11" s="6" t="s">
        <v>39</v>
      </c>
      <c r="B11" s="37">
        <f t="shared" si="0"/>
        <v>28.318000000000001</v>
      </c>
      <c r="C11" s="33"/>
      <c r="D11" s="37">
        <f>IF( ISERROR(IND_textiel_gas_kWh/1000),0,IND_textiel_gas_kWh/1000)*0.902</f>
        <v>0</v>
      </c>
      <c r="E11" s="33">
        <f>C33*'E Balans VL '!I21/100/3.6*1000000</f>
        <v>5.6132069780606099E-3</v>
      </c>
      <c r="F11" s="33">
        <f>C33*'E Balans VL '!L21/100/3.6*1000000+C33*'E Balans VL '!N21/100/3.6*1000000</f>
        <v>1.0429861057760679</v>
      </c>
      <c r="G11" s="34"/>
      <c r="H11" s="33"/>
      <c r="I11" s="33"/>
      <c r="J11" s="40">
        <f>C33*'E Balans VL '!D21/100/3.6*1000000+C33*'E Balans VL '!E21/100/3.6*1000000</f>
        <v>0</v>
      </c>
      <c r="K11" s="33"/>
      <c r="L11" s="33"/>
      <c r="M11" s="33"/>
      <c r="N11" s="33">
        <f>C33*'E Balans VL '!Y21/100/3.6*1000000</f>
        <v>0.13167155135178621</v>
      </c>
      <c r="O11" s="33"/>
      <c r="P11" s="33"/>
      <c r="R11" s="32"/>
    </row>
    <row r="12" spans="1:18">
      <c r="A12" s="6" t="s">
        <v>36</v>
      </c>
      <c r="B12" s="37">
        <f t="shared" si="0"/>
        <v>140.64228229408698</v>
      </c>
      <c r="C12" s="33"/>
      <c r="D12" s="37">
        <f>IF( ISERROR(IND_min_gas_kWh/1000),0,IND_min_gas_kWh/1000)*0.902</f>
        <v>0</v>
      </c>
      <c r="E12" s="33">
        <f>C34*'E Balans VL '!I22/100/3.6*1000000</f>
        <v>1.0955727344220321</v>
      </c>
      <c r="F12" s="33">
        <f>C34*'E Balans VL '!L22/100/3.6*1000000+C34*'E Balans VL '!N22/100/3.6*1000000</f>
        <v>53.041626149114208</v>
      </c>
      <c r="G12" s="34"/>
      <c r="H12" s="33"/>
      <c r="I12" s="33"/>
      <c r="J12" s="40">
        <f>C34*'E Balans VL '!D22/100/3.6*1000000+C34*'E Balans VL '!E22/100/3.6*1000000</f>
        <v>0.77352025585101636</v>
      </c>
      <c r="K12" s="33"/>
      <c r="L12" s="33"/>
      <c r="M12" s="33"/>
      <c r="N12" s="33">
        <f>C34*'E Balans VL '!Y22/100/3.6*1000000</f>
        <v>0</v>
      </c>
      <c r="O12" s="33"/>
      <c r="P12" s="33"/>
      <c r="R12" s="32"/>
    </row>
    <row r="13" spans="1:18">
      <c r="A13" s="6" t="s">
        <v>38</v>
      </c>
      <c r="B13" s="37">
        <f t="shared" si="0"/>
        <v>265.93752494661101</v>
      </c>
      <c r="C13" s="33"/>
      <c r="D13" s="37">
        <f>IF( ISERROR(IND_papier_gas_kWh/1000),0,IND_papier_gas_kWh/1000)*0.902</f>
        <v>337.38972087206656</v>
      </c>
      <c r="E13" s="33">
        <f>C35*'E Balans VL '!I23/100/3.6*1000000</f>
        <v>2.7861800528602578</v>
      </c>
      <c r="F13" s="33">
        <f>C35*'E Balans VL '!L23/100/3.6*1000000+C35*'E Balans VL '!N23/100/3.6*1000000</f>
        <v>19.844305247887437</v>
      </c>
      <c r="G13" s="34"/>
      <c r="H13" s="33"/>
      <c r="I13" s="33"/>
      <c r="J13" s="40">
        <f>C35*'E Balans VL '!D23/100/3.6*1000000+C35*'E Balans VL '!E23/100/3.6*1000000</f>
        <v>0</v>
      </c>
      <c r="K13" s="33"/>
      <c r="L13" s="33"/>
      <c r="M13" s="33"/>
      <c r="N13" s="33">
        <f>C35*'E Balans VL '!Y23/100/3.6*1000000</f>
        <v>49.059723123447768</v>
      </c>
      <c r="O13" s="33"/>
      <c r="P13" s="33"/>
      <c r="R13" s="32"/>
    </row>
    <row r="14" spans="1:18">
      <c r="A14" s="6" t="s">
        <v>33</v>
      </c>
      <c r="B14" s="37">
        <f t="shared" si="0"/>
        <v>45223.237512757005</v>
      </c>
      <c r="C14" s="33"/>
      <c r="D14" s="37">
        <f>IF( ISERROR(IND_chemie_gas_kWh/1000),0,IND_chemie_gas_kWh/1000)*0.902</f>
        <v>0</v>
      </c>
      <c r="E14" s="33">
        <f>C36*'E Balans VL '!I24/100/3.6*1000000</f>
        <v>213.78086350599898</v>
      </c>
      <c r="F14" s="33">
        <f>C36*'E Balans VL '!L24/100/3.6*1000000+C36*'E Balans VL '!N24/100/3.6*1000000</f>
        <v>854.69491491845952</v>
      </c>
      <c r="G14" s="34"/>
      <c r="H14" s="33"/>
      <c r="I14" s="33"/>
      <c r="J14" s="40">
        <f>C36*'E Balans VL '!D24/100/3.6*1000000+C36*'E Balans VL '!E24/100/3.6*1000000</f>
        <v>0</v>
      </c>
      <c r="K14" s="33"/>
      <c r="L14" s="33"/>
      <c r="M14" s="33"/>
      <c r="N14" s="33">
        <f>C36*'E Balans VL '!Y24/100/3.6*1000000</f>
        <v>1097.8672151882647</v>
      </c>
      <c r="O14" s="33"/>
      <c r="P14" s="33"/>
      <c r="R14" s="32"/>
    </row>
    <row r="15" spans="1:18">
      <c r="A15" s="6" t="s">
        <v>269</v>
      </c>
      <c r="B15" s="37">
        <f t="shared" si="0"/>
        <v>35682.359906637605</v>
      </c>
      <c r="C15" s="33"/>
      <c r="D15" s="37">
        <f>IF( ISERROR(IND_rest_gas_kWh/1000),0,IND_rest_gas_kWh/1000)*0.902</f>
        <v>45435.835299057937</v>
      </c>
      <c r="E15" s="33">
        <f>C37*'E Balans VL '!I15/100/3.6*1000000</f>
        <v>1990.6533854250945</v>
      </c>
      <c r="F15" s="33">
        <f>C37*'E Balans VL '!L15/100/3.6*1000000+C37*'E Balans VL '!N15/100/3.6*1000000</f>
        <v>8388.1957146502646</v>
      </c>
      <c r="G15" s="34"/>
      <c r="H15" s="33"/>
      <c r="I15" s="33"/>
      <c r="J15" s="40">
        <f>C37*'E Balans VL '!D15/100/3.6*1000000+C37*'E Balans VL '!E15/100/3.6*1000000</f>
        <v>91.456132369748474</v>
      </c>
      <c r="K15" s="33"/>
      <c r="L15" s="33"/>
      <c r="M15" s="33"/>
      <c r="N15" s="33">
        <f>C37*'E Balans VL '!Y15/100/3.6*1000000</f>
        <v>1656.0111872744189</v>
      </c>
      <c r="O15" s="33"/>
      <c r="P15" s="33"/>
      <c r="R15" s="32"/>
    </row>
    <row r="16" spans="1:18">
      <c r="A16" s="16" t="s">
        <v>496</v>
      </c>
      <c r="B16" s="249">
        <f>'lokale energieproductie'!N39+'lokale energieproductie'!N32</f>
        <v>0</v>
      </c>
      <c r="C16" s="249">
        <f>'lokale energieproductie'!O39+'lokale energieproductie'!O32</f>
        <v>0</v>
      </c>
      <c r="D16" s="310">
        <f>('lokale energieproductie'!P32+'lokale energieproductie'!P39)*(-1)</f>
        <v>0</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88152.720278188324</v>
      </c>
      <c r="C18" s="21">
        <f>C5+C16</f>
        <v>0</v>
      </c>
      <c r="D18" s="21">
        <f>MAX((D5+D16),0)</f>
        <v>83817.219699742054</v>
      </c>
      <c r="E18" s="21">
        <f>MAX((E5+E16),0)</f>
        <v>3181.8467049780402</v>
      </c>
      <c r="F18" s="21">
        <f>MAX((F5+F16),0)</f>
        <v>16937.786020401276</v>
      </c>
      <c r="G18" s="21"/>
      <c r="H18" s="21"/>
      <c r="I18" s="21"/>
      <c r="J18" s="21">
        <f>MAX((J5+J16),0)</f>
        <v>92.282293275846669</v>
      </c>
      <c r="K18" s="21"/>
      <c r="L18" s="21">
        <f>MAX((L5+L16),0)</f>
        <v>0</v>
      </c>
      <c r="M18" s="21"/>
      <c r="N18" s="21">
        <f>MAX((N5+N16),0)</f>
        <v>4183.5885351413044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0.1972793308843529</v>
      </c>
      <c r="C20" s="25">
        <f ca="1">'EF ele_warmte'!B22</f>
        <v>0.23237084808746117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17390.709672116522</v>
      </c>
      <c r="C22" s="23">
        <f ca="1">C18*C20</f>
        <v>0</v>
      </c>
      <c r="D22" s="23">
        <f>D18*D20</f>
        <v>16931.078379347895</v>
      </c>
      <c r="E22" s="23">
        <f>E18*E20</f>
        <v>722.2792020300152</v>
      </c>
      <c r="F22" s="23">
        <f>F18*F20</f>
        <v>4522.3888674471409</v>
      </c>
      <c r="G22" s="23"/>
      <c r="H22" s="23"/>
      <c r="I22" s="23"/>
      <c r="J22" s="23">
        <f>J18*J20</f>
        <v>32.667931819649716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487.07387550192698</v>
      </c>
      <c r="C30" s="39">
        <f>IF(ISERROR(B30*3.6/1000000/'E Balans VL '!Z18*100),0,B30*3.6/1000000/'E Balans VL '!Z18*100)</f>
        <v>4.7926825982235223E-2</v>
      </c>
      <c r="D30" s="239" t="s">
        <v>689</v>
      </c>
    </row>
    <row r="31" spans="1:18">
      <c r="A31" s="6" t="s">
        <v>32</v>
      </c>
      <c r="B31" s="37">
        <f>IF( ISERROR(IND_ander_ele_kWh/1000),0,IND_ander_ele_kWh/1000)</f>
        <v>2345.9009561737503</v>
      </c>
      <c r="C31" s="39">
        <f>IF(ISERROR(B31*3.6/1000000/'E Balans VL '!Z19*100),0,B31*3.6/1000000/'E Balans VL '!Z19*100)</f>
        <v>0.10216211533460766</v>
      </c>
      <c r="D31" s="239" t="s">
        <v>689</v>
      </c>
    </row>
    <row r="32" spans="1:18">
      <c r="A32" s="173" t="s">
        <v>40</v>
      </c>
      <c r="B32" s="37">
        <f>IF( ISERROR(IND_voed_ele_kWh/1000),0,IND_voed_ele_kWh/1000)</f>
        <v>3979.25021987734</v>
      </c>
      <c r="C32" s="39">
        <f>IF(ISERROR(B32*3.6/1000000/'E Balans VL '!Z20*100),0,B32*3.6/1000000/'E Balans VL '!Z20*100)</f>
        <v>0.75500534219059157</v>
      </c>
      <c r="D32" s="239" t="s">
        <v>689</v>
      </c>
    </row>
    <row r="33" spans="1:5">
      <c r="A33" s="173" t="s">
        <v>39</v>
      </c>
      <c r="B33" s="37">
        <f>IF( ISERROR(IND_textiel_ele_kWh/1000),0,IND_textiel_ele_kWh/1000)</f>
        <v>28.318000000000001</v>
      </c>
      <c r="C33" s="39">
        <f>IF(ISERROR(B33*3.6/1000000/'E Balans VL '!Z21*100),0,B33*3.6/1000000/'E Balans VL '!Z21*100)</f>
        <v>1.6168141921905667E-3</v>
      </c>
      <c r="D33" s="239" t="s">
        <v>689</v>
      </c>
    </row>
    <row r="34" spans="1:5">
      <c r="A34" s="173" t="s">
        <v>36</v>
      </c>
      <c r="B34" s="37">
        <f>IF( ISERROR(IND_min_ele_kWh/1000),0,IND_min_ele_kWh/1000)</f>
        <v>140.64228229408698</v>
      </c>
      <c r="C34" s="39">
        <f>IF(ISERROR(B34*3.6/1000000/'E Balans VL '!Z22*100),0,B34*3.6/1000000/'E Balans VL '!Z22*100)</f>
        <v>1.9775717176327E-2</v>
      </c>
      <c r="D34" s="239" t="s">
        <v>689</v>
      </c>
    </row>
    <row r="35" spans="1:5">
      <c r="A35" s="173" t="s">
        <v>38</v>
      </c>
      <c r="B35" s="37">
        <f>IF( ISERROR(IND_papier_ele_kWh/1000),0,IND_papier_ele_kWh/1000)</f>
        <v>265.93752494661101</v>
      </c>
      <c r="C35" s="39">
        <f>IF(ISERROR(B35*3.6/1000000/'E Balans VL '!Z22*100),0,B35*3.6/1000000/'E Balans VL '!Z22*100)</f>
        <v>3.7393486468881729E-2</v>
      </c>
      <c r="D35" s="239" t="s">
        <v>689</v>
      </c>
    </row>
    <row r="36" spans="1:5">
      <c r="A36" s="173" t="s">
        <v>33</v>
      </c>
      <c r="B36" s="37">
        <f>IF( ISERROR(IND_chemie_ele_kWh/1000),0,IND_chemie_ele_kWh/1000)</f>
        <v>45223.237512757005</v>
      </c>
      <c r="C36" s="39">
        <f>IF(ISERROR(B36*3.6/1000000/'E Balans VL '!Z24*100),0,B36*3.6/1000000/'E Balans VL '!Z24*100)</f>
        <v>1.3179387731852432</v>
      </c>
      <c r="D36" s="239" t="s">
        <v>689</v>
      </c>
    </row>
    <row r="37" spans="1:5">
      <c r="A37" s="173" t="s">
        <v>269</v>
      </c>
      <c r="B37" s="37">
        <f>IF( ISERROR(IND_rest_ele_kWh/1000),0,IND_rest_ele_kWh/1000)</f>
        <v>35682.359906637605</v>
      </c>
      <c r="C37" s="39">
        <f>IF(ISERROR(B37*3.6/1000000/'E Balans VL '!Z15*100),0,B37*3.6/1000000/'E Balans VL '!Z15*100)</f>
        <v>0.27497641005259815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4792.5434374881752</v>
      </c>
      <c r="C5" s="17">
        <f>'Eigen informatie GS &amp; warmtenet'!B60</f>
        <v>0</v>
      </c>
      <c r="D5" s="30">
        <f>IF(ISERROR(SUM(LB_lb_gas_kWh,LB_rest_gas_kWh)/1000),0,SUM(LB_lb_gas_kWh,LB_rest_gas_kWh)/1000)*0.902</f>
        <v>8213.8841516327029</v>
      </c>
      <c r="E5" s="17">
        <f>B17*'E Balans VL '!I25/3.6*1000000/100</f>
        <v>60.392221363610162</v>
      </c>
      <c r="F5" s="17">
        <f>B17*('E Balans VL '!L25/3.6*1000000+'E Balans VL '!N25/3.6*1000000)/100</f>
        <v>16535.475463204322</v>
      </c>
      <c r="G5" s="18"/>
      <c r="H5" s="17"/>
      <c r="I5" s="17"/>
      <c r="J5" s="17">
        <f>('E Balans VL '!D25+'E Balans VL '!E25)/3.6*1000000*landbouw!B17/100</f>
        <v>720.74405328719217</v>
      </c>
      <c r="K5" s="17"/>
      <c r="L5" s="17">
        <f>L6*(-1)</f>
        <v>0</v>
      </c>
      <c r="M5" s="17"/>
      <c r="N5" s="17">
        <f>N6*(-1)</f>
        <v>114.32142857142857</v>
      </c>
      <c r="O5" s="17"/>
      <c r="P5" s="17"/>
      <c r="R5" s="32"/>
    </row>
    <row r="6" spans="1:18">
      <c r="A6" s="16" t="s">
        <v>496</v>
      </c>
      <c r="B6" s="17" t="s">
        <v>210</v>
      </c>
      <c r="C6" s="17">
        <f>'lokale energieproductie'!O41+'lokale energieproductie'!O34</f>
        <v>2493.5892857142858</v>
      </c>
      <c r="D6" s="310">
        <f>('lokale energieproductie'!P34+'lokale energieproductie'!P41)*(-1)</f>
        <v>-4872.8571428571431</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4792.5434374881752</v>
      </c>
      <c r="C8" s="21">
        <f>C5+C6</f>
        <v>2493.5892857142858</v>
      </c>
      <c r="D8" s="21">
        <f>MAX((D5+D6),0)</f>
        <v>3341.0270087755598</v>
      </c>
      <c r="E8" s="21">
        <f>MAX((E5+E6),0)</f>
        <v>60.392221363610162</v>
      </c>
      <c r="F8" s="21">
        <f>MAX((F5+F6),0)</f>
        <v>16535.475463204322</v>
      </c>
      <c r="G8" s="21"/>
      <c r="H8" s="21"/>
      <c r="I8" s="21"/>
      <c r="J8" s="21">
        <f>MAX((J5+J6),0)</f>
        <v>720.74405328719217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0.1972793308843529</v>
      </c>
      <c r="C10" s="31">
        <f ca="1">'EF ele_warmte'!B22</f>
        <v>0.23237084808746117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945.46976258186373</v>
      </c>
      <c r="C12" s="23">
        <f ca="1">C8*C10</f>
        <v>579.43745710323515</v>
      </c>
      <c r="D12" s="23">
        <f>D8*D10</f>
        <v>674.88745577266309</v>
      </c>
      <c r="E12" s="23">
        <f>E8*E10</f>
        <v>13.709034249539506</v>
      </c>
      <c r="F12" s="23">
        <f>F8*F10</f>
        <v>4414.9719486755539</v>
      </c>
      <c r="G12" s="23"/>
      <c r="H12" s="23"/>
      <c r="I12" s="23"/>
      <c r="J12" s="23">
        <f>J8*J10</f>
        <v>255.143394863666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0.66840875732847227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869.81936657261019</v>
      </c>
      <c r="C26" s="249">
        <f>B26*'GWP N2O_CH4'!B5</f>
        <v>18266.206698024813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300.24415431222906</v>
      </c>
      <c r="C27" s="249">
        <f>B27*'GWP N2O_CH4'!B5</f>
        <v>6305.1272405568106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11.628748615139093</v>
      </c>
      <c r="C28" s="249">
        <f>B28*'GWP N2O_CH4'!B4</f>
        <v>3604.9120706931189</v>
      </c>
      <c r="D28" s="50"/>
    </row>
    <row r="29" spans="1:4">
      <c r="A29" s="41" t="s">
        <v>276</v>
      </c>
      <c r="B29" s="249">
        <f>B34*'ha_N2O bodem landbouw'!B4</f>
        <v>25.440741768902821</v>
      </c>
      <c r="C29" s="249">
        <f>B29*'GWP N2O_CH4'!B4</f>
        <v>7886.629948359875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6.352299008708197E-3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2.67287391048172E-5</v>
      </c>
      <c r="C5" s="444" t="s">
        <v>210</v>
      </c>
      <c r="D5" s="429">
        <f>SUM(D6:D11)</f>
        <v>4.8163984172802559E-5</v>
      </c>
      <c r="E5" s="429">
        <f>SUM(E6:E11)</f>
        <v>1.6844584382832129E-3</v>
      </c>
      <c r="F5" s="442" t="s">
        <v>210</v>
      </c>
      <c r="G5" s="429">
        <f>SUM(G6:G11)</f>
        <v>0.4786656964435656</v>
      </c>
      <c r="H5" s="429">
        <f>SUM(H6:H11)</f>
        <v>8.7195009513679381E-2</v>
      </c>
      <c r="I5" s="444" t="s">
        <v>210</v>
      </c>
      <c r="J5" s="444" t="s">
        <v>210</v>
      </c>
      <c r="K5" s="444" t="s">
        <v>210</v>
      </c>
      <c r="L5" s="444" t="s">
        <v>210</v>
      </c>
      <c r="M5" s="429">
        <f>SUM(M6:M11)</f>
        <v>2.558700930847697E-2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1.8448939231289199E-5</v>
      </c>
      <c r="C6" s="883"/>
      <c r="D6" s="883">
        <f>vkm_GW_PW*SUMIFS(TableVerdeelsleutelVkm[CNG],TableVerdeelsleutelVkm[Voertuigtype],"Lichte voertuigen")*SUMIFS(TableECFTransport[EnergieConsumptieFactor (PJ per km)],TableECFTransport[Index],CONCATENATE($A6,"_CNG_CNG"))</f>
        <v>2.7340778427605231E-5</v>
      </c>
      <c r="E6" s="883">
        <f>vkm_GW_PW*SUMIFS(TableVerdeelsleutelVkm[LPG],TableVerdeelsleutelVkm[Voertuigtype],"Lichte voertuigen")*SUMIFS(TableECFTransport[EnergieConsumptieFactor (PJ per km)],TableECFTransport[Index],CONCATENATE($A6,"_LPG_LPG"))</f>
        <v>9.7924677903494508E-4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0.19707636012729138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5.0345973096697062E-2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1.1193249629761592E-2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0.1202769691067439</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2.794556625749531E-6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5.4306928919722981E-3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8.2797998735280011E-6</v>
      </c>
      <c r="C8" s="883"/>
      <c r="D8" s="432">
        <f>vkm_NGW_PW*SUMIFS(TableVerdeelsleutelVkm[CNG],TableVerdeelsleutelVkm[Voertuigtype],"Lichte voertuigen")*SUMIFS(TableECFTransport[EnergieConsumptieFactor (PJ per km)],TableECFTransport[Index],CONCATENATE($A8,"_CNG_CNG"))</f>
        <v>2.0823205745197325E-5</v>
      </c>
      <c r="E8" s="432">
        <f>vkm_NGW_PW*SUMIFS(TableVerdeelsleutelVkm[LPG],TableVerdeelsleutelVkm[Voertuigtype],"Lichte voertuigen")*SUMIFS(TableECFTransport[EnergieConsumptieFactor (PJ per km)],TableECFTransport[Index],CONCATENATE($A8,"_LPG_LPG"))</f>
        <v>7.0521165924826771E-4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0.13481817958060777</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3.6845528352844222E-2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7.7668083967892326E-3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2.6494187628922604E-2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7.1350751233795097E-7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1.1962583899538446E-3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7.4246497513381113</v>
      </c>
      <c r="C14" s="21"/>
      <c r="D14" s="21">
        <f t="shared" ref="D14:M14" si="0">((D5)*10^9/3600)+D12</f>
        <v>13.378884492445154</v>
      </c>
      <c r="E14" s="21">
        <f t="shared" si="0"/>
        <v>467.90512174533694</v>
      </c>
      <c r="F14" s="21"/>
      <c r="G14" s="21">
        <f t="shared" si="0"/>
        <v>132962.693456546</v>
      </c>
      <c r="H14" s="21">
        <f t="shared" si="0"/>
        <v>24220.835976022052</v>
      </c>
      <c r="I14" s="21"/>
      <c r="J14" s="21"/>
      <c r="K14" s="21"/>
      <c r="L14" s="21"/>
      <c r="M14" s="21">
        <f t="shared" si="0"/>
        <v>7107.5025856880475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0.1972793308843529</v>
      </c>
      <c r="C16" s="56">
        <f ca="1">'EF ele_warmte'!B22</f>
        <v>0.23237084808746117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1.4647299349946596</v>
      </c>
      <c r="C18" s="23"/>
      <c r="D18" s="23">
        <f t="shared" ref="D18:M18" si="1">D14*D16</f>
        <v>2.7025346674739215</v>
      </c>
      <c r="E18" s="23">
        <f t="shared" si="1"/>
        <v>106.21446263619148</v>
      </c>
      <c r="F18" s="23"/>
      <c r="G18" s="23">
        <f t="shared" si="1"/>
        <v>35501.039152897785</v>
      </c>
      <c r="H18" s="23">
        <f t="shared" si="1"/>
        <v>6030.9881580294905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3.9201975971113407E-3</v>
      </c>
      <c r="C50" s="321">
        <f t="shared" ref="C50:P50" si="2">SUM(C51:C52)</f>
        <v>0</v>
      </c>
      <c r="D50" s="321">
        <f t="shared" si="2"/>
        <v>0</v>
      </c>
      <c r="E50" s="321">
        <f t="shared" si="2"/>
        <v>0</v>
      </c>
      <c r="F50" s="321">
        <f t="shared" si="2"/>
        <v>0</v>
      </c>
      <c r="G50" s="321">
        <f t="shared" si="2"/>
        <v>1.0242250030998535E-2</v>
      </c>
      <c r="H50" s="321">
        <f t="shared" si="2"/>
        <v>0</v>
      </c>
      <c r="I50" s="321">
        <f t="shared" si="2"/>
        <v>0</v>
      </c>
      <c r="J50" s="321">
        <f t="shared" si="2"/>
        <v>0</v>
      </c>
      <c r="K50" s="321">
        <f t="shared" si="2"/>
        <v>0</v>
      </c>
      <c r="L50" s="321">
        <f t="shared" si="2"/>
        <v>0</v>
      </c>
      <c r="M50" s="321">
        <f t="shared" si="2"/>
        <v>4.5589102221314234E-4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1.0242250030998535E-2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4.5589102221314234E-4</v>
      </c>
      <c r="N51" s="323"/>
      <c r="O51" s="323"/>
      <c r="P51" s="326"/>
    </row>
    <row r="52" spans="1:18">
      <c r="A52" s="4" t="s">
        <v>329</v>
      </c>
      <c r="B52" s="327">
        <f>vkm_tram*SUMIFS(TableECFTransport[EnergieConsumptieFactor (PJ per km)],TableECFTransport[Index],"Tram_gemiddeld_Electric_Electric")</f>
        <v>3.9201975971113407E-3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1088.9437769753724</v>
      </c>
      <c r="C54" s="21">
        <f t="shared" ref="C54:P54" si="3">(C50)*10^9/3600</f>
        <v>0</v>
      </c>
      <c r="D54" s="21">
        <f t="shared" si="3"/>
        <v>0</v>
      </c>
      <c r="E54" s="21">
        <f t="shared" si="3"/>
        <v>0</v>
      </c>
      <c r="F54" s="21">
        <f t="shared" si="3"/>
        <v>0</v>
      </c>
      <c r="G54" s="21">
        <f t="shared" si="3"/>
        <v>2845.0694530551486</v>
      </c>
      <c r="H54" s="21">
        <f t="shared" si="3"/>
        <v>0</v>
      </c>
      <c r="I54" s="21">
        <f t="shared" si="3"/>
        <v>0</v>
      </c>
      <c r="J54" s="21">
        <f t="shared" si="3"/>
        <v>0</v>
      </c>
      <c r="K54" s="21">
        <f t="shared" si="3"/>
        <v>0</v>
      </c>
      <c r="L54" s="21">
        <f t="shared" si="3"/>
        <v>0</v>
      </c>
      <c r="M54" s="21">
        <f t="shared" si="3"/>
        <v>126.63639505920621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0.1972793308843529</v>
      </c>
      <c r="C56" s="56">
        <f ca="1">'EF ele_warmte'!B22</f>
        <v>0.23237084808746117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214.82609969238149</v>
      </c>
      <c r="C58" s="23">
        <f t="shared" ref="C58:P58" ca="1" si="4">C54*C56</f>
        <v>0</v>
      </c>
      <c r="D58" s="23">
        <f t="shared" si="4"/>
        <v>0</v>
      </c>
      <c r="E58" s="23">
        <f t="shared" si="4"/>
        <v>0</v>
      </c>
      <c r="F58" s="23">
        <f t="shared" si="4"/>
        <v>0</v>
      </c>
      <c r="G58" s="23">
        <f t="shared" si="4"/>
        <v>759.6335439657247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44191.01312520483</v>
      </c>
      <c r="D10" s="686">
        <f ca="1">tertiair!C16</f>
        <v>81</v>
      </c>
      <c r="E10" s="686">
        <f ca="1">tertiair!D16</f>
        <v>49395.762700136198</v>
      </c>
      <c r="F10" s="686">
        <f>tertiair!E16</f>
        <v>462.80756759490794</v>
      </c>
      <c r="G10" s="686">
        <f ca="1">tertiair!F16</f>
        <v>8233.9647260670899</v>
      </c>
      <c r="H10" s="686">
        <f>tertiair!G16</f>
        <v>0</v>
      </c>
      <c r="I10" s="686">
        <f>tertiair!H16</f>
        <v>0</v>
      </c>
      <c r="J10" s="686">
        <f>tertiair!I16</f>
        <v>0</v>
      </c>
      <c r="K10" s="686">
        <f>tertiair!J16</f>
        <v>0</v>
      </c>
      <c r="L10" s="686">
        <f>tertiair!K16</f>
        <v>0</v>
      </c>
      <c r="M10" s="686">
        <f ca="1">tertiair!L16</f>
        <v>0</v>
      </c>
      <c r="N10" s="686">
        <f>tertiair!M16</f>
        <v>0</v>
      </c>
      <c r="O10" s="686">
        <f ca="1">tertiair!N16</f>
        <v>4175.9781537153603</v>
      </c>
      <c r="P10" s="686">
        <f>tertiair!O16</f>
        <v>9.3800000000000008</v>
      </c>
      <c r="Q10" s="687">
        <f>tertiair!P16</f>
        <v>95.333333333333343</v>
      </c>
      <c r="R10" s="689">
        <f ca="1">SUM(C10:Q10)</f>
        <v>106645.23960605172</v>
      </c>
      <c r="S10" s="67"/>
    </row>
    <row r="11" spans="1:19" s="454" customFormat="1">
      <c r="A11" s="801" t="s">
        <v>224</v>
      </c>
      <c r="B11" s="806"/>
      <c r="C11" s="686">
        <f>huishoudens!B8</f>
        <v>71121.160022150638</v>
      </c>
      <c r="D11" s="686">
        <f>huishoudens!C8</f>
        <v>0</v>
      </c>
      <c r="E11" s="686">
        <f>huishoudens!D8</f>
        <v>114294.33214273752</v>
      </c>
      <c r="F11" s="686">
        <f>huishoudens!E8</f>
        <v>10593.764977053619</v>
      </c>
      <c r="G11" s="686">
        <f>huishoudens!F8</f>
        <v>51498.249397059517</v>
      </c>
      <c r="H11" s="686">
        <f>huishoudens!G8</f>
        <v>0</v>
      </c>
      <c r="I11" s="686">
        <f>huishoudens!H8</f>
        <v>0</v>
      </c>
      <c r="J11" s="686">
        <f>huishoudens!I8</f>
        <v>0</v>
      </c>
      <c r="K11" s="686">
        <f>huishoudens!J8</f>
        <v>0</v>
      </c>
      <c r="L11" s="686">
        <f>huishoudens!K8</f>
        <v>0</v>
      </c>
      <c r="M11" s="686">
        <f>huishoudens!L8</f>
        <v>0</v>
      </c>
      <c r="N11" s="686">
        <f>huishoudens!M8</f>
        <v>0</v>
      </c>
      <c r="O11" s="686">
        <f>huishoudens!N8</f>
        <v>36854.2343612806</v>
      </c>
      <c r="P11" s="686">
        <f>huishoudens!O8</f>
        <v>443.98666666666668</v>
      </c>
      <c r="Q11" s="687">
        <f>huishoudens!P8</f>
        <v>1258.4000000000001</v>
      </c>
      <c r="R11" s="689">
        <f>SUM(C11:Q11)</f>
        <v>286064.12756694865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88152.720278188324</v>
      </c>
      <c r="D13" s="686">
        <f>industrie!C18</f>
        <v>0</v>
      </c>
      <c r="E13" s="686">
        <f>industrie!D18</f>
        <v>83817.219699742054</v>
      </c>
      <c r="F13" s="686">
        <f>industrie!E18</f>
        <v>3181.8467049780402</v>
      </c>
      <c r="G13" s="686">
        <f>industrie!F18</f>
        <v>16937.786020401276</v>
      </c>
      <c r="H13" s="686">
        <f>industrie!G18</f>
        <v>0</v>
      </c>
      <c r="I13" s="686">
        <f>industrie!H18</f>
        <v>0</v>
      </c>
      <c r="J13" s="686">
        <f>industrie!I18</f>
        <v>0</v>
      </c>
      <c r="K13" s="686">
        <f>industrie!J18</f>
        <v>92.282293275846669</v>
      </c>
      <c r="L13" s="686">
        <f>industrie!K18</f>
        <v>0</v>
      </c>
      <c r="M13" s="686">
        <f>industrie!L18</f>
        <v>0</v>
      </c>
      <c r="N13" s="686">
        <f>industrie!M18</f>
        <v>0</v>
      </c>
      <c r="O13" s="686">
        <f>industrie!N18</f>
        <v>4183.5885351413044</v>
      </c>
      <c r="P13" s="686">
        <f>industrie!O18</f>
        <v>0</v>
      </c>
      <c r="Q13" s="687">
        <f>industrie!P18</f>
        <v>0</v>
      </c>
      <c r="R13" s="689">
        <f>SUM(C13:Q13)</f>
        <v>196365.44353172687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203464.89342554379</v>
      </c>
      <c r="D16" s="721">
        <f t="shared" ref="D16:R16" ca="1" si="0">SUM(D9:D15)</f>
        <v>81</v>
      </c>
      <c r="E16" s="721">
        <f t="shared" ca="1" si="0"/>
        <v>247507.31454261579</v>
      </c>
      <c r="F16" s="721">
        <f t="shared" si="0"/>
        <v>14238.419249626568</v>
      </c>
      <c r="G16" s="721">
        <f t="shared" ca="1" si="0"/>
        <v>76670.000143527883</v>
      </c>
      <c r="H16" s="721">
        <f t="shared" si="0"/>
        <v>0</v>
      </c>
      <c r="I16" s="721">
        <f t="shared" si="0"/>
        <v>0</v>
      </c>
      <c r="J16" s="721">
        <f t="shared" si="0"/>
        <v>0</v>
      </c>
      <c r="K16" s="721">
        <f t="shared" si="0"/>
        <v>92.282293275846669</v>
      </c>
      <c r="L16" s="721">
        <f t="shared" si="0"/>
        <v>0</v>
      </c>
      <c r="M16" s="721">
        <f t="shared" ca="1" si="0"/>
        <v>0</v>
      </c>
      <c r="N16" s="721">
        <f t="shared" si="0"/>
        <v>0</v>
      </c>
      <c r="O16" s="721">
        <f t="shared" ca="1" si="0"/>
        <v>45213.801050137263</v>
      </c>
      <c r="P16" s="721">
        <f t="shared" si="0"/>
        <v>453.36666666666667</v>
      </c>
      <c r="Q16" s="721">
        <f t="shared" si="0"/>
        <v>1353.7333333333333</v>
      </c>
      <c r="R16" s="721">
        <f t="shared" ca="1" si="0"/>
        <v>589074.81070472719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1088.9437769753724</v>
      </c>
      <c r="D19" s="686">
        <f>transport!C54</f>
        <v>0</v>
      </c>
      <c r="E19" s="686">
        <f>transport!D54</f>
        <v>0</v>
      </c>
      <c r="F19" s="686">
        <f>transport!E54</f>
        <v>0</v>
      </c>
      <c r="G19" s="686">
        <f>transport!F54</f>
        <v>0</v>
      </c>
      <c r="H19" s="686">
        <f>transport!G54</f>
        <v>2845.0694530551486</v>
      </c>
      <c r="I19" s="686">
        <f>transport!H54</f>
        <v>0</v>
      </c>
      <c r="J19" s="686">
        <f>transport!I54</f>
        <v>0</v>
      </c>
      <c r="K19" s="686">
        <f>transport!J54</f>
        <v>0</v>
      </c>
      <c r="L19" s="686">
        <f>transport!K54</f>
        <v>0</v>
      </c>
      <c r="M19" s="686">
        <f>transport!L54</f>
        <v>0</v>
      </c>
      <c r="N19" s="686">
        <f>transport!M54</f>
        <v>126.63639505920621</v>
      </c>
      <c r="O19" s="686">
        <f>transport!N54</f>
        <v>0</v>
      </c>
      <c r="P19" s="686">
        <f>transport!O54</f>
        <v>0</v>
      </c>
      <c r="Q19" s="687">
        <f>transport!P54</f>
        <v>0</v>
      </c>
      <c r="R19" s="689">
        <f>SUM(C19:Q19)</f>
        <v>4060.6496250897276</v>
      </c>
      <c r="S19" s="67"/>
    </row>
    <row r="20" spans="1:19" s="454" customFormat="1">
      <c r="A20" s="801" t="s">
        <v>306</v>
      </c>
      <c r="B20" s="806"/>
      <c r="C20" s="686">
        <f>transport!B14</f>
        <v>7.4246497513381113</v>
      </c>
      <c r="D20" s="686">
        <f>transport!C14</f>
        <v>0</v>
      </c>
      <c r="E20" s="686">
        <f>transport!D14</f>
        <v>13.378884492445154</v>
      </c>
      <c r="F20" s="686">
        <f>transport!E14</f>
        <v>467.90512174533694</v>
      </c>
      <c r="G20" s="686">
        <f>transport!F14</f>
        <v>0</v>
      </c>
      <c r="H20" s="686">
        <f>transport!G14</f>
        <v>132962.693456546</v>
      </c>
      <c r="I20" s="686">
        <f>transport!H14</f>
        <v>24220.835976022052</v>
      </c>
      <c r="J20" s="686">
        <f>transport!I14</f>
        <v>0</v>
      </c>
      <c r="K20" s="686">
        <f>transport!J14</f>
        <v>0</v>
      </c>
      <c r="L20" s="686">
        <f>transport!K14</f>
        <v>0</v>
      </c>
      <c r="M20" s="686">
        <f>transport!L14</f>
        <v>0</v>
      </c>
      <c r="N20" s="686">
        <f>transport!M14</f>
        <v>7107.5025856880475</v>
      </c>
      <c r="O20" s="686">
        <f>transport!N14</f>
        <v>0</v>
      </c>
      <c r="P20" s="686">
        <f>transport!O14</f>
        <v>0</v>
      </c>
      <c r="Q20" s="687">
        <f>transport!P14</f>
        <v>0</v>
      </c>
      <c r="R20" s="689">
        <f>SUM(C20:Q20)</f>
        <v>164779.74067424523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1096.3684267267106</v>
      </c>
      <c r="D22" s="804">
        <f t="shared" ref="D22:R22" si="1">SUM(D18:D21)</f>
        <v>0</v>
      </c>
      <c r="E22" s="804">
        <f t="shared" si="1"/>
        <v>13.378884492445154</v>
      </c>
      <c r="F22" s="804">
        <f t="shared" si="1"/>
        <v>467.90512174533694</v>
      </c>
      <c r="G22" s="804">
        <f t="shared" si="1"/>
        <v>0</v>
      </c>
      <c r="H22" s="804">
        <f t="shared" si="1"/>
        <v>135807.76290960115</v>
      </c>
      <c r="I22" s="804">
        <f t="shared" si="1"/>
        <v>24220.835976022052</v>
      </c>
      <c r="J22" s="804">
        <f t="shared" si="1"/>
        <v>0</v>
      </c>
      <c r="K22" s="804">
        <f t="shared" si="1"/>
        <v>0</v>
      </c>
      <c r="L22" s="804">
        <f t="shared" si="1"/>
        <v>0</v>
      </c>
      <c r="M22" s="804">
        <f t="shared" si="1"/>
        <v>0</v>
      </c>
      <c r="N22" s="804">
        <f t="shared" si="1"/>
        <v>7234.1389807472533</v>
      </c>
      <c r="O22" s="804">
        <f t="shared" si="1"/>
        <v>0</v>
      </c>
      <c r="P22" s="804">
        <f t="shared" si="1"/>
        <v>0</v>
      </c>
      <c r="Q22" s="804">
        <f t="shared" si="1"/>
        <v>0</v>
      </c>
      <c r="R22" s="804">
        <f t="shared" si="1"/>
        <v>168840.39029933495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4792.5434374881752</v>
      </c>
      <c r="D24" s="686">
        <f>+landbouw!C8</f>
        <v>2493.5892857142858</v>
      </c>
      <c r="E24" s="686">
        <f>+landbouw!D8</f>
        <v>3341.0270087755598</v>
      </c>
      <c r="F24" s="686">
        <f>+landbouw!E8</f>
        <v>60.392221363610162</v>
      </c>
      <c r="G24" s="686">
        <f>+landbouw!F8</f>
        <v>16535.475463204322</v>
      </c>
      <c r="H24" s="686">
        <f>+landbouw!G8</f>
        <v>0</v>
      </c>
      <c r="I24" s="686">
        <f>+landbouw!H8</f>
        <v>0</v>
      </c>
      <c r="J24" s="686">
        <f>+landbouw!I8</f>
        <v>0</v>
      </c>
      <c r="K24" s="686">
        <f>+landbouw!J8</f>
        <v>720.74405328719217</v>
      </c>
      <c r="L24" s="686">
        <f>+landbouw!K8</f>
        <v>0</v>
      </c>
      <c r="M24" s="686">
        <f>+landbouw!L8</f>
        <v>0</v>
      </c>
      <c r="N24" s="686">
        <f>+landbouw!M8</f>
        <v>0</v>
      </c>
      <c r="O24" s="686">
        <f>+landbouw!N8</f>
        <v>0</v>
      </c>
      <c r="P24" s="686">
        <f>+landbouw!O8</f>
        <v>0</v>
      </c>
      <c r="Q24" s="687">
        <f>+landbouw!P8</f>
        <v>0</v>
      </c>
      <c r="R24" s="689">
        <f>SUM(C24:Q24)</f>
        <v>27943.771469833147</v>
      </c>
      <c r="S24" s="67"/>
    </row>
    <row r="25" spans="1:19" s="454" customFormat="1" ht="15" thickBot="1">
      <c r="A25" s="823" t="s">
        <v>856</v>
      </c>
      <c r="B25" s="991"/>
      <c r="C25" s="992">
        <f>IF(Onbekend_ele_kWh="---",0,Onbekend_ele_kWh)/1000+IF(REST_rest_ele_kWh="---",0,REST_rest_ele_kWh)/1000</f>
        <v>1909.11132011518</v>
      </c>
      <c r="D25" s="992"/>
      <c r="E25" s="992">
        <f>IF(onbekend_gas_kWh="---",0,onbekend_gas_kWh)/1000+IF(REST_rest_gas_kWh="---",0,REST_rest_gas_kWh)/1000</f>
        <v>7682.6238469485697</v>
      </c>
      <c r="F25" s="992"/>
      <c r="G25" s="992"/>
      <c r="H25" s="992"/>
      <c r="I25" s="992"/>
      <c r="J25" s="992"/>
      <c r="K25" s="992"/>
      <c r="L25" s="992"/>
      <c r="M25" s="992"/>
      <c r="N25" s="992"/>
      <c r="O25" s="992"/>
      <c r="P25" s="992"/>
      <c r="Q25" s="993"/>
      <c r="R25" s="689">
        <f>SUM(C25:Q25)</f>
        <v>9591.735167063749</v>
      </c>
      <c r="S25" s="67"/>
    </row>
    <row r="26" spans="1:19" s="454" customFormat="1" ht="15.75" thickBot="1">
      <c r="A26" s="694" t="s">
        <v>857</v>
      </c>
      <c r="B26" s="809"/>
      <c r="C26" s="804">
        <f>SUM(C24:C25)</f>
        <v>6701.6547576033554</v>
      </c>
      <c r="D26" s="804">
        <f t="shared" ref="D26:R26" si="2">SUM(D24:D25)</f>
        <v>2493.5892857142858</v>
      </c>
      <c r="E26" s="804">
        <f t="shared" si="2"/>
        <v>11023.650855724129</v>
      </c>
      <c r="F26" s="804">
        <f t="shared" si="2"/>
        <v>60.392221363610162</v>
      </c>
      <c r="G26" s="804">
        <f t="shared" si="2"/>
        <v>16535.475463204322</v>
      </c>
      <c r="H26" s="804">
        <f t="shared" si="2"/>
        <v>0</v>
      </c>
      <c r="I26" s="804">
        <f t="shared" si="2"/>
        <v>0</v>
      </c>
      <c r="J26" s="804">
        <f t="shared" si="2"/>
        <v>0</v>
      </c>
      <c r="K26" s="804">
        <f t="shared" si="2"/>
        <v>720.74405328719217</v>
      </c>
      <c r="L26" s="804">
        <f t="shared" si="2"/>
        <v>0</v>
      </c>
      <c r="M26" s="804">
        <f t="shared" si="2"/>
        <v>0</v>
      </c>
      <c r="N26" s="804">
        <f t="shared" si="2"/>
        <v>0</v>
      </c>
      <c r="O26" s="804">
        <f t="shared" si="2"/>
        <v>0</v>
      </c>
      <c r="P26" s="804">
        <f t="shared" si="2"/>
        <v>0</v>
      </c>
      <c r="Q26" s="804">
        <f t="shared" si="2"/>
        <v>0</v>
      </c>
      <c r="R26" s="804">
        <f t="shared" si="2"/>
        <v>37535.506636896898</v>
      </c>
      <c r="S26" s="67"/>
    </row>
    <row r="27" spans="1:19" s="454" customFormat="1" ht="17.25" thickTop="1" thickBot="1">
      <c r="A27" s="695" t="s">
        <v>115</v>
      </c>
      <c r="B27" s="796"/>
      <c r="C27" s="696">
        <f ca="1">C22+C16+C26</f>
        <v>211262.91660987388</v>
      </c>
      <c r="D27" s="696">
        <f t="shared" ref="D27:R27" ca="1" si="3">D22+D16+D26</f>
        <v>2574.5892857142858</v>
      </c>
      <c r="E27" s="696">
        <f t="shared" ca="1" si="3"/>
        <v>258544.34428283235</v>
      </c>
      <c r="F27" s="696">
        <f t="shared" si="3"/>
        <v>14766.716592735514</v>
      </c>
      <c r="G27" s="696">
        <f t="shared" ca="1" si="3"/>
        <v>93205.475606732201</v>
      </c>
      <c r="H27" s="696">
        <f t="shared" si="3"/>
        <v>135807.76290960115</v>
      </c>
      <c r="I27" s="696">
        <f t="shared" si="3"/>
        <v>24220.835976022052</v>
      </c>
      <c r="J27" s="696">
        <f t="shared" si="3"/>
        <v>0</v>
      </c>
      <c r="K27" s="696">
        <f t="shared" si="3"/>
        <v>813.02634656303883</v>
      </c>
      <c r="L27" s="696">
        <f t="shared" si="3"/>
        <v>0</v>
      </c>
      <c r="M27" s="696">
        <f t="shared" ca="1" si="3"/>
        <v>0</v>
      </c>
      <c r="N27" s="696">
        <f t="shared" si="3"/>
        <v>7234.1389807472533</v>
      </c>
      <c r="O27" s="696">
        <f t="shared" ca="1" si="3"/>
        <v>45213.801050137263</v>
      </c>
      <c r="P27" s="696">
        <f t="shared" si="3"/>
        <v>453.36666666666667</v>
      </c>
      <c r="Q27" s="696">
        <f t="shared" si="3"/>
        <v>1353.7333333333333</v>
      </c>
      <c r="R27" s="696">
        <f t="shared" ca="1" si="3"/>
        <v>795450.70764095895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8717.9735004420654</v>
      </c>
      <c r="D40" s="686">
        <f ca="1">tertiair!C20</f>
        <v>18.822038695084355</v>
      </c>
      <c r="E40" s="686">
        <f ca="1">tertiair!D20</f>
        <v>9977.9440654275131</v>
      </c>
      <c r="F40" s="686">
        <f>tertiair!E20</f>
        <v>105.05731784404411</v>
      </c>
      <c r="G40" s="686">
        <f ca="1">tertiair!F20</f>
        <v>2198.4685818599132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21018.26550426862</v>
      </c>
    </row>
    <row r="41" spans="1:18">
      <c r="A41" s="814" t="s">
        <v>224</v>
      </c>
      <c r="B41" s="821"/>
      <c r="C41" s="686">
        <f ca="1">huishoudens!B12</f>
        <v>14030.734860888868</v>
      </c>
      <c r="D41" s="686">
        <f ca="1">huishoudens!C12</f>
        <v>0</v>
      </c>
      <c r="E41" s="686">
        <f>huishoudens!D12</f>
        <v>23087.455092832981</v>
      </c>
      <c r="F41" s="686">
        <f>huishoudens!E12</f>
        <v>2404.7846497911714</v>
      </c>
      <c r="G41" s="686">
        <f>huishoudens!F12</f>
        <v>13750.032589014892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53273.007192527919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17390.709672116522</v>
      </c>
      <c r="D43" s="686">
        <f ca="1">industrie!C22</f>
        <v>0</v>
      </c>
      <c r="E43" s="686">
        <f>industrie!D22</f>
        <v>16931.078379347895</v>
      </c>
      <c r="F43" s="686">
        <f>industrie!E22</f>
        <v>722.2792020300152</v>
      </c>
      <c r="G43" s="686">
        <f>industrie!F22</f>
        <v>4522.3888674471409</v>
      </c>
      <c r="H43" s="686">
        <f>industrie!G22</f>
        <v>0</v>
      </c>
      <c r="I43" s="686">
        <f>industrie!H22</f>
        <v>0</v>
      </c>
      <c r="J43" s="686">
        <f>industrie!I22</f>
        <v>0</v>
      </c>
      <c r="K43" s="686">
        <f>industrie!J22</f>
        <v>32.667931819649716</v>
      </c>
      <c r="L43" s="686">
        <f>industrie!K22</f>
        <v>0</v>
      </c>
      <c r="M43" s="686">
        <f>industrie!L22</f>
        <v>0</v>
      </c>
      <c r="N43" s="686">
        <f>industrie!M22</f>
        <v>0</v>
      </c>
      <c r="O43" s="686">
        <f>industrie!N22</f>
        <v>0</v>
      </c>
      <c r="P43" s="686">
        <f>industrie!O22</f>
        <v>0</v>
      </c>
      <c r="Q43" s="763">
        <f>industrie!P22</f>
        <v>0</v>
      </c>
      <c r="R43" s="841">
        <f t="shared" ca="1" si="4"/>
        <v>39599.124052761224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40139.418033447451</v>
      </c>
      <c r="D46" s="721">
        <f t="shared" ref="D46:Q46" ca="1" si="5">SUM(D39:D45)</f>
        <v>18.822038695084355</v>
      </c>
      <c r="E46" s="721">
        <f t="shared" ca="1" si="5"/>
        <v>49996.477537608385</v>
      </c>
      <c r="F46" s="721">
        <f t="shared" si="5"/>
        <v>3232.1211696652308</v>
      </c>
      <c r="G46" s="721">
        <f t="shared" ca="1" si="5"/>
        <v>20470.890038321948</v>
      </c>
      <c r="H46" s="721">
        <f t="shared" si="5"/>
        <v>0</v>
      </c>
      <c r="I46" s="721">
        <f t="shared" si="5"/>
        <v>0</v>
      </c>
      <c r="J46" s="721">
        <f t="shared" si="5"/>
        <v>0</v>
      </c>
      <c r="K46" s="721">
        <f t="shared" si="5"/>
        <v>32.667931819649716</v>
      </c>
      <c r="L46" s="721">
        <f t="shared" si="5"/>
        <v>0</v>
      </c>
      <c r="M46" s="721">
        <f t="shared" ca="1" si="5"/>
        <v>0</v>
      </c>
      <c r="N46" s="721">
        <f t="shared" si="5"/>
        <v>0</v>
      </c>
      <c r="O46" s="721">
        <f t="shared" ca="1" si="5"/>
        <v>0</v>
      </c>
      <c r="P46" s="721">
        <f t="shared" si="5"/>
        <v>0</v>
      </c>
      <c r="Q46" s="721">
        <f t="shared" si="5"/>
        <v>0</v>
      </c>
      <c r="R46" s="721">
        <f ca="1">SUM(R39:R45)</f>
        <v>113890.39674955777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214.82609969238149</v>
      </c>
      <c r="D49" s="686">
        <f ca="1">transport!C58</f>
        <v>0</v>
      </c>
      <c r="E49" s="686">
        <f>transport!D58</f>
        <v>0</v>
      </c>
      <c r="F49" s="686">
        <f>transport!E58</f>
        <v>0</v>
      </c>
      <c r="G49" s="686">
        <f>transport!F58</f>
        <v>0</v>
      </c>
      <c r="H49" s="686">
        <f>transport!G58</f>
        <v>759.6335439657247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974.45964365810619</v>
      </c>
    </row>
    <row r="50" spans="1:18">
      <c r="A50" s="817" t="s">
        <v>306</v>
      </c>
      <c r="B50" s="827"/>
      <c r="C50" s="692">
        <f ca="1">transport!B18</f>
        <v>1.4647299349946596</v>
      </c>
      <c r="D50" s="692">
        <f>transport!C18</f>
        <v>0</v>
      </c>
      <c r="E50" s="692">
        <f>transport!D18</f>
        <v>2.7025346674739215</v>
      </c>
      <c r="F50" s="692">
        <f>transport!E18</f>
        <v>106.21446263619148</v>
      </c>
      <c r="G50" s="692">
        <f>transport!F18</f>
        <v>0</v>
      </c>
      <c r="H50" s="692">
        <f>transport!G18</f>
        <v>35501.039152897785</v>
      </c>
      <c r="I50" s="692">
        <f>transport!H18</f>
        <v>6030.9881580294905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41642.409038165933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216.29082962737616</v>
      </c>
      <c r="D52" s="721">
        <f t="shared" ref="D52:Q52" ca="1" si="6">SUM(D48:D51)</f>
        <v>0</v>
      </c>
      <c r="E52" s="721">
        <f t="shared" si="6"/>
        <v>2.7025346674739215</v>
      </c>
      <c r="F52" s="721">
        <f t="shared" si="6"/>
        <v>106.21446263619148</v>
      </c>
      <c r="G52" s="721">
        <f t="shared" si="6"/>
        <v>0</v>
      </c>
      <c r="H52" s="721">
        <f t="shared" si="6"/>
        <v>36260.672696863512</v>
      </c>
      <c r="I52" s="721">
        <f t="shared" si="6"/>
        <v>6030.9881580294905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42616.868681824039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945.46976258186373</v>
      </c>
      <c r="D54" s="692">
        <f ca="1">+landbouw!C12</f>
        <v>579.43745710323515</v>
      </c>
      <c r="E54" s="692">
        <f>+landbouw!D12</f>
        <v>674.88745577266309</v>
      </c>
      <c r="F54" s="692">
        <f>+landbouw!E12</f>
        <v>13.709034249539506</v>
      </c>
      <c r="G54" s="692">
        <f>+landbouw!F12</f>
        <v>4414.9719486755539</v>
      </c>
      <c r="H54" s="692">
        <f>+landbouw!G12</f>
        <v>0</v>
      </c>
      <c r="I54" s="692">
        <f>+landbouw!H12</f>
        <v>0</v>
      </c>
      <c r="J54" s="692">
        <f>+landbouw!I12</f>
        <v>0</v>
      </c>
      <c r="K54" s="692">
        <f>+landbouw!J12</f>
        <v>255.143394863666</v>
      </c>
      <c r="L54" s="692">
        <f>+landbouw!K12</f>
        <v>0</v>
      </c>
      <c r="M54" s="692">
        <f>+landbouw!L12</f>
        <v>0</v>
      </c>
      <c r="N54" s="692">
        <f>+landbouw!M12</f>
        <v>0</v>
      </c>
      <c r="O54" s="692">
        <f>+landbouw!N12</f>
        <v>0</v>
      </c>
      <c r="P54" s="692">
        <f>+landbouw!O12</f>
        <v>0</v>
      </c>
      <c r="Q54" s="693">
        <f>+landbouw!P12</f>
        <v>0</v>
      </c>
      <c r="R54" s="720">
        <f ca="1">SUM(C54:Q54)</f>
        <v>6883.6190532465207</v>
      </c>
    </row>
    <row r="55" spans="1:18" ht="15" thickBot="1">
      <c r="A55" s="817" t="s">
        <v>856</v>
      </c>
      <c r="B55" s="827"/>
      <c r="C55" s="692">
        <f ca="1">C25*'EF ele_warmte'!B12</f>
        <v>376.62820381606633</v>
      </c>
      <c r="D55" s="692"/>
      <c r="E55" s="692">
        <f>E25*EF_CO2_aardgas</f>
        <v>1551.8900170836112</v>
      </c>
      <c r="F55" s="692"/>
      <c r="G55" s="692"/>
      <c r="H55" s="692"/>
      <c r="I55" s="692"/>
      <c r="J55" s="692"/>
      <c r="K55" s="692"/>
      <c r="L55" s="692"/>
      <c r="M55" s="692"/>
      <c r="N55" s="692"/>
      <c r="O55" s="692"/>
      <c r="P55" s="692"/>
      <c r="Q55" s="693"/>
      <c r="R55" s="720">
        <f ca="1">SUM(C55:Q55)</f>
        <v>1928.5182208996775</v>
      </c>
    </row>
    <row r="56" spans="1:18" ht="15.75" thickBot="1">
      <c r="A56" s="815" t="s">
        <v>857</v>
      </c>
      <c r="B56" s="828"/>
      <c r="C56" s="721">
        <f ca="1">SUM(C54:C55)</f>
        <v>1322.0979663979301</v>
      </c>
      <c r="D56" s="721">
        <f t="shared" ref="D56:Q56" ca="1" si="7">SUM(D54:D55)</f>
        <v>579.43745710323515</v>
      </c>
      <c r="E56" s="721">
        <f t="shared" si="7"/>
        <v>2226.7774728562745</v>
      </c>
      <c r="F56" s="721">
        <f t="shared" si="7"/>
        <v>13.709034249539506</v>
      </c>
      <c r="G56" s="721">
        <f t="shared" si="7"/>
        <v>4414.9719486755539</v>
      </c>
      <c r="H56" s="721">
        <f t="shared" si="7"/>
        <v>0</v>
      </c>
      <c r="I56" s="721">
        <f t="shared" si="7"/>
        <v>0</v>
      </c>
      <c r="J56" s="721">
        <f t="shared" si="7"/>
        <v>0</v>
      </c>
      <c r="K56" s="721">
        <f t="shared" si="7"/>
        <v>255.143394863666</v>
      </c>
      <c r="L56" s="721">
        <f t="shared" si="7"/>
        <v>0</v>
      </c>
      <c r="M56" s="721">
        <f t="shared" si="7"/>
        <v>0</v>
      </c>
      <c r="N56" s="721">
        <f t="shared" si="7"/>
        <v>0</v>
      </c>
      <c r="O56" s="721">
        <f t="shared" si="7"/>
        <v>0</v>
      </c>
      <c r="P56" s="721">
        <f t="shared" si="7"/>
        <v>0</v>
      </c>
      <c r="Q56" s="722">
        <f t="shared" si="7"/>
        <v>0</v>
      </c>
      <c r="R56" s="723">
        <f ca="1">SUM(R54:R55)</f>
        <v>8812.1372741461983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41677.806829472756</v>
      </c>
      <c r="D61" s="729">
        <f t="shared" ref="D61:Q61" ca="1" si="8">D46+D52+D56</f>
        <v>598.25949579831945</v>
      </c>
      <c r="E61" s="729">
        <f t="shared" ca="1" si="8"/>
        <v>52225.957545132129</v>
      </c>
      <c r="F61" s="729">
        <f t="shared" si="8"/>
        <v>3352.0446665509617</v>
      </c>
      <c r="G61" s="729">
        <f t="shared" ca="1" si="8"/>
        <v>24885.861986997501</v>
      </c>
      <c r="H61" s="729">
        <f t="shared" si="8"/>
        <v>36260.672696863512</v>
      </c>
      <c r="I61" s="729">
        <f t="shared" si="8"/>
        <v>6030.9881580294905</v>
      </c>
      <c r="J61" s="729">
        <f t="shared" si="8"/>
        <v>0</v>
      </c>
      <c r="K61" s="729">
        <f t="shared" si="8"/>
        <v>287.81132668331571</v>
      </c>
      <c r="L61" s="729">
        <f t="shared" si="8"/>
        <v>0</v>
      </c>
      <c r="M61" s="729">
        <f t="shared" ca="1" si="8"/>
        <v>0</v>
      </c>
      <c r="N61" s="729">
        <f t="shared" si="8"/>
        <v>0</v>
      </c>
      <c r="O61" s="729">
        <f t="shared" ca="1" si="8"/>
        <v>0</v>
      </c>
      <c r="P61" s="729">
        <f t="shared" si="8"/>
        <v>0</v>
      </c>
      <c r="Q61" s="729">
        <f t="shared" si="8"/>
        <v>0</v>
      </c>
      <c r="R61" s="729">
        <f ca="1">R46+R52+R56</f>
        <v>165319.40270552802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0.19727933088435287</v>
      </c>
      <c r="D63" s="772">
        <f t="shared" ca="1" si="9"/>
        <v>0.23237084808746117</v>
      </c>
      <c r="E63" s="998">
        <f t="shared" ca="1" si="9"/>
        <v>0.20199999999999999</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22768.282469991787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40.012499999999996</v>
      </c>
      <c r="C76" s="739">
        <f>'lokale energieproductie'!B8*IFERROR(SUM(D76:H76)/SUM(D76:O76),0)</f>
        <v>1762.2</v>
      </c>
      <c r="D76" s="1008">
        <f>'lokale energieproductie'!C8</f>
        <v>2073.1764705882351</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47.073529411764703</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418.78164705882352</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22808.294969991788</v>
      </c>
      <c r="C78" s="744">
        <f>SUM(C72:C77)</f>
        <v>1762.2</v>
      </c>
      <c r="D78" s="745">
        <f t="shared" ref="D78:H78" si="10">SUM(D76:D77)</f>
        <v>2073.1764705882351</v>
      </c>
      <c r="E78" s="745">
        <f t="shared" si="10"/>
        <v>0</v>
      </c>
      <c r="F78" s="745">
        <f t="shared" si="10"/>
        <v>0</v>
      </c>
      <c r="G78" s="745">
        <f t="shared" si="10"/>
        <v>0</v>
      </c>
      <c r="H78" s="745">
        <f t="shared" si="10"/>
        <v>0</v>
      </c>
      <c r="I78" s="745">
        <f>SUM(I76:I77)</f>
        <v>0</v>
      </c>
      <c r="J78" s="745">
        <f>SUM(J76:J77)</f>
        <v>47.073529411764703</v>
      </c>
      <c r="K78" s="745">
        <f t="shared" ref="K78:L78" si="11">SUM(K76:K77)</f>
        <v>0</v>
      </c>
      <c r="L78" s="745">
        <f t="shared" si="11"/>
        <v>0</v>
      </c>
      <c r="M78" s="745">
        <f>SUM(M76:M77)</f>
        <v>0</v>
      </c>
      <c r="N78" s="745">
        <f>SUM(N76:N77)</f>
        <v>0</v>
      </c>
      <c r="O78" s="852">
        <f>SUM(O76:O77)</f>
        <v>0</v>
      </c>
      <c r="P78" s="746">
        <v>0</v>
      </c>
      <c r="Q78" s="746">
        <f>SUM(Q76:Q77)</f>
        <v>418.78164705882352</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57.160714285714278</v>
      </c>
      <c r="C87" s="755">
        <f>'lokale energieproductie'!B17*IFERROR(SUM(D87:H87)/SUM(D87:O87),0)</f>
        <v>2517.4285714285716</v>
      </c>
      <c r="D87" s="766">
        <f>'lokale energieproductie'!C17</f>
        <v>2961.680672268908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67.247899159663874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598.25949579831945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57.160714285714278</v>
      </c>
      <c r="C90" s="744">
        <f>SUM(C87:C89)</f>
        <v>2517.4285714285716</v>
      </c>
      <c r="D90" s="744">
        <f t="shared" ref="D90:H90" si="12">SUM(D87:D89)</f>
        <v>2961.680672268908</v>
      </c>
      <c r="E90" s="744">
        <f t="shared" si="12"/>
        <v>0</v>
      </c>
      <c r="F90" s="744">
        <f t="shared" si="12"/>
        <v>0</v>
      </c>
      <c r="G90" s="744">
        <f t="shared" si="12"/>
        <v>0</v>
      </c>
      <c r="H90" s="744">
        <f t="shared" si="12"/>
        <v>0</v>
      </c>
      <c r="I90" s="744">
        <f>SUM(I87:I89)</f>
        <v>0</v>
      </c>
      <c r="J90" s="744">
        <f>SUM(J87:J89)</f>
        <v>67.247899159663874</v>
      </c>
      <c r="K90" s="744">
        <f t="shared" ref="K90:L90" si="13">SUM(K87:K89)</f>
        <v>0</v>
      </c>
      <c r="L90" s="744">
        <f t="shared" si="13"/>
        <v>0</v>
      </c>
      <c r="M90" s="744">
        <f>SUM(M87:M89)</f>
        <v>0</v>
      </c>
      <c r="N90" s="744">
        <f>SUM(N87:N89)</f>
        <v>0</v>
      </c>
      <c r="O90" s="744">
        <f>SUM(O87:O89)</f>
        <v>0</v>
      </c>
      <c r="P90" s="744">
        <v>0</v>
      </c>
      <c r="Q90" s="744">
        <f>SUM(Q87:Q89)</f>
        <v>598.25949579831945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22768.282469991787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1802.2125000000001</v>
      </c>
      <c r="C8" s="556">
        <f>B50</f>
        <v>2073.1764705882351</v>
      </c>
      <c r="D8" s="1015"/>
      <c r="E8" s="1015">
        <f>E50</f>
        <v>0</v>
      </c>
      <c r="F8" s="1016"/>
      <c r="G8" s="557"/>
      <c r="H8" s="1015">
        <f>I50</f>
        <v>0</v>
      </c>
      <c r="I8" s="1015">
        <f>G50+F50</f>
        <v>0</v>
      </c>
      <c r="J8" s="1015">
        <f>H50+D50+C50</f>
        <v>47.073529411764703</v>
      </c>
      <c r="K8" s="1015"/>
      <c r="L8" s="1015"/>
      <c r="M8" s="1015"/>
      <c r="N8" s="558"/>
      <c r="O8" s="559">
        <f>C8*$C$12+D8*$D$12+E8*$E$12+F8*$F$12+G8*$G$12+H8*$H$12+I8*$I$12+J8*$J$12</f>
        <v>418.78164705882352</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24570.494969991789</v>
      </c>
      <c r="C10" s="569">
        <f t="shared" ref="C10:L10" si="0">SUM(C8:C9)</f>
        <v>2073.1764705882351</v>
      </c>
      <c r="D10" s="569">
        <f t="shared" si="0"/>
        <v>0</v>
      </c>
      <c r="E10" s="569">
        <f t="shared" si="0"/>
        <v>0</v>
      </c>
      <c r="F10" s="569">
        <f t="shared" si="0"/>
        <v>0</v>
      </c>
      <c r="G10" s="569">
        <f t="shared" si="0"/>
        <v>0</v>
      </c>
      <c r="H10" s="569">
        <f t="shared" si="0"/>
        <v>0</v>
      </c>
      <c r="I10" s="569">
        <f t="shared" si="0"/>
        <v>0</v>
      </c>
      <c r="J10" s="569">
        <f t="shared" si="0"/>
        <v>47.073529411764703</v>
      </c>
      <c r="K10" s="569">
        <f t="shared" si="0"/>
        <v>0</v>
      </c>
      <c r="L10" s="569">
        <f t="shared" si="0"/>
        <v>0</v>
      </c>
      <c r="M10" s="1018"/>
      <c r="N10" s="1018"/>
      <c r="O10" s="570">
        <f>SUM(O4:O9)</f>
        <v>418.78164705882352</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2574.5892857142858</v>
      </c>
      <c r="C17" s="581">
        <f>B51</f>
        <v>2961.680672268908</v>
      </c>
      <c r="D17" s="582"/>
      <c r="E17" s="582">
        <f>E51</f>
        <v>0</v>
      </c>
      <c r="F17" s="1021"/>
      <c r="G17" s="583"/>
      <c r="H17" s="581">
        <f>I51</f>
        <v>0</v>
      </c>
      <c r="I17" s="582">
        <f>G51+F51</f>
        <v>0</v>
      </c>
      <c r="J17" s="582">
        <f>H51+D51+C51</f>
        <v>67.247899159663874</v>
      </c>
      <c r="K17" s="582"/>
      <c r="L17" s="582"/>
      <c r="M17" s="582"/>
      <c r="N17" s="1022"/>
      <c r="O17" s="584">
        <f>C17*$C$22+E17*$E$22+H17*$H$22+I17*$I$22+J17*$J$22+D17*$D$22+F17*$F$22+G17*$G$22+K17*$K$22+L17*$L$22</f>
        <v>598.25949579831945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2574.5892857142858</v>
      </c>
      <c r="C20" s="568">
        <f>SUM(C17:C19)</f>
        <v>2961.680672268908</v>
      </c>
      <c r="D20" s="568">
        <f t="shared" ref="D20:L20" si="1">SUM(D17:D19)</f>
        <v>0</v>
      </c>
      <c r="E20" s="568">
        <f t="shared" si="1"/>
        <v>0</v>
      </c>
      <c r="F20" s="568">
        <f t="shared" si="1"/>
        <v>0</v>
      </c>
      <c r="G20" s="568">
        <f t="shared" si="1"/>
        <v>0</v>
      </c>
      <c r="H20" s="568">
        <f t="shared" si="1"/>
        <v>0</v>
      </c>
      <c r="I20" s="568">
        <f t="shared" si="1"/>
        <v>0</v>
      </c>
      <c r="J20" s="568">
        <f t="shared" si="1"/>
        <v>67.247899159663874</v>
      </c>
      <c r="K20" s="568">
        <f t="shared" si="1"/>
        <v>0</v>
      </c>
      <c r="L20" s="568">
        <f t="shared" si="1"/>
        <v>0</v>
      </c>
      <c r="M20" s="568"/>
      <c r="N20" s="568"/>
      <c r="O20" s="588">
        <f>SUM(O17:O19)</f>
        <v>598.25949579831945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44019</v>
      </c>
      <c r="C28" s="787">
        <v>9940</v>
      </c>
      <c r="D28" s="640" t="s">
        <v>920</v>
      </c>
      <c r="E28" s="639" t="s">
        <v>921</v>
      </c>
      <c r="F28" s="639" t="s">
        <v>922</v>
      </c>
      <c r="G28" s="639" t="s">
        <v>923</v>
      </c>
      <c r="H28" s="639" t="s">
        <v>924</v>
      </c>
      <c r="I28" s="639" t="s">
        <v>921</v>
      </c>
      <c r="J28" s="786">
        <v>39861</v>
      </c>
      <c r="K28" s="786">
        <v>39861</v>
      </c>
      <c r="L28" s="639" t="s">
        <v>925</v>
      </c>
      <c r="M28" s="639">
        <v>12.6</v>
      </c>
      <c r="N28" s="639">
        <v>56.7</v>
      </c>
      <c r="O28" s="639">
        <v>81</v>
      </c>
      <c r="P28" s="639">
        <v>162.00000000000003</v>
      </c>
      <c r="Q28" s="639">
        <v>0</v>
      </c>
      <c r="R28" s="639">
        <v>0</v>
      </c>
      <c r="S28" s="639">
        <v>0</v>
      </c>
      <c r="T28" s="639">
        <v>0</v>
      </c>
      <c r="U28" s="639">
        <v>0</v>
      </c>
      <c r="V28" s="639">
        <v>0</v>
      </c>
      <c r="W28" s="639">
        <v>0</v>
      </c>
      <c r="X28" s="639">
        <v>1600</v>
      </c>
      <c r="Y28" s="639" t="s">
        <v>49</v>
      </c>
      <c r="Z28" s="641" t="s">
        <v>155</v>
      </c>
    </row>
    <row r="29" spans="1:26" s="593" customFormat="1" ht="25.5">
      <c r="A29" s="592"/>
      <c r="B29" s="787">
        <v>44019</v>
      </c>
      <c r="C29" s="787">
        <v>9940</v>
      </c>
      <c r="D29" s="640" t="s">
        <v>926</v>
      </c>
      <c r="E29" s="639" t="s">
        <v>927</v>
      </c>
      <c r="F29" s="639" t="s">
        <v>928</v>
      </c>
      <c r="G29" s="639" t="s">
        <v>923</v>
      </c>
      <c r="H29" s="639" t="s">
        <v>924</v>
      </c>
      <c r="I29" s="639" t="s">
        <v>929</v>
      </c>
      <c r="J29" s="786">
        <v>41151</v>
      </c>
      <c r="K29" s="786">
        <v>41275</v>
      </c>
      <c r="L29" s="639" t="s">
        <v>925</v>
      </c>
      <c r="M29" s="639">
        <v>9.6999999999999993</v>
      </c>
      <c r="N29" s="639">
        <v>40.012499999999996</v>
      </c>
      <c r="O29" s="639">
        <v>57.160714285714278</v>
      </c>
      <c r="P29" s="639">
        <v>0</v>
      </c>
      <c r="Q29" s="639">
        <v>114.32142857142857</v>
      </c>
      <c r="R29" s="639">
        <v>0</v>
      </c>
      <c r="S29" s="639">
        <v>0</v>
      </c>
      <c r="T29" s="639">
        <v>0</v>
      </c>
      <c r="U29" s="639">
        <v>0</v>
      </c>
      <c r="V29" s="639">
        <v>0</v>
      </c>
      <c r="W29" s="639">
        <v>0</v>
      </c>
      <c r="X29" s="639">
        <v>10</v>
      </c>
      <c r="Y29" s="639" t="s">
        <v>111</v>
      </c>
      <c r="Z29" s="641" t="s">
        <v>111</v>
      </c>
    </row>
    <row r="30" spans="1:26" s="593" customFormat="1" ht="25.5">
      <c r="A30" s="592"/>
      <c r="B30" s="787">
        <v>44019</v>
      </c>
      <c r="C30" s="787">
        <v>9940</v>
      </c>
      <c r="D30" s="640" t="s">
        <v>930</v>
      </c>
      <c r="E30" s="639" t="s">
        <v>931</v>
      </c>
      <c r="F30" s="639" t="s">
        <v>932</v>
      </c>
      <c r="G30" s="639" t="s">
        <v>923</v>
      </c>
      <c r="H30" s="639" t="s">
        <v>924</v>
      </c>
      <c r="I30" s="639" t="s">
        <v>931</v>
      </c>
      <c r="J30" s="786">
        <v>41185</v>
      </c>
      <c r="K30" s="786">
        <v>41214</v>
      </c>
      <c r="L30" s="639" t="s">
        <v>925</v>
      </c>
      <c r="M30" s="639">
        <v>379</v>
      </c>
      <c r="N30" s="639">
        <v>1705.5</v>
      </c>
      <c r="O30" s="639">
        <v>2436.4285714285716</v>
      </c>
      <c r="P30" s="639">
        <v>4872.8571428571431</v>
      </c>
      <c r="Q30" s="639">
        <v>0</v>
      </c>
      <c r="R30" s="639">
        <v>0</v>
      </c>
      <c r="S30" s="639">
        <v>0</v>
      </c>
      <c r="T30" s="639">
        <v>0</v>
      </c>
      <c r="U30" s="639">
        <v>0</v>
      </c>
      <c r="V30" s="639">
        <v>0</v>
      </c>
      <c r="W30" s="639">
        <v>0</v>
      </c>
      <c r="X30" s="639">
        <v>10</v>
      </c>
      <c r="Y30" s="639" t="s">
        <v>111</v>
      </c>
      <c r="Z30" s="641" t="s">
        <v>111</v>
      </c>
    </row>
    <row r="31" spans="1:26" s="576" customFormat="1">
      <c r="A31" s="595" t="s">
        <v>279</v>
      </c>
      <c r="B31" s="596"/>
      <c r="C31" s="596"/>
      <c r="D31" s="596"/>
      <c r="E31" s="596"/>
      <c r="F31" s="596"/>
      <c r="G31" s="596"/>
      <c r="H31" s="596"/>
      <c r="I31" s="596"/>
      <c r="J31" s="596"/>
      <c r="K31" s="596"/>
      <c r="L31" s="597"/>
      <c r="M31" s="597">
        <f>SUM(M28:M30)</f>
        <v>401.3</v>
      </c>
      <c r="N31" s="597">
        <f>SUM(N28:N30)</f>
        <v>1802.2125000000001</v>
      </c>
      <c r="O31" s="597">
        <f>SUM(O28:O30)</f>
        <v>2574.5892857142858</v>
      </c>
      <c r="P31" s="597">
        <f>SUM(P28:P30)</f>
        <v>5034.8571428571431</v>
      </c>
      <c r="Q31" s="597">
        <f>SUM(Q28:Q30)</f>
        <v>114.32142857142857</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12.6</v>
      </c>
      <c r="N33" s="597">
        <f ca="1">SUMIF($Z$28:AD30,"tertiair",N28:N30)</f>
        <v>56.7</v>
      </c>
      <c r="O33" s="597">
        <f ca="1">SUMIF($Z$28:AE30,"tertiair",O28:O30)</f>
        <v>81</v>
      </c>
      <c r="P33" s="597">
        <f ca="1">SUMIF($Z$28:AF30,"tertiair",P28:P30)</f>
        <v>162.00000000000003</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388.7</v>
      </c>
      <c r="N34" s="602">
        <f>SUMIF($Z$28:$Z$30,"landbouw",N28:N30)</f>
        <v>1745.5125</v>
      </c>
      <c r="O34" s="602">
        <f>SUMIF($Z$28:$Z$30,"landbouw",O28:O30)</f>
        <v>2493.5892857142858</v>
      </c>
      <c r="P34" s="602">
        <f>SUMIF($Z$28:$Z$30,"landbouw",P28:P30)</f>
        <v>4872.8571428571431</v>
      </c>
      <c r="Q34" s="602">
        <f>SUMIF($Z$28:$Z$30,"landbouw",Q28:Q30)</f>
        <v>114.32142857142857</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2073.1764705882351</v>
      </c>
      <c r="C50" s="631">
        <f t="shared" si="2"/>
        <v>47.073529411764703</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2961.680672268908</v>
      </c>
      <c r="C51" s="634">
        <f t="shared" si="3"/>
        <v>67.247899159663874</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71121.160022150638</v>
      </c>
      <c r="C4" s="458">
        <f>huishoudens!C8</f>
        <v>0</v>
      </c>
      <c r="D4" s="458">
        <f>huishoudens!D8</f>
        <v>114294.33214273752</v>
      </c>
      <c r="E4" s="458">
        <f>huishoudens!E8</f>
        <v>10593.764977053619</v>
      </c>
      <c r="F4" s="458">
        <f>huishoudens!F8</f>
        <v>51498.249397059517</v>
      </c>
      <c r="G4" s="458">
        <f>huishoudens!G8</f>
        <v>0</v>
      </c>
      <c r="H4" s="458">
        <f>huishoudens!H8</f>
        <v>0</v>
      </c>
      <c r="I4" s="458">
        <f>huishoudens!I8</f>
        <v>0</v>
      </c>
      <c r="J4" s="458">
        <f>huishoudens!J8</f>
        <v>0</v>
      </c>
      <c r="K4" s="458">
        <f>huishoudens!K8</f>
        <v>0</v>
      </c>
      <c r="L4" s="458">
        <f>huishoudens!L8</f>
        <v>0</v>
      </c>
      <c r="M4" s="458">
        <f>huishoudens!M8</f>
        <v>0</v>
      </c>
      <c r="N4" s="458">
        <f>huishoudens!N8</f>
        <v>36854.2343612806</v>
      </c>
      <c r="O4" s="458">
        <f>huishoudens!O8</f>
        <v>443.98666666666668</v>
      </c>
      <c r="P4" s="459">
        <f>huishoudens!P8</f>
        <v>1258.4000000000001</v>
      </c>
      <c r="Q4" s="460">
        <f>SUM(B4:P4)</f>
        <v>286064.12756694865</v>
      </c>
    </row>
    <row r="5" spans="1:17">
      <c r="A5" s="457" t="s">
        <v>155</v>
      </c>
      <c r="B5" s="458">
        <f ca="1">tertiair!B16</f>
        <v>41800.72512520483</v>
      </c>
      <c r="C5" s="458">
        <f ca="1">tertiair!C16</f>
        <v>81</v>
      </c>
      <c r="D5" s="458">
        <f ca="1">tertiair!D16</f>
        <v>49395.762700136198</v>
      </c>
      <c r="E5" s="458">
        <f>tertiair!E16</f>
        <v>462.80756759490794</v>
      </c>
      <c r="F5" s="458">
        <f ca="1">tertiair!F16</f>
        <v>8233.9647260670899</v>
      </c>
      <c r="G5" s="458">
        <f>tertiair!G16</f>
        <v>0</v>
      </c>
      <c r="H5" s="458">
        <f>tertiair!H16</f>
        <v>0</v>
      </c>
      <c r="I5" s="458">
        <f>tertiair!I16</f>
        <v>0</v>
      </c>
      <c r="J5" s="458">
        <f>tertiair!J16</f>
        <v>0</v>
      </c>
      <c r="K5" s="458">
        <f>tertiair!K16</f>
        <v>0</v>
      </c>
      <c r="L5" s="458">
        <f ca="1">tertiair!L16</f>
        <v>0</v>
      </c>
      <c r="M5" s="458">
        <f>tertiair!M16</f>
        <v>0</v>
      </c>
      <c r="N5" s="458">
        <f ca="1">tertiair!N16</f>
        <v>4175.9781537153603</v>
      </c>
      <c r="O5" s="458">
        <f>tertiair!O16</f>
        <v>9.3800000000000008</v>
      </c>
      <c r="P5" s="459">
        <f>tertiair!P16</f>
        <v>95.333333333333343</v>
      </c>
      <c r="Q5" s="457">
        <f t="shared" ref="Q5:Q14" ca="1" si="0">SUM(B5:P5)</f>
        <v>104254.95160605172</v>
      </c>
    </row>
    <row r="6" spans="1:17">
      <c r="A6" s="457" t="s">
        <v>193</v>
      </c>
      <c r="B6" s="458">
        <f>'openbare verlichting'!B8</f>
        <v>2390.288</v>
      </c>
      <c r="C6" s="458"/>
      <c r="D6" s="458"/>
      <c r="E6" s="458"/>
      <c r="F6" s="458"/>
      <c r="G6" s="458"/>
      <c r="H6" s="458"/>
      <c r="I6" s="458"/>
      <c r="J6" s="458"/>
      <c r="K6" s="458"/>
      <c r="L6" s="458"/>
      <c r="M6" s="458"/>
      <c r="N6" s="458"/>
      <c r="O6" s="458"/>
      <c r="P6" s="459"/>
      <c r="Q6" s="457">
        <f t="shared" si="0"/>
        <v>2390.288</v>
      </c>
    </row>
    <row r="7" spans="1:17">
      <c r="A7" s="457" t="s">
        <v>111</v>
      </c>
      <c r="B7" s="458">
        <f>landbouw!B8</f>
        <v>4792.5434374881752</v>
      </c>
      <c r="C7" s="458">
        <f>landbouw!C8</f>
        <v>2493.5892857142858</v>
      </c>
      <c r="D7" s="458">
        <f>landbouw!D8</f>
        <v>3341.0270087755598</v>
      </c>
      <c r="E7" s="458">
        <f>landbouw!E8</f>
        <v>60.392221363610162</v>
      </c>
      <c r="F7" s="458">
        <f>landbouw!F8</f>
        <v>16535.475463204322</v>
      </c>
      <c r="G7" s="458">
        <f>landbouw!G8</f>
        <v>0</v>
      </c>
      <c r="H7" s="458">
        <f>landbouw!H8</f>
        <v>0</v>
      </c>
      <c r="I7" s="458">
        <f>landbouw!I8</f>
        <v>0</v>
      </c>
      <c r="J7" s="458">
        <f>landbouw!J8</f>
        <v>720.74405328719217</v>
      </c>
      <c r="K7" s="458">
        <f>landbouw!K8</f>
        <v>0</v>
      </c>
      <c r="L7" s="458">
        <f>landbouw!L8</f>
        <v>0</v>
      </c>
      <c r="M7" s="458">
        <f>landbouw!M8</f>
        <v>0</v>
      </c>
      <c r="N7" s="458">
        <f>landbouw!N8</f>
        <v>0</v>
      </c>
      <c r="O7" s="458">
        <f>landbouw!O8</f>
        <v>0</v>
      </c>
      <c r="P7" s="459">
        <f>landbouw!P8</f>
        <v>0</v>
      </c>
      <c r="Q7" s="457">
        <f t="shared" si="0"/>
        <v>27943.771469833147</v>
      </c>
    </row>
    <row r="8" spans="1:17">
      <c r="A8" s="457" t="s">
        <v>655</v>
      </c>
      <c r="B8" s="458">
        <f>industrie!B18</f>
        <v>88152.720278188324</v>
      </c>
      <c r="C8" s="458">
        <f>industrie!C18</f>
        <v>0</v>
      </c>
      <c r="D8" s="458">
        <f>industrie!D18</f>
        <v>83817.219699742054</v>
      </c>
      <c r="E8" s="458">
        <f>industrie!E18</f>
        <v>3181.8467049780402</v>
      </c>
      <c r="F8" s="458">
        <f>industrie!F18</f>
        <v>16937.786020401276</v>
      </c>
      <c r="G8" s="458">
        <f>industrie!G18</f>
        <v>0</v>
      </c>
      <c r="H8" s="458">
        <f>industrie!H18</f>
        <v>0</v>
      </c>
      <c r="I8" s="458">
        <f>industrie!I18</f>
        <v>0</v>
      </c>
      <c r="J8" s="458">
        <f>industrie!J18</f>
        <v>92.282293275846669</v>
      </c>
      <c r="K8" s="458">
        <f>industrie!K18</f>
        <v>0</v>
      </c>
      <c r="L8" s="458">
        <f>industrie!L18</f>
        <v>0</v>
      </c>
      <c r="M8" s="458">
        <f>industrie!M18</f>
        <v>0</v>
      </c>
      <c r="N8" s="458">
        <f>industrie!N18</f>
        <v>4183.5885351413044</v>
      </c>
      <c r="O8" s="458">
        <f>industrie!O18</f>
        <v>0</v>
      </c>
      <c r="P8" s="459">
        <f>industrie!P18</f>
        <v>0</v>
      </c>
      <c r="Q8" s="457">
        <f t="shared" si="0"/>
        <v>196365.44353172687</v>
      </c>
    </row>
    <row r="9" spans="1:17" s="463" customFormat="1">
      <c r="A9" s="461" t="s">
        <v>573</v>
      </c>
      <c r="B9" s="462">
        <f>transport!B14</f>
        <v>7.4246497513381113</v>
      </c>
      <c r="C9" s="462">
        <f>transport!C14</f>
        <v>0</v>
      </c>
      <c r="D9" s="462">
        <f>transport!D14</f>
        <v>13.378884492445154</v>
      </c>
      <c r="E9" s="462">
        <f>transport!E14</f>
        <v>467.90512174533694</v>
      </c>
      <c r="F9" s="462">
        <f>transport!F14</f>
        <v>0</v>
      </c>
      <c r="G9" s="462">
        <f>transport!G14</f>
        <v>132962.693456546</v>
      </c>
      <c r="H9" s="462">
        <f>transport!H14</f>
        <v>24220.835976022052</v>
      </c>
      <c r="I9" s="462">
        <f>transport!I14</f>
        <v>0</v>
      </c>
      <c r="J9" s="462">
        <f>transport!J14</f>
        <v>0</v>
      </c>
      <c r="K9" s="462">
        <f>transport!K14</f>
        <v>0</v>
      </c>
      <c r="L9" s="462">
        <f>transport!L14</f>
        <v>0</v>
      </c>
      <c r="M9" s="462">
        <f>transport!M14</f>
        <v>7107.5025856880475</v>
      </c>
      <c r="N9" s="462">
        <f>transport!N14</f>
        <v>0</v>
      </c>
      <c r="O9" s="462">
        <f>transport!O14</f>
        <v>0</v>
      </c>
      <c r="P9" s="462">
        <f>transport!P14</f>
        <v>0</v>
      </c>
      <c r="Q9" s="461">
        <f>SUM(B9:P9)</f>
        <v>164779.74067424523</v>
      </c>
    </row>
    <row r="10" spans="1:17">
      <c r="A10" s="457" t="s">
        <v>563</v>
      </c>
      <c r="B10" s="458">
        <f>transport!B54</f>
        <v>1088.9437769753724</v>
      </c>
      <c r="C10" s="458">
        <f>transport!C54</f>
        <v>0</v>
      </c>
      <c r="D10" s="458">
        <f>transport!D54</f>
        <v>0</v>
      </c>
      <c r="E10" s="458">
        <f>transport!E54</f>
        <v>0</v>
      </c>
      <c r="F10" s="458">
        <f>transport!F54</f>
        <v>0</v>
      </c>
      <c r="G10" s="458">
        <f>transport!G54</f>
        <v>2845.0694530551486</v>
      </c>
      <c r="H10" s="458">
        <f>transport!H54</f>
        <v>0</v>
      </c>
      <c r="I10" s="458">
        <f>transport!I54</f>
        <v>0</v>
      </c>
      <c r="J10" s="458">
        <f>transport!J54</f>
        <v>0</v>
      </c>
      <c r="K10" s="458">
        <f>transport!K54</f>
        <v>0</v>
      </c>
      <c r="L10" s="458">
        <f>transport!L54</f>
        <v>0</v>
      </c>
      <c r="M10" s="458">
        <f>transport!M54</f>
        <v>126.63639505920621</v>
      </c>
      <c r="N10" s="458">
        <f>transport!N54</f>
        <v>0</v>
      </c>
      <c r="O10" s="458">
        <f>transport!O54</f>
        <v>0</v>
      </c>
      <c r="P10" s="459">
        <f>transport!P54</f>
        <v>0</v>
      </c>
      <c r="Q10" s="457">
        <f t="shared" si="0"/>
        <v>4060.6496250897276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1909.11132011518</v>
      </c>
      <c r="C14" s="465"/>
      <c r="D14" s="465">
        <f>'SEAP template'!E25</f>
        <v>7682.6238469485697</v>
      </c>
      <c r="E14" s="465"/>
      <c r="F14" s="465"/>
      <c r="G14" s="465"/>
      <c r="H14" s="465"/>
      <c r="I14" s="465"/>
      <c r="J14" s="465"/>
      <c r="K14" s="465"/>
      <c r="L14" s="465"/>
      <c r="M14" s="465"/>
      <c r="N14" s="465"/>
      <c r="O14" s="465"/>
      <c r="P14" s="466"/>
      <c r="Q14" s="457">
        <f t="shared" si="0"/>
        <v>9591.735167063749</v>
      </c>
    </row>
    <row r="15" spans="1:17" s="470" customFormat="1">
      <c r="A15" s="467" t="s">
        <v>567</v>
      </c>
      <c r="B15" s="468">
        <f ca="1">SUM(B4:B14)</f>
        <v>211262.91660987388</v>
      </c>
      <c r="C15" s="468">
        <f t="shared" ref="C15:Q15" ca="1" si="1">SUM(C4:C14)</f>
        <v>2574.5892857142858</v>
      </c>
      <c r="D15" s="468">
        <f t="shared" ca="1" si="1"/>
        <v>258544.34428283238</v>
      </c>
      <c r="E15" s="468">
        <f t="shared" si="1"/>
        <v>14766.716592735514</v>
      </c>
      <c r="F15" s="468">
        <f t="shared" ca="1" si="1"/>
        <v>93205.475606732216</v>
      </c>
      <c r="G15" s="468">
        <f t="shared" si="1"/>
        <v>135807.76290960115</v>
      </c>
      <c r="H15" s="468">
        <f t="shared" si="1"/>
        <v>24220.835976022052</v>
      </c>
      <c r="I15" s="468">
        <f t="shared" si="1"/>
        <v>0</v>
      </c>
      <c r="J15" s="468">
        <f t="shared" si="1"/>
        <v>813.02634656303883</v>
      </c>
      <c r="K15" s="468">
        <f t="shared" si="1"/>
        <v>0</v>
      </c>
      <c r="L15" s="468">
        <f t="shared" ca="1" si="1"/>
        <v>0</v>
      </c>
      <c r="M15" s="468">
        <f t="shared" si="1"/>
        <v>7234.1389807472533</v>
      </c>
      <c r="N15" s="468">
        <f t="shared" ca="1" si="1"/>
        <v>45213.801050137263</v>
      </c>
      <c r="O15" s="468">
        <f t="shared" si="1"/>
        <v>453.36666666666667</v>
      </c>
      <c r="P15" s="468">
        <f t="shared" si="1"/>
        <v>1353.7333333333333</v>
      </c>
      <c r="Q15" s="468">
        <f t="shared" ca="1" si="1"/>
        <v>795450.70764095918</v>
      </c>
    </row>
    <row r="17" spans="1:17">
      <c r="A17" s="471" t="s">
        <v>568</v>
      </c>
      <c r="B17" s="777">
        <f ca="1">huishoudens!B10</f>
        <v>0.1972793308843529</v>
      </c>
      <c r="C17" s="777">
        <f ca="1">huishoudens!C10</f>
        <v>0.23237084808746117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14030.734860888868</v>
      </c>
      <c r="C22" s="458">
        <f t="shared" ref="C22:C32" ca="1" si="3">C4*$C$17</f>
        <v>0</v>
      </c>
      <c r="D22" s="458">
        <f t="shared" ref="D22:D32" si="4">D4*$D$17</f>
        <v>23087.455092832981</v>
      </c>
      <c r="E22" s="458">
        <f t="shared" ref="E22:E32" si="5">E4*$E$17</f>
        <v>2404.7846497911714</v>
      </c>
      <c r="F22" s="458">
        <f t="shared" ref="F22:F32" si="6">F4*$F$17</f>
        <v>13750.032589014892</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53273.007192527919</v>
      </c>
    </row>
    <row r="23" spans="1:17">
      <c r="A23" s="457" t="s">
        <v>155</v>
      </c>
      <c r="B23" s="458">
        <f t="shared" ca="1" si="2"/>
        <v>8246.4190831811666</v>
      </c>
      <c r="C23" s="458">
        <f t="shared" ca="1" si="3"/>
        <v>18.822038695084355</v>
      </c>
      <c r="D23" s="458">
        <f t="shared" ca="1" si="4"/>
        <v>9977.9440654275131</v>
      </c>
      <c r="E23" s="458">
        <f t="shared" si="5"/>
        <v>105.05731784404411</v>
      </c>
      <c r="F23" s="458">
        <f t="shared" ca="1" si="6"/>
        <v>2198.4685818599132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20546.711087007723</v>
      </c>
    </row>
    <row r="24" spans="1:17">
      <c r="A24" s="457" t="s">
        <v>193</v>
      </c>
      <c r="B24" s="458">
        <f t="shared" ca="1" si="2"/>
        <v>471.55441726089811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471.55441726089811</v>
      </c>
    </row>
    <row r="25" spans="1:17">
      <c r="A25" s="457" t="s">
        <v>111</v>
      </c>
      <c r="B25" s="458">
        <f t="shared" ca="1" si="2"/>
        <v>945.46976258186373</v>
      </c>
      <c r="C25" s="458">
        <f t="shared" ca="1" si="3"/>
        <v>579.43745710323515</v>
      </c>
      <c r="D25" s="458">
        <f t="shared" si="4"/>
        <v>674.88745577266309</v>
      </c>
      <c r="E25" s="458">
        <f t="shared" si="5"/>
        <v>13.709034249539506</v>
      </c>
      <c r="F25" s="458">
        <f t="shared" si="6"/>
        <v>4414.9719486755539</v>
      </c>
      <c r="G25" s="458">
        <f t="shared" si="7"/>
        <v>0</v>
      </c>
      <c r="H25" s="458">
        <f t="shared" si="8"/>
        <v>0</v>
      </c>
      <c r="I25" s="458">
        <f t="shared" si="9"/>
        <v>0</v>
      </c>
      <c r="J25" s="458">
        <f t="shared" si="10"/>
        <v>255.143394863666</v>
      </c>
      <c r="K25" s="458">
        <f t="shared" si="11"/>
        <v>0</v>
      </c>
      <c r="L25" s="458">
        <f t="shared" si="12"/>
        <v>0</v>
      </c>
      <c r="M25" s="458">
        <f t="shared" si="13"/>
        <v>0</v>
      </c>
      <c r="N25" s="458">
        <f t="shared" si="14"/>
        <v>0</v>
      </c>
      <c r="O25" s="458">
        <f t="shared" si="15"/>
        <v>0</v>
      </c>
      <c r="P25" s="459">
        <f t="shared" si="16"/>
        <v>0</v>
      </c>
      <c r="Q25" s="457">
        <f t="shared" ca="1" si="17"/>
        <v>6883.6190532465207</v>
      </c>
    </row>
    <row r="26" spans="1:17">
      <c r="A26" s="457" t="s">
        <v>655</v>
      </c>
      <c r="B26" s="458">
        <f t="shared" ca="1" si="2"/>
        <v>17390.709672116522</v>
      </c>
      <c r="C26" s="458">
        <f t="shared" ca="1" si="3"/>
        <v>0</v>
      </c>
      <c r="D26" s="458">
        <f t="shared" si="4"/>
        <v>16931.078379347895</v>
      </c>
      <c r="E26" s="458">
        <f t="shared" si="5"/>
        <v>722.2792020300152</v>
      </c>
      <c r="F26" s="458">
        <f t="shared" si="6"/>
        <v>4522.3888674471409</v>
      </c>
      <c r="G26" s="458">
        <f t="shared" si="7"/>
        <v>0</v>
      </c>
      <c r="H26" s="458">
        <f t="shared" si="8"/>
        <v>0</v>
      </c>
      <c r="I26" s="458">
        <f t="shared" si="9"/>
        <v>0</v>
      </c>
      <c r="J26" s="458">
        <f t="shared" si="10"/>
        <v>32.667931819649716</v>
      </c>
      <c r="K26" s="458">
        <f t="shared" si="11"/>
        <v>0</v>
      </c>
      <c r="L26" s="458">
        <f t="shared" si="12"/>
        <v>0</v>
      </c>
      <c r="M26" s="458">
        <f t="shared" si="13"/>
        <v>0</v>
      </c>
      <c r="N26" s="458">
        <f t="shared" si="14"/>
        <v>0</v>
      </c>
      <c r="O26" s="458">
        <f t="shared" si="15"/>
        <v>0</v>
      </c>
      <c r="P26" s="459">
        <f t="shared" si="16"/>
        <v>0</v>
      </c>
      <c r="Q26" s="457">
        <f t="shared" ca="1" si="17"/>
        <v>39599.124052761224</v>
      </c>
    </row>
    <row r="27" spans="1:17" s="463" customFormat="1">
      <c r="A27" s="461" t="s">
        <v>573</v>
      </c>
      <c r="B27" s="771">
        <f t="shared" ca="1" si="2"/>
        <v>1.4647299349946596</v>
      </c>
      <c r="C27" s="462">
        <f t="shared" ca="1" si="3"/>
        <v>0</v>
      </c>
      <c r="D27" s="462">
        <f t="shared" si="4"/>
        <v>2.7025346674739215</v>
      </c>
      <c r="E27" s="462">
        <f t="shared" si="5"/>
        <v>106.21446263619148</v>
      </c>
      <c r="F27" s="462">
        <f t="shared" si="6"/>
        <v>0</v>
      </c>
      <c r="G27" s="462">
        <f t="shared" si="7"/>
        <v>35501.039152897785</v>
      </c>
      <c r="H27" s="462">
        <f t="shared" si="8"/>
        <v>6030.9881580294905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41642.409038165933</v>
      </c>
    </row>
    <row r="28" spans="1:17">
      <c r="A28" s="457" t="s">
        <v>563</v>
      </c>
      <c r="B28" s="458">
        <f t="shared" ca="1" si="2"/>
        <v>214.82609969238149</v>
      </c>
      <c r="C28" s="458">
        <f t="shared" ca="1" si="3"/>
        <v>0</v>
      </c>
      <c r="D28" s="458">
        <f t="shared" si="4"/>
        <v>0</v>
      </c>
      <c r="E28" s="458">
        <f t="shared" si="5"/>
        <v>0</v>
      </c>
      <c r="F28" s="458">
        <f t="shared" si="6"/>
        <v>0</v>
      </c>
      <c r="G28" s="458">
        <f t="shared" si="7"/>
        <v>759.6335439657247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974.45964365810619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376.62820381606633</v>
      </c>
      <c r="C32" s="458">
        <f t="shared" ca="1" si="3"/>
        <v>0</v>
      </c>
      <c r="D32" s="458">
        <f t="shared" si="4"/>
        <v>1551.8900170836112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1928.5182208996775</v>
      </c>
    </row>
    <row r="33" spans="1:17" s="470" customFormat="1">
      <c r="A33" s="467" t="s">
        <v>567</v>
      </c>
      <c r="B33" s="468">
        <f ca="1">SUM(B22:B32)</f>
        <v>41677.806829472756</v>
      </c>
      <c r="C33" s="468">
        <f t="shared" ref="C33:Q33" ca="1" si="18">SUM(C22:C32)</f>
        <v>598.25949579831945</v>
      </c>
      <c r="D33" s="468">
        <f t="shared" ca="1" si="18"/>
        <v>52225.957545132136</v>
      </c>
      <c r="E33" s="468">
        <f t="shared" si="18"/>
        <v>3352.0446665509617</v>
      </c>
      <c r="F33" s="468">
        <f t="shared" ca="1" si="18"/>
        <v>24885.861986997501</v>
      </c>
      <c r="G33" s="468">
        <f t="shared" si="18"/>
        <v>36260.672696863512</v>
      </c>
      <c r="H33" s="468">
        <f t="shared" si="18"/>
        <v>6030.9881580294905</v>
      </c>
      <c r="I33" s="468">
        <f t="shared" si="18"/>
        <v>0</v>
      </c>
      <c r="J33" s="468">
        <f t="shared" si="18"/>
        <v>287.81132668331571</v>
      </c>
      <c r="K33" s="468">
        <f t="shared" si="18"/>
        <v>0</v>
      </c>
      <c r="L33" s="468">
        <f t="shared" ca="1" si="18"/>
        <v>0</v>
      </c>
      <c r="M33" s="468">
        <f t="shared" si="18"/>
        <v>0</v>
      </c>
      <c r="N33" s="468">
        <f t="shared" ca="1" si="18"/>
        <v>0</v>
      </c>
      <c r="O33" s="468">
        <f t="shared" si="18"/>
        <v>0</v>
      </c>
      <c r="P33" s="468">
        <f t="shared" si="18"/>
        <v>0</v>
      </c>
      <c r="Q33" s="468">
        <f t="shared" ca="1" si="18"/>
        <v>165319.40270552802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22768.282469991787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40.012499999999996</v>
      </c>
      <c r="C8" s="1034">
        <f>'SEAP template'!C76</f>
        <v>1762.2</v>
      </c>
      <c r="D8" s="1034">
        <f>'SEAP template'!D76</f>
        <v>2073.1764705882351</v>
      </c>
      <c r="E8" s="1034">
        <f>'SEAP template'!E76</f>
        <v>0</v>
      </c>
      <c r="F8" s="1034">
        <f>'SEAP template'!F76</f>
        <v>0</v>
      </c>
      <c r="G8" s="1034">
        <f>'SEAP template'!G76</f>
        <v>0</v>
      </c>
      <c r="H8" s="1034">
        <f>'SEAP template'!H76</f>
        <v>0</v>
      </c>
      <c r="I8" s="1034">
        <f>'SEAP template'!I76</f>
        <v>0</v>
      </c>
      <c r="J8" s="1034">
        <f>'SEAP template'!J76</f>
        <v>47.073529411764703</v>
      </c>
      <c r="K8" s="1034">
        <f>'SEAP template'!K76</f>
        <v>0</v>
      </c>
      <c r="L8" s="1034">
        <f>'SEAP template'!L76</f>
        <v>0</v>
      </c>
      <c r="M8" s="1034">
        <f>'SEAP template'!M76</f>
        <v>0</v>
      </c>
      <c r="N8" s="1034">
        <f>'SEAP template'!N76</f>
        <v>0</v>
      </c>
      <c r="O8" s="1034">
        <f>'SEAP template'!O76</f>
        <v>0</v>
      </c>
      <c r="P8" s="1035">
        <f>'SEAP template'!Q76</f>
        <v>418.78164705882352</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22808.294969991788</v>
      </c>
      <c r="C10" s="1038">
        <f>SUM(C4:C9)</f>
        <v>1762.2</v>
      </c>
      <c r="D10" s="1038">
        <f t="shared" ref="D10:H10" si="0">SUM(D8:D9)</f>
        <v>2073.1764705882351</v>
      </c>
      <c r="E10" s="1038">
        <f t="shared" si="0"/>
        <v>0</v>
      </c>
      <c r="F10" s="1038">
        <f t="shared" si="0"/>
        <v>0</v>
      </c>
      <c r="G10" s="1038">
        <f t="shared" si="0"/>
        <v>0</v>
      </c>
      <c r="H10" s="1038">
        <f t="shared" si="0"/>
        <v>0</v>
      </c>
      <c r="I10" s="1038">
        <f>SUM(I8:I9)</f>
        <v>0</v>
      </c>
      <c r="J10" s="1038">
        <f>SUM(J8:J9)</f>
        <v>47.073529411764703</v>
      </c>
      <c r="K10" s="1038">
        <f t="shared" ref="K10:L10" si="1">SUM(K8:K9)</f>
        <v>0</v>
      </c>
      <c r="L10" s="1038">
        <f t="shared" si="1"/>
        <v>0</v>
      </c>
      <c r="M10" s="1038">
        <f>SUM(M8:M9)</f>
        <v>0</v>
      </c>
      <c r="N10" s="1038">
        <f>SUM(N8:N9)</f>
        <v>0</v>
      </c>
      <c r="O10" s="1038">
        <f>SUM(O8:O9)</f>
        <v>0</v>
      </c>
      <c r="P10" s="1038">
        <f>SUM(P8:P9)</f>
        <v>418.78164705882352</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0.1972793308843529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57.160714285714278</v>
      </c>
      <c r="C17" s="1040">
        <f>'SEAP template'!C87</f>
        <v>2517.4285714285716</v>
      </c>
      <c r="D17" s="1035">
        <f>'SEAP template'!D87</f>
        <v>2961.680672268908</v>
      </c>
      <c r="E17" s="1035">
        <f>'SEAP template'!E87</f>
        <v>0</v>
      </c>
      <c r="F17" s="1035">
        <f>'SEAP template'!F87</f>
        <v>0</v>
      </c>
      <c r="G17" s="1035">
        <f>'SEAP template'!G87</f>
        <v>0</v>
      </c>
      <c r="H17" s="1035">
        <f>'SEAP template'!H87</f>
        <v>0</v>
      </c>
      <c r="I17" s="1035">
        <f>'SEAP template'!I87</f>
        <v>0</v>
      </c>
      <c r="J17" s="1035">
        <f>'SEAP template'!J87</f>
        <v>67.247899159663874</v>
      </c>
      <c r="K17" s="1035">
        <f>'SEAP template'!K87</f>
        <v>0</v>
      </c>
      <c r="L17" s="1035">
        <f>'SEAP template'!L87</f>
        <v>0</v>
      </c>
      <c r="M17" s="1035">
        <f>'SEAP template'!M87</f>
        <v>0</v>
      </c>
      <c r="N17" s="1035">
        <f>'SEAP template'!N87</f>
        <v>0</v>
      </c>
      <c r="O17" s="1035">
        <f>'SEAP template'!O87</f>
        <v>0</v>
      </c>
      <c r="P17" s="1035">
        <f>'SEAP template'!Q87</f>
        <v>598.25949579831945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57.160714285714278</v>
      </c>
      <c r="C20" s="1038">
        <f>SUM(C17:C19)</f>
        <v>2517.4285714285716</v>
      </c>
      <c r="D20" s="1038">
        <f t="shared" ref="D20:H20" si="2">SUM(D17:D19)</f>
        <v>2961.680672268908</v>
      </c>
      <c r="E20" s="1038">
        <f t="shared" si="2"/>
        <v>0</v>
      </c>
      <c r="F20" s="1038">
        <f t="shared" si="2"/>
        <v>0</v>
      </c>
      <c r="G20" s="1038">
        <f t="shared" si="2"/>
        <v>0</v>
      </c>
      <c r="H20" s="1038">
        <f t="shared" si="2"/>
        <v>0</v>
      </c>
      <c r="I20" s="1038">
        <f>SUM(I17:I19)</f>
        <v>0</v>
      </c>
      <c r="J20" s="1038">
        <f>SUM(J17:J19)</f>
        <v>67.247899159663874</v>
      </c>
      <c r="K20" s="1038">
        <f t="shared" ref="K20:L20" si="3">SUM(K17:K19)</f>
        <v>0</v>
      </c>
      <c r="L20" s="1038">
        <f t="shared" si="3"/>
        <v>0</v>
      </c>
      <c r="M20" s="1038">
        <f>SUM(M17:M19)</f>
        <v>0</v>
      </c>
      <c r="N20" s="1038">
        <f>SUM(N17:N19)</f>
        <v>0</v>
      </c>
      <c r="O20" s="1038">
        <f>SUM(O17:O19)</f>
        <v>0</v>
      </c>
      <c r="P20" s="1038">
        <f>SUM(P17:P19)</f>
        <v>598.25949579831945</v>
      </c>
    </row>
    <row r="22" spans="1:16">
      <c r="A22" s="471" t="s">
        <v>879</v>
      </c>
      <c r="B22" s="777" t="s">
        <v>873</v>
      </c>
      <c r="C22" s="777">
        <f ca="1">'EF ele_warmte'!B22</f>
        <v>0.23237084808746117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0.1972793308843529</v>
      </c>
      <c r="C17" s="508">
        <f ca="1">'EF ele_warmte'!B22</f>
        <v>0.23237084808746117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2020-06-20T16:21:29Z</dcterms:modified>
</cp:coreProperties>
</file>