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E48" i="18"/>
  <c r="E8" i="18" s="1"/>
  <c r="E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13" i="14"/>
  <c r="O8" i="48"/>
  <c r="O26" i="48" s="1"/>
  <c r="P16" i="14"/>
  <c r="P27" i="14" s="1"/>
  <c r="E7" i="48"/>
  <c r="E25" i="48" s="1"/>
  <c r="F24" i="14"/>
  <c r="F26"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H22" i="14" l="1"/>
  <c r="H27" i="14" s="1"/>
  <c r="J5" i="48"/>
  <c r="J23" i="48" s="1"/>
  <c r="K10" i="14"/>
  <c r="E20" i="15"/>
  <c r="F40" i="14" s="1"/>
  <c r="F10" i="14"/>
  <c r="E5" i="48"/>
  <c r="N52" i="14"/>
  <c r="N61"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F46" i="14" s="1"/>
  <c r="F61"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F13" i="14"/>
  <c r="F16" i="14" s="1"/>
  <c r="F27" i="14" s="1"/>
  <c r="F63" i="14" s="1"/>
  <c r="E8" i="48"/>
  <c r="E26" i="48" s="1"/>
  <c r="J33" i="48"/>
  <c r="J15" i="48"/>
  <c r="J22" i="16"/>
  <c r="K43" i="14" s="1"/>
  <c r="K46" i="14" s="1"/>
  <c r="K61" i="14" s="1"/>
  <c r="J8" i="48"/>
  <c r="J26" i="48" s="1"/>
  <c r="K13" i="14"/>
  <c r="K16" i="14" s="1"/>
  <c r="K27" i="14" s="1"/>
  <c r="E63" i="14"/>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<sst xmlns="http://schemas.openxmlformats.org/spreadsheetml/2006/main" count="2447" uniqueCount="920">
  <si>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</si>
  <si>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</si>
  <si>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</si>
  <si>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</si>
  <si>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</si>
  <si>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</si>
  <si>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</si>
  <si>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</si>
  <si>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</si>
  <si>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</si>
  <si>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</si>
  <si>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</si>
  <si>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</si>
  <si>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</si>
  <si>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</si>
  <si>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</si>
  <si>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</si>
  <si>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</si>
  <si>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</si>
  <si>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</si>
  <si>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</si>
  <si>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</si>
  <si>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</si>
  <si>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</si>
  <si>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</si>
  <si>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</si>
  <si>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</si>
  <si>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</si>
  <si>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</si>
  <si>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</si>
  <si>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</si>
  <si>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</si>
  <si>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</si>
  <si>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</si>
  <si>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</si>
  <si>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</si>
  <si>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</si>
  <si>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</si>
  <si>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</si>
  <si>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</si>
  <si>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</si>
  <si>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</si>
  <si>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</si>
  <si>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</si>
  <si>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</si>
  <si>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</si>
  <si>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</si>
  <si>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</si>
  <si>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</si>
  <si>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</si>
  <si>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</si>
  <si>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</si>
  <si>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</si>
  <si>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</si>
  <si>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</si>
  <si>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</si>
  <si>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</si>
  <si>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</si>
  <si>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</si>
  <si>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</si>
  <si>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</si>
  <si>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</si>
  <si>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</si>
  <si>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</si>
  <si>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</si>
  <si>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</si>
  <si>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</si>
  <si>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</si>
  <si>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</si>
  <si>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</si>
  <si>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</si>
  <si>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</si>
  <si>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</si>
  <si>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</si>
  <si>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</si>
  <si>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</si>
  <si>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</si>
  <si>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</si>
  <si>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</si>
  <si>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</si>
  <si>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</si>
  <si>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</si>
  <si>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</si>
  <si>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</si>
  <si>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</si>
  <si>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</si>
  <si>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</si>
  <si>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</si>
  <si>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</si>
  <si>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</si>
  <si>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</si>
  <si>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</si>
  <si>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</si>
  <si>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</si>
  <si>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</si>
  <si>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</si>
  <si>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</si>
  <si>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</si>
  <si>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</si>
  <si>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</si>
  <si>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</si>
  <si>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</si>
  <si>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</si>
  <si>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</si>
  <si>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</si>
  <si>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</si>
  <si>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</si>
  <si>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</si>
  <si>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</si>
  <si>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</si>
  <si>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</si>
  <si>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</si>
  <si>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</si>
  <si>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</si>
  <si>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</si>
  <si>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</si>
  <si>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</si>
  <si>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</si>
  <si>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</si>
  <si>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</si>
  <si>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</si>
  <si>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</si>
  <si>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</si>
  <si>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</si>
  <si>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</si>
  <si>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</si>
  <si>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</si>
  <si>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</si>
  <si>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</si>
  <si>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</si>
  <si>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</si>
  <si>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</si>
  <si>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</si>
  <si>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</si>
  <si>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</si>
  <si>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</si>
  <si>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</si>
  <si>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</si>
  <si>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</si>
  <si>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</si>
  <si>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</si>
  <si>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</si>
  <si>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</si>
  <si>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</si>
  <si>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</si>
  <si>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</si>
  <si>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</si>
  <si>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</si>
  <si>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</si>
  <si>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</si>
  <si>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</si>
  <si>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</si>
  <si>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</si>
  <si>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</si>
  <si>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</si>
  <si>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</si>
  <si>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</si>
  <si>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</si>
  <si>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</si>
  <si>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</si>
  <si>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</si>
  <si>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</si>
  <si>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</si>
  <si>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</si>
  <si>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</si>
  <si>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</si>
  <si>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</si>
  <si>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</si>
  <si>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</si>
  <si>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</si>
  <si>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</si>
  <si>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</si>
  <si>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</si>
  <si>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</si>
  <si>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</si>
  <si>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</si>
  <si>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</si>
  <si>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</si>
  <si>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</si>
  <si>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</si>
  <si>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</si>
  <si>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</si>
  <si>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</si>
  <si>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</si>
  <si>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</si>
  <si>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</si>
  <si>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</si>
  <si>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</si>
  <si>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</si>
  <si>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</si>
  <si>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</si>
  <si>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</si>
  <si>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</si>
  <si>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</si>
  <si>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</si>
  <si>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</si>
  <si>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</si>
  <si>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</si>
  <si>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</si>
  <si>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</si>
  <si>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</si>
  <si>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</si>
  <si>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</si>
  <si>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</si>
  <si>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</si>
  <si>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</si>
  <si>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</si>
  <si>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</si>
  <si>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</si>
  <si>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</si>
  <si>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</si>
  <si>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</si>
  <si>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</si>
  <si>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</si>
  <si>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</si>
  <si>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</si>
  <si>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</si>
  <si>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</si>
  <si>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</si>
  <si>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</si>
  <si>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</si>
  <si>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</si>
  <si>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</si>
  <si>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</si>
  <si>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</si>
  <si>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</si>
  <si>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</si>
  <si>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</si>
  <si>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</si>
  <si>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</si>
  <si>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</si>
  <si>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</si>
  <si>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</si>
  <si>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</si>
  <si>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</si>
  <si>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</si>
  <si>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</si>
  <si>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</si>
  <si>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</si>
  <si>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</si>
  <si>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</si>
  <si>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</si>
  <si>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</si>
  <si>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</si>
  <si>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</si>
  <si>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</si>
  <si>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</si>
  <si>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</si>
  <si>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</si>
  <si>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</si>
  <si>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</si>
  <si>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</si>
  <si>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</si>
  <si>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</si>
  <si>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</si>
  <si>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</si>
  <si>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</si>
  <si>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</si>
  <si>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</si>
  <si>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</si>
  <si>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</si>
  <si>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</si>
  <si>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</si>
  <si>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</si>
  <si>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</si>
  <si>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</si>
  <si>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</si>
  <si>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</si>
  <si>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</si>
  <si>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</si>
  <si>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</si>
  <si>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</si>
  <si>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</si>
  <si>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</si>
  <si>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</si>
  <si>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</si>
  <si>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</si>
  <si>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</si>
  <si>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</si>
  <si>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</si>
  <si>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</si>
  <si>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</si>
  <si>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</si>
  <si>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</si>
  <si>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</si>
  <si>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</si>
  <si>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</si>
  <si>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</si>
  <si>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</si>
  <si>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</si>
  <si>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</si>
  <si>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</si>
  <si>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</si>
  <si>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</si>
  <si>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</si>
  <si>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</si>
  <si>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</si>
  <si>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</si>
  <si>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</si>
  <si>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</si>
  <si>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</si>
  <si>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</si>
  <si>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</si>
  <si>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</si>
  <si>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</si>
  <si>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</si>
  <si>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</si>
  <si>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</si>
  <si>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</si>
  <si>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</si>
  <si>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</si>
  <si>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</si>
  <si>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</si>
  <si>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</si>
  <si>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</si>
  <si>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</si>
  <si>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</si>
  <si>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</si>
  <si>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</si>
  <si>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</si>
  <si>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</si>
  <si>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</si>
  <si>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</si>
  <si>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</si>
  <si>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</si>
  <si>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</si>
  <si>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</si>
  <si>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</si>
  <si>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</si>
  <si>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</si>
  <si>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</si>
  <si>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</si>
  <si>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</si>
  <si>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</si>
  <si>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</si>
  <si>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</si>
  <si>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</si>
  <si>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</si>
  <si>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</si>
  <si>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</si>
  <si>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</si>
  <si>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</si>
  <si>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</si>
  <si>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</si>
  <si>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</si>
  <si>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</si>
  <si>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</si>
  <si>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</si>
  <si>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</si>
  <si>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</si>
  <si>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</si>
  <si>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</si>
  <si>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</si>
  <si>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</si>
  <si>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</si>
  <si>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</si>
  <si>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</si>
  <si>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</si>
  <si>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</si>
  <si>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</si>
  <si>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</si>
  <si>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</si>
  <si>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</si>
  <si>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</si>
  <si>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</si>
  <si>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</si>
  <si>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</si>
  <si>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</si>
  <si>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</si>
  <si>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</si>
  <si>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</si>
  <si>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</si>
  <si>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</si>
  <si>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</si>
  <si>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</si>
  <si>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</si>
  <si>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</si>
  <si>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</si>
  <si>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</si>
  <si>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</si>
  <si>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</si>
  <si>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</si>
  <si>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</si>
  <si>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</si>
  <si>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</si>
  <si>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</si>
  <si>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</si>
  <si>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</si>
  <si>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</si>
  <si>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</si>
  <si>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</si>
  <si>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</si>
  <si>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</si>
  <si>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</si>
  <si>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</si>
  <si>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</si>
  <si>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</si>
  <si>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</si>
  <si>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</si>
  <si>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</si>
  <si>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</si>
  <si>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</si>
  <si>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</si>
  <si>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</si>
  <si>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</si>
  <si>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</si>
  <si>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</si>
  <si>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</si>
  <si>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</si>
  <si>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</si>
  <si>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</si>
  <si>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</si>
  <si>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</si>
  <si>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</si>
  <si>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</si>
  <si>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</si>
  <si>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</si>
  <si>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</si>
  <si>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</si>
  <si>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</si>
  <si>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</si>
  <si>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</si>
  <si>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</si>
  <si>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</si>
  <si>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</si>
  <si>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</si>
  <si>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</si>
  <si>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</si>
  <si>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</si>
  <si>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</si>
  <si>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</si>
  <si>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</si>
  <si>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</si>
  <si>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</si>
  <si>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</si>
  <si>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</si>
  <si>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</si>
  <si>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</si>
  <si>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</si>
  <si>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</si>
  <si>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</si>
  <si>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</si>
  <si>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</si>
  <si>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</si>
  <si>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</si>
  <si>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</si>
  <si>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</si>
  <si>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</si>
  <si>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</si>
  <si>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</si>
  <si>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</si>
  <si>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</si>
  <si>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</si>
  <si>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</si>
  <si>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</si>
  <si>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</si>
  <si>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</si>
  <si>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</si>
  <si>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</si>
  <si>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</si>
  <si>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</si>
  <si>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</si>
  <si>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</si>
  <si>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</si>
  <si>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</si>
  <si>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</si>
  <si>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</si>
  <si>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</si>
  <si>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</si>
  <si>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</si>
  <si>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</si>
  <si>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</si>
  <si>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</si>
  <si>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</si>
  <si>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</si>
  <si>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</si>
  <si>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</si>
  <si>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</si>
  <si>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</si>
  <si>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</si>
  <si>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</si>
  <si>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</si>
  <si>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</si>
  <si>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</si>
  <si>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</si>
  <si>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</si>
  <si>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</si>
  <si>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</si>
  <si>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</si>
  <si>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</si>
  <si>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</si>
  <si>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</si>
  <si>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</si>
  <si>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</si>
  <si>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</si>
  <si>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</si>
  <si>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</si>
  <si>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</si>
  <si>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</si>
  <si>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</si>
  <si>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</si>
  <si>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</si>
  <si>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</si>
  <si>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</si>
  <si>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</si>
  <si>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</si>
  <si>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</si>
  <si>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</si>
  <si>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</si>
  <si>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</si>
  <si>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</si>
  <si>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</si>
  <si>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</si>
  <si>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</si>
  <si>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</si>
  <si>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</si>
  <si>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</si>
  <si>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</si>
  <si>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</si>
  <si>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</si>
  <si>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</si>
  <si>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</si>
  <si>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</si>
  <si>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</si>
  <si>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</si>
  <si>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</si>
  <si>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</si>
  <si>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</si>
  <si>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</si>
  <si>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</si>
  <si>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</si>
  <si>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</si>
  <si>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</si>
  <si>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</si>
  <si>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</si>
  <si>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</si>
  <si>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</si>
  <si>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</si>
  <si>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</si>
  <si>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</si>
  <si>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</si>
  <si>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</si>
  <si>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</si>
  <si>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</si>
  <si>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</si>
  <si>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</si>
  <si>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</si>
  <si>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</si>
  <si>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</si>
  <si>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</si>
  <si>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</si>
  <si>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</si>
  <si>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</si>
  <si>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</si>
  <si>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</si>
  <si>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</si>
  <si>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</si>
  <si>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</si>
  <si>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</si>
  <si>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</si>
  <si>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</si>
  <si>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</si>
  <si>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</si>
  <si>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</si>
  <si>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</si>
  <si>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</si>
  <si>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</si>
  <si>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</si>
  <si>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</si>
  <si>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</si>
  <si>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</si>
  <si>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</si>
  <si>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</si>
  <si>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</si>
  <si>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</si>
  <si>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</si>
  <si>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</si>
  <si>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</si>
  <si>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</si>
  <si>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</si>
  <si>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</si>
  <si>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</si>
  <si>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</si>
  <si>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</si>
  <si>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</si>
  <si>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</si>
  <si>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</si>
  <si>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</si>
  <si>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</si>
  <si>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</si>
  <si>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</si>
  <si>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</si>
  <si>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</si>
  <si>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</si>
  <si>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</si>
  <si>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</si>
  <si>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</si>
  <si>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</si>
  <si>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</si>
  <si>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</si>
  <si>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</si>
  <si>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</si>
  <si>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</si>
  <si>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</si>
  <si>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</si>
  <si>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</si>
  <si>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</si>
  <si>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</si>
  <si>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</si>
  <si>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</si>
  <si>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</si>
  <si>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</si>
  <si>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</si>
  <si>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</si>
  <si>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</si>
  <si>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</si>
  <si>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</si>
  <si>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</si>
  <si>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</si>
  <si>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</si>
  <si>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</si>
  <si>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</si>
  <si>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</si>
  <si>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</si>
  <si>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</si>
  <si>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</si>
  <si>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</si>
  <si>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</si>
  <si>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</si>
  <si>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</si>
  <si>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</si>
  <si>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</si>
  <si>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</si>
  <si>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</si>
  <si>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</si>
  <si>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</si>
  <si>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</si>
  <si>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</si>
  <si>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</si>
  <si>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</si>
  <si>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</si>
  <si>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</si>
  <si>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</si>
  <si>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</si>
  <si>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</si>
  <si>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</si>
  <si>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</si>
  <si>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</si>
  <si>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</si>
  <si>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</si>
  <si>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</si>
  <si>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</si>
  <si>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</si>
  <si>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</si>
  <si>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</si>
  <si>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</si>
  <si>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</si>
  <si>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</si>
  <si>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</si>
  <si>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</si>
  <si>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</si>
  <si>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</si>
  <si>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</si>
  <si>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</si>
  <si>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</si>
  <si>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</si>
  <si>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</si>
  <si>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</si>
  <si>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</si>
  <si>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</si>
  <si>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</si>
  <si>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</si>
  <si>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</si>
  <si>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</si>
  <si>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</si>
  <si>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</si>
  <si>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</si>
  <si>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</si>
  <si>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</si>
  <si>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</si>
  <si>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</si>
  <si>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</si>
  <si>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</si>
  <si>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</si>
  <si>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</si>
  <si>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</si>
  <si>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</si>
  <si>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</si>
  <si>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</si>
  <si>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</si>
  <si>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</si>
  <si>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</si>
  <si>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</si>
  <si>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</si>
  <si>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</si>
  <si>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</si>
  <si>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</si>
  <si>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</si>
  <si>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</si>
  <si>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</si>
  <si>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</si>
  <si>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</si>
  <si>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</si>
  <si>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</si>
  <si>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</si>
  <si>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</si>
  <si>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</si>
  <si>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</si>
  <si>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</si>
  <si>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</si>
  <si>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</si>
  <si>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</si>
  <si>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</si>
  <si>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</si>
  <si>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</si>
  <si>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</si>
  <si>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</si>
  <si>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</si>
  <si>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</si>
  <si>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</si>
  <si>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</si>
  <si>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</si>
  <si>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</si>
  <si>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</si>
  <si>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</si>
  <si>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</si>
  <si>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</si>
  <si>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</si>
  <si>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</si>
  <si>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</si>
  <si>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</si>
  <si>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</si>
  <si>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</si>
  <si>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</si>
  <si>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</si>
  <si>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</si>
  <si>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</si>
  <si>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</si>
  <si>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</si>
  <si>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</si>
  <si>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</si>
  <si>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</si>
  <si>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</si>
  <si>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</si>
  <si>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</si>
  <si>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</si>
  <si>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</si>
  <si>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</si>
  <si>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</si>
  <si>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</si>
  <si>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</si>
  <si>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</si>
  <si>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</si>
  <si>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</si>
  <si>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</si>
  <si>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</si>
  <si>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</si>
  <si>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</si>
  <si>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</si>
  <si>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</si>
  <si>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</si>
  <si>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</si>
  <si>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</si>
  <si>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</si>
  <si>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</si>
  <si>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</si>
  <si>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</si>
  <si>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</si>
  <si>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</si>
  <si>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</si>
  <si>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</si>
  <si>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</si>
  <si>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</si>
  <si>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</si>
  <si>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</si>
  <si>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</si>
  <si>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</si>
  <si>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</si>
  <si>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</si>
  <si>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</si>
  <si>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</si>
  <si>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</si>
  <si>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</si>
  <si>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</si>
  <si>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</si>
  <si>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</si>
  <si>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</si>
  <si>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</si>
  <si>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</si>
  <si>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</si>
  <si>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</si>
  <si>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</si>
  <si>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</si>
  <si>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</si>
  <si>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</si>
  <si>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</si>
  <si>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</si>
  <si>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</si>
  <si>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</si>
  <si>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</si>
  <si>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</si>
  <si>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</si>
  <si>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</si>
  <si>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</si>
  <si>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</si>
  <si>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</si>
  <si>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</si>
  <si>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</si>
  <si>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</si>
  <si>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</si>
  <si>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</si>
  <si>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</si>
  <si>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</si>
  <si>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</si>
  <si>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</si>
  <si>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</si>
  <si>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</si>
  <si>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</si>
  <si>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</si>
  <si>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</si>
  <si>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</si>
  <si>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</si>
  <si>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</si>
  <si>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</si>
  <si>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</si>
  <si>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</si>
  <si>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</si>
  <si>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</si>
  <si>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</si>
  <si>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</si>
  <si>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</si>
  <si>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</si>
  <si>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</si>
  <si>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</si>
  <si>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</si>
  <si>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</si>
  <si>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</si>
  <si>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</si>
  <si>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</si>
  <si>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</si>
  <si>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</si>
  <si>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</si>
  <si>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</si>
  <si>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</si>
  <si>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</si>
  <si>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</si>
  <si>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</si>
  <si>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</si>
  <si>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</si>
  <si>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</si>
  <si>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</si>
  <si>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</si>
  <si>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</si>
  <si>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</si>
  <si>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</si>
  <si>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</si>
  <si>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</si>
  <si>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</si>
  <si>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</si>
  <si>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</si>
  <si>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</si>
  <si>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</si>
  <si>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</si>
  <si>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</si>
  <si>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</si>
  <si>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</si>
  <si>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</si>
  <si>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</si>
  <si>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</si>
  <si>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</si>
  <si>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</si>
  <si>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</si>
  <si>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</si>
  <si>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</si>
  <si>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</si>
  <si>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</si>
  <si>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</si>
  <si>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</si>
  <si>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</si>
  <si>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</si>
  <si>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</si>
  <si>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</si>
  <si>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</si>
  <si>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</si>
  <si>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</si>
  <si>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</si>
  <si>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</si>
  <si>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</si>
  <si>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</si>
  <si>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</si>
  <si>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</si>
  <si>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</si>
  <si>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</si>
  <si>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</si>
  <si>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</si>
  <si>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</si>
  <si>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</si>
  <si>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</si>
  <si>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</si>
  <si>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</si>
  <si>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</si>
  <si>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</si>
  <si>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</si>
  <si>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</si>
  <si>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</si>
  <si>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</si>
  <si>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</si>
  <si>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</si>
  <si>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</si>
  <si>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</si>
  <si>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</si>
  <si>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</si>
  <si>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</si>
  <si>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43018</t>
  </si>
  <si>
    <t>ZELZATE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</si>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</sst>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109000.6190398233</c:v>
                </c:pt>
                <c:pt idx="1">
                  <c:v>44898.268946620417</c:v>
                </c:pt>
                <c:pt idx="2">
                  <c:v>817.875</c:v>
                </c:pt>
                <c:pt idx="3">
                  <c:v>1444.1237276033244</c:v>
                </c:pt>
                <c:pt idx="4">
                  <c:v>205791.41677979138</c:v>
                </c:pt>
                <c:pt idx="5">
                  <c:v>99197.27013929424</c:v>
                </c:pt>
                <c:pt idx="6">
                  <c:v>627.23939661622967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109000.6190398233</c:v>
                </c:pt>
                <c:pt idx="1">
                  <c:v>44898.268946620417</c:v>
                </c:pt>
                <c:pt idx="2">
                  <c:v>817.875</c:v>
                </c:pt>
                <c:pt idx="3">
                  <c:v>1444.1237276033244</c:v>
                </c:pt>
                <c:pt idx="4">
                  <c:v>205791.41677979138</c:v>
                </c:pt>
                <c:pt idx="5">
                  <c:v>99197.27013929424</c:v>
                </c:pt>
                <c:pt idx="6">
                  <c:v>627.23939661622967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22862.503291843106</c:v>
                </c:pt>
                <c:pt idx="2">
                  <c:v>8823.6938518367187</c:v>
                </c:pt>
                <c:pt idx="3">
                  <c:v>157.034910388485</c:v>
                </c:pt>
                <c:pt idx="4">
                  <c:v>358.51689748608203</c:v>
                </c:pt>
                <c:pt idx="5">
                  <c:v>41540.268268955362</c:v>
                </c:pt>
                <c:pt idx="6">
                  <c:v>25129.15308571179</c:v>
                </c:pt>
                <c:pt idx="7">
                  <c:v>160.3362210525805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22862.503291843106</c:v>
                </c:pt>
                <c:pt idx="2">
                  <c:v>8823.6938518367187</c:v>
                </c:pt>
                <c:pt idx="3">
                  <c:v>157.034910388485</c:v>
                </c:pt>
                <c:pt idx="4">
                  <c:v>358.51689748608203</c:v>
                </c:pt>
                <c:pt idx="5">
                  <c:v>41540.268268955362</c:v>
                </c:pt>
                <c:pt idx="6">
                  <c:v>25129.15308571179</c:v>
                </c:pt>
                <c:pt idx="7">
                  <c:v>160.3362210525805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43018</v>
      </c>
      <c r="B6" s="395"/>
      <c r="C6" s="396"/>
    </row>
    <row r="7" spans="1:7" s="393" customFormat="1" ht="15.75" customHeight="1">
      <c r="A7" s="397" t="str">
        <f>txtMunicipality</f>
        <v>ZELZATE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0.19200355847591014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0.19200355847591014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5427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438</v>
      </c>
      <c r="C14" s="332"/>
      <c r="D14" s="332"/>
      <c r="E14" s="332"/>
      <c r="F14" s="332"/>
    </row>
    <row r="15" spans="1:6">
      <c r="A15" s="1306" t="s">
        <v>183</v>
      </c>
      <c r="B15" s="1307">
        <v>3</v>
      </c>
      <c r="C15" s="332"/>
      <c r="D15" s="332"/>
      <c r="E15" s="332"/>
      <c r="F15" s="332"/>
    </row>
    <row r="16" spans="1:6">
      <c r="A16" s="1306" t="s">
        <v>6</v>
      </c>
      <c r="B16" s="1307">
        <v>167</v>
      </c>
      <c r="C16" s="332"/>
      <c r="D16" s="332"/>
      <c r="E16" s="332"/>
      <c r="F16" s="332"/>
    </row>
    <row r="17" spans="1:6">
      <c r="A17" s="1306" t="s">
        <v>7</v>
      </c>
      <c r="B17" s="1307">
        <v>21</v>
      </c>
      <c r="C17" s="332"/>
      <c r="D17" s="332"/>
      <c r="E17" s="332"/>
      <c r="F17" s="332"/>
    </row>
    <row r="18" spans="1:6">
      <c r="A18" s="1306" t="s">
        <v>8</v>
      </c>
      <c r="B18" s="1307">
        <v>110</v>
      </c>
      <c r="C18" s="332"/>
      <c r="D18" s="332"/>
      <c r="E18" s="332"/>
      <c r="F18" s="332"/>
    </row>
    <row r="19" spans="1:6">
      <c r="A19" s="1306" t="s">
        <v>9</v>
      </c>
      <c r="B19" s="1307">
        <v>87</v>
      </c>
      <c r="C19" s="332"/>
      <c r="D19" s="332"/>
      <c r="E19" s="332"/>
      <c r="F19" s="332"/>
    </row>
    <row r="20" spans="1:6">
      <c r="A20" s="1306" t="s">
        <v>10</v>
      </c>
      <c r="B20" s="1307">
        <v>104</v>
      </c>
      <c r="C20" s="332"/>
      <c r="D20" s="332"/>
      <c r="E20" s="332"/>
      <c r="F20" s="332"/>
    </row>
    <row r="21" spans="1:6">
      <c r="A21" s="1306" t="s">
        <v>11</v>
      </c>
      <c r="B21" s="1307">
        <v>563</v>
      </c>
      <c r="C21" s="332"/>
      <c r="D21" s="332"/>
      <c r="E21" s="332"/>
      <c r="F21" s="332"/>
    </row>
    <row r="22" spans="1:6">
      <c r="A22" s="1306" t="s">
        <v>12</v>
      </c>
      <c r="B22" s="1307">
        <v>1689</v>
      </c>
      <c r="C22" s="332"/>
      <c r="D22" s="332"/>
      <c r="E22" s="332"/>
      <c r="F22" s="332"/>
    </row>
    <row r="23" spans="1:6">
      <c r="A23" s="1306" t="s">
        <v>13</v>
      </c>
      <c r="B23" s="1307">
        <v>17</v>
      </c>
      <c r="C23" s="332"/>
      <c r="D23" s="332"/>
      <c r="E23" s="332"/>
      <c r="F23" s="332"/>
    </row>
    <row r="24" spans="1:6">
      <c r="A24" s="1306" t="s">
        <v>14</v>
      </c>
      <c r="B24" s="1307">
        <v>2</v>
      </c>
      <c r="C24" s="332"/>
      <c r="D24" s="332"/>
      <c r="E24" s="332"/>
      <c r="F24" s="332"/>
    </row>
    <row r="25" spans="1:6">
      <c r="A25" s="1306" t="s">
        <v>15</v>
      </c>
      <c r="B25" s="1307">
        <v>185</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21500</v>
      </c>
      <c r="C28" s="338"/>
      <c r="D28" s="338"/>
      <c r="E28" s="338"/>
      <c r="F28" s="338"/>
    </row>
    <row r="29" spans="1:6">
      <c r="A29" s="1308" t="s">
        <v>916</v>
      </c>
      <c r="B29" s="1309">
        <v>2</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1227102</v>
      </c>
    </row>
    <row r="36" spans="1:6">
      <c r="A36" s="1306" t="s">
        <v>24</v>
      </c>
      <c r="B36" s="1306" t="s">
        <v>26</v>
      </c>
      <c r="C36" s="1307">
        <v>0</v>
      </c>
      <c r="D36" s="1307">
        <v>0</v>
      </c>
      <c r="E36" s="1307">
        <v>3</v>
      </c>
      <c r="F36" s="1307">
        <v>150289</v>
      </c>
    </row>
    <row r="37" spans="1:6">
      <c r="A37" s="1306" t="s">
        <v>24</v>
      </c>
      <c r="B37" s="1306" t="s">
        <v>27</v>
      </c>
      <c r="C37" s="1307">
        <v>0</v>
      </c>
      <c r="D37" s="1307">
        <v>0</v>
      </c>
      <c r="E37" s="1307">
        <v>3</v>
      </c>
      <c r="F37" s="1307">
        <v>167042</v>
      </c>
    </row>
    <row r="38" spans="1:6">
      <c r="A38" s="1306" t="s">
        <v>24</v>
      </c>
      <c r="B38" s="1306" t="s">
        <v>28</v>
      </c>
      <c r="C38" s="1307">
        <v>2</v>
      </c>
      <c r="D38" s="1307">
        <v>119117</v>
      </c>
      <c r="E38" s="1307">
        <v>0</v>
      </c>
      <c r="F38" s="1307">
        <v>0</v>
      </c>
    </row>
    <row r="39" spans="1:6">
      <c r="A39" s="1306" t="s">
        <v>29</v>
      </c>
      <c r="B39" s="1306" t="s">
        <v>30</v>
      </c>
      <c r="C39" s="1307">
        <v>3430</v>
      </c>
      <c r="D39" s="1307">
        <v>59789150</v>
      </c>
      <c r="E39" s="1307">
        <v>5489</v>
      </c>
      <c r="F39" s="1307">
        <v>20984135</v>
      </c>
    </row>
    <row r="40" spans="1:6">
      <c r="A40" s="1306" t="s">
        <v>29</v>
      </c>
      <c r="B40" s="1306" t="s">
        <v>28</v>
      </c>
      <c r="C40" s="1307">
        <v>0</v>
      </c>
      <c r="D40" s="1307">
        <v>0</v>
      </c>
      <c r="E40" s="1307">
        <v>0</v>
      </c>
      <c r="F40" s="1307">
        <v>0</v>
      </c>
    </row>
    <row r="41" spans="1:6">
      <c r="A41" s="1306" t="s">
        <v>31</v>
      </c>
      <c r="B41" s="1306" t="s">
        <v>32</v>
      </c>
      <c r="C41" s="1307">
        <v>27</v>
      </c>
      <c r="D41" s="1307">
        <v>677363</v>
      </c>
      <c r="E41" s="1307">
        <v>61</v>
      </c>
      <c r="F41" s="1307">
        <v>702930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10</v>
      </c>
      <c r="D44" s="1307">
        <v>190557</v>
      </c>
      <c r="E44" s="1307">
        <v>17</v>
      </c>
      <c r="F44" s="1307">
        <v>209922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6</v>
      </c>
      <c r="F47" s="1307">
        <v>99201</v>
      </c>
    </row>
    <row r="48" spans="1:6">
      <c r="A48" s="1306" t="s">
        <v>31</v>
      </c>
      <c r="B48" s="1306" t="s">
        <v>28</v>
      </c>
      <c r="C48" s="1307">
        <v>2</v>
      </c>
      <c r="D48" s="1307">
        <v>180627211</v>
      </c>
      <c r="E48" s="1307">
        <v>7</v>
      </c>
      <c r="F48" s="1307">
        <v>27956910</v>
      </c>
    </row>
    <row r="49" spans="1:6">
      <c r="A49" s="1306" t="s">
        <v>31</v>
      </c>
      <c r="B49" s="1306" t="s">
        <v>39</v>
      </c>
      <c r="C49" s="1307">
        <v>0</v>
      </c>
      <c r="D49" s="1307">
        <v>0</v>
      </c>
      <c r="E49" s="1307">
        <v>0</v>
      </c>
      <c r="F49" s="1307">
        <v>0</v>
      </c>
    </row>
    <row r="50" spans="1:6">
      <c r="A50" s="1306" t="s">
        <v>31</v>
      </c>
      <c r="B50" s="1306" t="s">
        <v>40</v>
      </c>
      <c r="C50" s="1307">
        <v>9</v>
      </c>
      <c r="D50" s="1307">
        <v>692332</v>
      </c>
      <c r="E50" s="1307">
        <v>18</v>
      </c>
      <c r="F50" s="1307">
        <v>759912</v>
      </c>
    </row>
    <row r="51" spans="1:6">
      <c r="A51" s="1306" t="s">
        <v>41</v>
      </c>
      <c r="B51" s="1306" t="s">
        <v>42</v>
      </c>
      <c r="C51" s="1307">
        <v>5</v>
      </c>
      <c r="D51" s="1307">
        <v>162092</v>
      </c>
      <c r="E51" s="1307">
        <v>31</v>
      </c>
      <c r="F51" s="1307">
        <v>281346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1</v>
      </c>
      <c r="F55" s="1307">
        <v>817875</v>
      </c>
    </row>
    <row r="56" spans="1:6">
      <c r="A56" s="1306" t="s">
        <v>47</v>
      </c>
      <c r="B56" s="1306" t="s">
        <v>28</v>
      </c>
      <c r="C56" s="1307">
        <v>82</v>
      </c>
      <c r="D56" s="1307">
        <v>4187078</v>
      </c>
      <c r="E56" s="1307">
        <v>94</v>
      </c>
      <c r="F56" s="1307">
        <v>416256</v>
      </c>
    </row>
    <row r="57" spans="1:6">
      <c r="A57" s="1306" t="s">
        <v>48</v>
      </c>
      <c r="B57" s="1306" t="s">
        <v>49</v>
      </c>
      <c r="C57" s="1307">
        <v>22</v>
      </c>
      <c r="D57" s="1307">
        <v>2387580</v>
      </c>
      <c r="E57" s="1307">
        <v>76</v>
      </c>
      <c r="F57" s="1307">
        <v>1991268</v>
      </c>
    </row>
    <row r="58" spans="1:6">
      <c r="A58" s="1306" t="s">
        <v>48</v>
      </c>
      <c r="B58" s="1306" t="s">
        <v>50</v>
      </c>
      <c r="C58" s="1307">
        <v>35</v>
      </c>
      <c r="D58" s="1307">
        <v>10890285</v>
      </c>
      <c r="E58" s="1307">
        <v>53</v>
      </c>
      <c r="F58" s="1307">
        <v>2864926</v>
      </c>
    </row>
    <row r="59" spans="1:6">
      <c r="A59" s="1306" t="s">
        <v>48</v>
      </c>
      <c r="B59" s="1306" t="s">
        <v>51</v>
      </c>
      <c r="C59" s="1307">
        <v>78</v>
      </c>
      <c r="D59" s="1307">
        <v>3938968</v>
      </c>
      <c r="E59" s="1307">
        <v>176</v>
      </c>
      <c r="F59" s="1307">
        <v>4326106</v>
      </c>
    </row>
    <row r="60" spans="1:6">
      <c r="A60" s="1306" t="s">
        <v>48</v>
      </c>
      <c r="B60" s="1306" t="s">
        <v>52</v>
      </c>
      <c r="C60" s="1307">
        <v>34</v>
      </c>
      <c r="D60" s="1307">
        <v>1113063</v>
      </c>
      <c r="E60" s="1307">
        <v>57</v>
      </c>
      <c r="F60" s="1307">
        <v>1186193</v>
      </c>
    </row>
    <row r="61" spans="1:6">
      <c r="A61" s="1306" t="s">
        <v>48</v>
      </c>
      <c r="B61" s="1306" t="s">
        <v>53</v>
      </c>
      <c r="C61" s="1307">
        <v>94</v>
      </c>
      <c r="D61" s="1307">
        <v>7139159</v>
      </c>
      <c r="E61" s="1307">
        <v>343</v>
      </c>
      <c r="F61" s="1307">
        <v>6392805</v>
      </c>
    </row>
    <row r="62" spans="1:6">
      <c r="A62" s="1306" t="s">
        <v>48</v>
      </c>
      <c r="B62" s="1306" t="s">
        <v>54</v>
      </c>
      <c r="C62" s="1307">
        <v>0</v>
      </c>
      <c r="D62" s="1307">
        <v>0</v>
      </c>
      <c r="E62" s="1307">
        <v>5</v>
      </c>
      <c r="F62" s="1307">
        <v>298561</v>
      </c>
    </row>
    <row r="63" spans="1:6">
      <c r="A63" s="1306" t="s">
        <v>48</v>
      </c>
      <c r="B63" s="1306" t="s">
        <v>28</v>
      </c>
      <c r="C63" s="1307">
        <v>1</v>
      </c>
      <c r="D63" s="1307">
        <v>33210</v>
      </c>
      <c r="E63" s="1307">
        <v>0</v>
      </c>
      <c r="F63" s="1307">
        <v>0</v>
      </c>
    </row>
    <row r="64" spans="1:6">
      <c r="A64" s="1306" t="s">
        <v>55</v>
      </c>
      <c r="B64" s="1306" t="s">
        <v>56</v>
      </c>
      <c r="C64" s="1307">
        <v>0</v>
      </c>
      <c r="D64" s="1307">
        <v>0</v>
      </c>
      <c r="E64" s="1307">
        <v>0</v>
      </c>
      <c r="F64" s="1307">
        <v>0</v>
      </c>
    </row>
    <row r="65" spans="1:6">
      <c r="A65" s="1306" t="s">
        <v>55</v>
      </c>
      <c r="B65" s="1306" t="s">
        <v>28</v>
      </c>
      <c r="C65" s="1307">
        <v>3</v>
      </c>
      <c r="D65" s="1307">
        <v>64504</v>
      </c>
      <c r="E65" s="1307">
        <v>3</v>
      </c>
      <c r="F65" s="1307">
        <v>48181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57904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41511835</v>
      </c>
      <c r="E73" s="456"/>
      <c r="F73" s="332"/>
    </row>
    <row r="74" spans="1:6">
      <c r="A74" s="1306" t="s">
        <v>63</v>
      </c>
      <c r="B74" s="1306" t="s">
        <v>724</v>
      </c>
      <c r="C74" s="1320" t="s">
        <v>725</v>
      </c>
      <c r="D74" s="1321">
        <v>6917043.0982389869</v>
      </c>
      <c r="E74" s="456"/>
      <c r="F74" s="332"/>
    </row>
    <row r="75" spans="1:6">
      <c r="A75" s="1306" t="s">
        <v>64</v>
      </c>
      <c r="B75" s="1306" t="s">
        <v>722</v>
      </c>
      <c r="C75" s="1320" t="s">
        <v>726</v>
      </c>
      <c r="D75" s="1321">
        <v>7781285</v>
      </c>
      <c r="E75" s="456"/>
      <c r="F75" s="332"/>
    </row>
    <row r="76" spans="1:6">
      <c r="A76" s="1306" t="s">
        <v>64</v>
      </c>
      <c r="B76" s="1306" t="s">
        <v>724</v>
      </c>
      <c r="C76" s="1320" t="s">
        <v>727</v>
      </c>
      <c r="D76" s="1321">
        <v>63156.098238987222</v>
      </c>
      <c r="E76" s="456"/>
      <c r="F76" s="332"/>
    </row>
    <row r="77" spans="1:6">
      <c r="A77" s="1306" t="s">
        <v>65</v>
      </c>
      <c r="B77" s="1306" t="s">
        <v>722</v>
      </c>
      <c r="C77" s="1320" t="s">
        <v>728</v>
      </c>
      <c r="D77" s="1321">
        <v>40034181</v>
      </c>
      <c r="E77" s="456"/>
      <c r="F77" s="332"/>
    </row>
    <row r="78" spans="1:6">
      <c r="A78" s="1301" t="s">
        <v>65</v>
      </c>
      <c r="B78" s="1301" t="s">
        <v>724</v>
      </c>
      <c r="C78" s="1301" t="s">
        <v>729</v>
      </c>
      <c r="D78" s="1322">
        <v>7758617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165971.80352202556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1390.295486080835</v>
      </c>
      <c r="C91" s="332"/>
      <c r="D91" s="332"/>
      <c r="E91" s="332"/>
      <c r="F91" s="332"/>
    </row>
    <row r="92" spans="1:6">
      <c r="A92" s="1301" t="s">
        <v>68</v>
      </c>
      <c r="B92" s="1302">
        <v>7883.6452933900619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1564</v>
      </c>
      <c r="C97" s="332"/>
      <c r="D97" s="332"/>
      <c r="E97" s="332"/>
      <c r="F97" s="332"/>
    </row>
    <row r="98" spans="1:6">
      <c r="A98" s="1306" t="s">
        <v>71</v>
      </c>
      <c r="B98" s="1307">
        <v>1</v>
      </c>
      <c r="C98" s="332"/>
      <c r="D98" s="332"/>
      <c r="E98" s="332"/>
      <c r="F98" s="332"/>
    </row>
    <row r="99" spans="1:6">
      <c r="A99" s="1306" t="s">
        <v>72</v>
      </c>
      <c r="B99" s="1307">
        <v>32</v>
      </c>
      <c r="C99" s="332"/>
      <c r="D99" s="332"/>
      <c r="E99" s="332"/>
      <c r="F99" s="332"/>
    </row>
    <row r="100" spans="1:6">
      <c r="A100" s="1306" t="s">
        <v>73</v>
      </c>
      <c r="B100" s="1307">
        <v>384</v>
      </c>
      <c r="C100" s="332"/>
      <c r="D100" s="332"/>
      <c r="E100" s="332"/>
      <c r="F100" s="332"/>
    </row>
    <row r="101" spans="1:6">
      <c r="A101" s="1306" t="s">
        <v>74</v>
      </c>
      <c r="B101" s="1307">
        <v>26</v>
      </c>
      <c r="C101" s="332"/>
      <c r="D101" s="332"/>
      <c r="E101" s="332"/>
      <c r="F101" s="332"/>
    </row>
    <row r="102" spans="1:6">
      <c r="A102" s="1306" t="s">
        <v>75</v>
      </c>
      <c r="B102" s="1307">
        <v>104</v>
      </c>
      <c r="C102" s="332"/>
      <c r="D102" s="332"/>
      <c r="E102" s="332"/>
      <c r="F102" s="332"/>
    </row>
    <row r="103" spans="1:6">
      <c r="A103" s="1306" t="s">
        <v>76</v>
      </c>
      <c r="B103" s="1307">
        <v>207</v>
      </c>
      <c r="C103" s="332"/>
      <c r="D103" s="332"/>
      <c r="E103" s="332"/>
      <c r="F103" s="332"/>
    </row>
    <row r="104" spans="1:6">
      <c r="A104" s="1306" t="s">
        <v>77</v>
      </c>
      <c r="B104" s="1307">
        <v>2809</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0</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38</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70682.497732017771</v>
      </c>
      <c r="C3" s="43" t="s">
        <v>169</v>
      </c>
      <c r="D3" s="43"/>
      <c r="E3" s="156"/>
      <c r="F3" s="43"/>
      <c r="G3" s="43"/>
      <c r="H3" s="43"/>
      <c r="I3" s="43"/>
      <c r="J3" s="43"/>
      <c r="K3" s="96"/>
    </row>
    <row r="4" spans="1:11">
      <c r="A4" s="363" t="s">
        <v>170</v>
      </c>
      <c r="B4" s="49">
        <f>IF(ISERROR('SEAP template'!B78+'SEAP template'!C78),0,'SEAP template'!B78+'SEAP template'!C78)</f>
        <v>9273.9407794708968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0.19200355847591014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817.875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817.875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0.19200355847591014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157.034910388485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20984.134999999998</v>
      </c>
      <c r="C5" s="17">
        <f>IF(ISERROR('Eigen informatie GS &amp; warmtenet'!B57),0,'Eigen informatie GS &amp; warmtenet'!B57)</f>
        <v>0</v>
      </c>
      <c r="D5" s="30">
        <f>(SUM(HH_hh_gas_kWh,HH_rest_gas_kWh)/1000)*0.902</f>
        <v>53929.813300000002</v>
      </c>
      <c r="E5" s="17">
        <f>B46*B57</f>
        <v>1404.5159568407319</v>
      </c>
      <c r="F5" s="17">
        <f>B51*B62</f>
        <v>26584.600365103019</v>
      </c>
      <c r="G5" s="18"/>
      <c r="H5" s="17"/>
      <c r="I5" s="17"/>
      <c r="J5" s="17">
        <f>B50*B61+C50*C61</f>
        <v>722.59128067328709</v>
      </c>
      <c r="K5" s="17"/>
      <c r="L5" s="17"/>
      <c r="M5" s="17"/>
      <c r="N5" s="17">
        <f>B48*B59+C48*C59</f>
        <v>3906.1943177921153</v>
      </c>
      <c r="O5" s="17">
        <f>B69*B70*B71</f>
        <v>59.406666666666666</v>
      </c>
      <c r="P5" s="17">
        <f>B77*B78*B79/1000-B77*B78*B79/1000/B80</f>
        <v>19.066666666666666</v>
      </c>
    </row>
    <row r="6" spans="1:16">
      <c r="A6" s="16" t="s">
        <v>633</v>
      </c>
      <c r="B6" s="779">
        <f>kWh_PV_kleiner_dan_10kW</f>
        <v>1390.295486080835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22374.430486080833</v>
      </c>
      <c r="C8" s="21">
        <f>C5</f>
        <v>0</v>
      </c>
      <c r="D8" s="21">
        <f>D5</f>
        <v>53929.813300000002</v>
      </c>
      <c r="E8" s="21">
        <f>E5</f>
        <v>1404.5159568407319</v>
      </c>
      <c r="F8" s="21">
        <f>F5</f>
        <v>26584.600365103019</v>
      </c>
      <c r="G8" s="21"/>
      <c r="H8" s="21"/>
      <c r="I8" s="21"/>
      <c r="J8" s="21">
        <f>J5</f>
        <v>722.59128067328709</v>
      </c>
      <c r="K8" s="21"/>
      <c r="L8" s="21">
        <f>L5</f>
        <v>0</v>
      </c>
      <c r="M8" s="21">
        <f>M5</f>
        <v>0</v>
      </c>
      <c r="N8" s="21">
        <f>N5</f>
        <v>3906.1943177921153</v>
      </c>
      <c r="O8" s="21">
        <f>O5</f>
        <v>59.406666666666666</v>
      </c>
      <c r="P8" s="21">
        <f>P5</f>
        <v>19.066666666666666</v>
      </c>
    </row>
    <row r="9" spans="1:16">
      <c r="B9" s="19"/>
      <c r="C9" s="19"/>
      <c r="D9" s="261"/>
      <c r="E9" s="19"/>
      <c r="F9" s="19"/>
      <c r="G9" s="19"/>
      <c r="H9" s="19"/>
      <c r="I9" s="19"/>
      <c r="J9" s="19"/>
      <c r="K9" s="19"/>
      <c r="L9" s="19"/>
      <c r="M9" s="19"/>
      <c r="N9" s="19"/>
      <c r="O9" s="19"/>
      <c r="P9" s="19"/>
    </row>
    <row r="10" spans="1:16">
      <c r="A10" s="24" t="s">
        <v>213</v>
      </c>
      <c r="B10" s="25">
        <f ca="1">'EF ele_warmte'!B12</f>
        <v>0.19200355847591014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4295.9702721994081</v>
      </c>
      <c r="C12" s="23">
        <f ca="1">C10*C8</f>
        <v>0</v>
      </c>
      <c r="D12" s="23">
        <f>D8*D10</f>
        <v>10893.822286600001</v>
      </c>
      <c r="E12" s="23">
        <f>E10*E8</f>
        <v>318.82512220284616</v>
      </c>
      <c r="F12" s="23">
        <f>F10*F8</f>
        <v>7098.0882974825063</v>
      </c>
      <c r="G12" s="23"/>
      <c r="H12" s="23"/>
      <c r="I12" s="23"/>
      <c r="J12" s="23">
        <f>J10*J8</f>
        <v>255.79731335834362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1564</v>
      </c>
      <c r="C18" s="168" t="s">
        <v>110</v>
      </c>
      <c r="D18" s="230"/>
      <c r="E18" s="15"/>
    </row>
    <row r="19" spans="1:7">
      <c r="A19" s="173" t="s">
        <v>71</v>
      </c>
      <c r="B19" s="37">
        <f>aantalw2001_ander</f>
        <v>1</v>
      </c>
      <c r="C19" s="168" t="s">
        <v>110</v>
      </c>
      <c r="D19" s="231"/>
      <c r="E19" s="15"/>
    </row>
    <row r="20" spans="1:7">
      <c r="A20" s="173" t="s">
        <v>72</v>
      </c>
      <c r="B20" s="37">
        <f>aantalw2001_propaan</f>
        <v>32</v>
      </c>
      <c r="C20" s="169">
        <f>IF(ISERROR(B20/SUM($B$20,$B$21,$B$22)*100),0,B20/SUM($B$20,$B$21,$B$22)*100)</f>
        <v>7.2398190045248878</v>
      </c>
      <c r="D20" s="231"/>
      <c r="E20" s="15"/>
    </row>
    <row r="21" spans="1:7">
      <c r="A21" s="173" t="s">
        <v>73</v>
      </c>
      <c r="B21" s="37">
        <f>aantalw2001_elektriciteit</f>
        <v>384</v>
      </c>
      <c r="C21" s="169">
        <f>IF(ISERROR(B21/SUM($B$20,$B$21,$B$22)*100),0,B21/SUM($B$20,$B$21,$B$22)*100)</f>
        <v>86.877828054298647</v>
      </c>
      <c r="D21" s="231"/>
      <c r="E21" s="15"/>
    </row>
    <row r="22" spans="1:7">
      <c r="A22" s="173" t="s">
        <v>74</v>
      </c>
      <c r="B22" s="37">
        <f>aantalw2001_hout</f>
        <v>26</v>
      </c>
      <c r="C22" s="169">
        <f>IF(ISERROR(B22/SUM($B$20,$B$21,$B$22)*100),0,B22/SUM($B$20,$B$21,$B$22)*100)</f>
        <v>5.8823529411764701</v>
      </c>
      <c r="D22" s="231"/>
      <c r="E22" s="15"/>
    </row>
    <row r="23" spans="1:7">
      <c r="A23" s="173" t="s">
        <v>75</v>
      </c>
      <c r="B23" s="37">
        <f>aantalw2001_niet_gespec</f>
        <v>104</v>
      </c>
      <c r="C23" s="168" t="s">
        <v>110</v>
      </c>
      <c r="D23" s="230"/>
      <c r="E23" s="15"/>
    </row>
    <row r="24" spans="1:7">
      <c r="A24" s="173" t="s">
        <v>76</v>
      </c>
      <c r="B24" s="37">
        <f>aantalw2001_steenkool</f>
        <v>207</v>
      </c>
      <c r="C24" s="168" t="s">
        <v>110</v>
      </c>
      <c r="D24" s="231"/>
      <c r="E24" s="15"/>
    </row>
    <row r="25" spans="1:7">
      <c r="A25" s="173" t="s">
        <v>77</v>
      </c>
      <c r="B25" s="37">
        <f>aantalw2001_stookolie</f>
        <v>2809</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5427</v>
      </c>
      <c r="C28" s="36"/>
      <c r="D28" s="230"/>
    </row>
    <row r="29" spans="1:7" s="15" customFormat="1">
      <c r="A29" s="232" t="s">
        <v>743</v>
      </c>
      <c r="B29" s="37">
        <f>SUM(HH_hh_gas_aantal,HH_rest_gas_aantal)</f>
        <v>3430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3430</v>
      </c>
      <c r="C32" s="169">
        <f>IF(ISERROR(B32/SUM($B$32,$B$34,$B$35,$B$36,$B$38,$B$39)*100),0,B32/SUM($B$32,$B$34,$B$35,$B$36,$B$38,$B$39)*100)</f>
        <v>63.214154072981941</v>
      </c>
      <c r="D32" s="235"/>
      <c r="G32" s="15"/>
    </row>
    <row r="33" spans="1:7">
      <c r="A33" s="173" t="s">
        <v>71</v>
      </c>
      <c r="B33" s="34" t="s">
        <v>110</v>
      </c>
      <c r="C33" s="169"/>
      <c r="D33" s="235"/>
      <c r="G33" s="15"/>
    </row>
    <row r="34" spans="1:7">
      <c r="A34" s="173" t="s">
        <v>72</v>
      </c>
      <c r="B34" s="33">
        <f>IF((($B$28-$B$32-$B$39-$B$77-$B$38)*C20/100)&lt;0,0,($B$28-$B$32-$B$39-$B$77-$B$38)*C20/100)</f>
        <v>61.24886877828056</v>
      </c>
      <c r="C34" s="169">
        <f>IF(ISERROR(B34/SUM($B$32,$B$34,$B$35,$B$36,$B$38,$B$39)*100),0,B34/SUM($B$32,$B$34,$B$35,$B$36,$B$38,$B$39)*100)</f>
        <v>1.1288033317043966</v>
      </c>
      <c r="D34" s="235"/>
      <c r="G34" s="15"/>
    </row>
    <row r="35" spans="1:7">
      <c r="A35" s="173" t="s">
        <v>73</v>
      </c>
      <c r="B35" s="33">
        <f>IF((($B$28-$B$32-$B$39-$B$77-$B$38)*C21/100)&lt;0,0,($B$28-$B$32-$B$39-$B$77-$B$38)*C21/100)</f>
        <v>734.98642533936663</v>
      </c>
      <c r="C35" s="169">
        <f>IF(ISERROR(B35/SUM($B$32,$B$34,$B$35,$B$36,$B$38,$B$39)*100),0,B35/SUM($B$32,$B$34,$B$35,$B$36,$B$38,$B$39)*100)</f>
        <v>13.545639980452759</v>
      </c>
      <c r="D35" s="235"/>
      <c r="G35" s="15"/>
    </row>
    <row r="36" spans="1:7">
      <c r="A36" s="173" t="s">
        <v>74</v>
      </c>
      <c r="B36" s="33">
        <f>IF((($B$28-$B$32-$B$39-$B$77-$B$38)*C22/100)&lt;0,0,($B$28-$B$32-$B$39-$B$77-$B$38)*C22/100)</f>
        <v>49.764705882352949</v>
      </c>
      <c r="C36" s="169">
        <f>IF(ISERROR(B36/SUM($B$32,$B$34,$B$35,$B$36,$B$38,$B$39)*100),0,B36/SUM($B$32,$B$34,$B$35,$B$36,$B$38,$B$39)*100)</f>
        <v>0.9171527070098221</v>
      </c>
      <c r="D36" s="235"/>
      <c r="G36" s="15"/>
    </row>
    <row r="37" spans="1:7">
      <c r="A37" s="173" t="s">
        <v>75</v>
      </c>
      <c r="B37" s="34" t="s">
        <v>110</v>
      </c>
      <c r="C37" s="169"/>
      <c r="D37" s="175"/>
      <c r="G37" s="15"/>
    </row>
    <row r="38" spans="1:7">
      <c r="A38" s="173" t="s">
        <v>76</v>
      </c>
      <c r="B38" s="33">
        <f>IF((B24-(B29-B18)*0.1)&lt;0,0,B24-(B29-B18)*0.1)</f>
        <v>20.399999999999977</v>
      </c>
      <c r="C38" s="169">
        <f>IF(ISERROR(B38/SUM($B$32,$B$34,$B$35,$B$36,$B$38,$B$39)*100),0,B38/SUM($B$32,$B$34,$B$35,$B$36,$B$38,$B$39)*100)</f>
        <v>0.3759675635827493</v>
      </c>
      <c r="D38" s="236"/>
      <c r="G38" s="15"/>
    </row>
    <row r="39" spans="1:7">
      <c r="A39" s="173" t="s">
        <v>77</v>
      </c>
      <c r="B39" s="33">
        <f>IF((B25-(B29-B18))&lt;0,0,B25-(B29-B18)*0.9)</f>
        <v>1129.5999999999999</v>
      </c>
      <c r="C39" s="169">
        <f>IF(ISERROR(B39/SUM($B$32,$B$34,$B$35,$B$36,$B$38,$B$39)*100),0,B39/SUM($B$32,$B$34,$B$35,$B$36,$B$38,$B$39)*100)</f>
        <v>20.818282344268336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3430</v>
      </c>
      <c r="C44" s="34" t="s">
        <v>110</v>
      </c>
      <c r="D44" s="176"/>
    </row>
    <row r="45" spans="1:7">
      <c r="A45" s="173" t="s">
        <v>71</v>
      </c>
      <c r="B45" s="33" t="str">
        <f t="shared" si="0"/>
        <v>-</v>
      </c>
      <c r="C45" s="34" t="s">
        <v>110</v>
      </c>
      <c r="D45" s="176"/>
    </row>
    <row r="46" spans="1:7">
      <c r="A46" s="173" t="s">
        <v>72</v>
      </c>
      <c r="B46" s="33">
        <f t="shared" si="0"/>
        <v>61.24886877828056</v>
      </c>
      <c r="C46" s="34" t="s">
        <v>110</v>
      </c>
      <c r="D46" s="176"/>
    </row>
    <row r="47" spans="1:7">
      <c r="A47" s="173" t="s">
        <v>73</v>
      </c>
      <c r="B47" s="33">
        <f t="shared" si="0"/>
        <v>734.98642533936663</v>
      </c>
      <c r="C47" s="34" t="s">
        <v>110</v>
      </c>
      <c r="D47" s="176"/>
    </row>
    <row r="48" spans="1:7">
      <c r="A48" s="173" t="s">
        <v>74</v>
      </c>
      <c r="B48" s="33">
        <f t="shared" si="0"/>
        <v>49.764705882352949</v>
      </c>
      <c r="C48" s="33">
        <f>B48*10</f>
        <v>497.64705882352951</v>
      </c>
      <c r="D48" s="236"/>
    </row>
    <row r="49" spans="1:6">
      <c r="A49" s="173" t="s">
        <v>75</v>
      </c>
      <c r="B49" s="33" t="str">
        <f t="shared" si="0"/>
        <v>-</v>
      </c>
      <c r="C49" s="34" t="s">
        <v>110</v>
      </c>
      <c r="D49" s="236"/>
    </row>
    <row r="50" spans="1:6">
      <c r="A50" s="173" t="s">
        <v>76</v>
      </c>
      <c r="B50" s="33">
        <f t="shared" si="0"/>
        <v>20.399999999999977</v>
      </c>
      <c r="C50" s="33">
        <f>B50*2</f>
        <v>40.799999999999955</v>
      </c>
      <c r="D50" s="236"/>
    </row>
    <row r="51" spans="1:6">
      <c r="A51" s="173" t="s">
        <v>77</v>
      </c>
      <c r="B51" s="33">
        <f t="shared" si="0"/>
        <v>1129.5999999999999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17059.859</v>
      </c>
      <c r="C5" s="17">
        <f>IF(ISERROR('Eigen informatie GS &amp; warmtenet'!B58),0,'Eigen informatie GS &amp; warmtenet'!B58)</f>
        <v>0</v>
      </c>
      <c r="D5" s="30">
        <f>SUM(D6:D12)</f>
        <v>23003.043030000001</v>
      </c>
      <c r="E5" s="17">
        <f>SUM(E6:E12)</f>
        <v>166.50481092188642</v>
      </c>
      <c r="F5" s="17">
        <f>SUM(F6:F12)</f>
        <v>3234.9398224725419</v>
      </c>
      <c r="G5" s="18"/>
      <c r="H5" s="17"/>
      <c r="I5" s="17"/>
      <c r="J5" s="17">
        <f>SUM(J6:J12)</f>
        <v>0</v>
      </c>
      <c r="K5" s="17"/>
      <c r="L5" s="17"/>
      <c r="M5" s="17"/>
      <c r="N5" s="17">
        <f>SUM(N6:N12)</f>
        <v>1432.3589498926567</v>
      </c>
      <c r="O5" s="17">
        <f>B38*B39*B40</f>
        <v>1.5633333333333335</v>
      </c>
      <c r="P5" s="17">
        <f>B46*B47*B48/1000-B46*B47*B48/1000/B49</f>
        <v>0</v>
      </c>
      <c r="R5" s="32"/>
    </row>
    <row r="6" spans="1:18">
      <c r="A6" s="32" t="s">
        <v>53</v>
      </c>
      <c r="B6" s="37">
        <f>B26</f>
        <v>6392.8050000000003</v>
      </c>
      <c r="C6" s="33"/>
      <c r="D6" s="37">
        <f>IF(ISERROR(TER_kantoor_gas_kWh/1000),0,TER_kantoor_gas_kWh/1000)*0.902</f>
        <v>6439.5214180000003</v>
      </c>
      <c r="E6" s="33">
        <f>$C$26*'E Balans VL '!I12/100/3.6*1000000</f>
        <v>24.837400860676219</v>
      </c>
      <c r="F6" s="33">
        <f>$C$26*('E Balans VL '!L12+'E Balans VL '!N12)/100/3.6*1000000</f>
        <v>972.28747061220599</v>
      </c>
      <c r="G6" s="34"/>
      <c r="H6" s="33"/>
      <c r="I6" s="33"/>
      <c r="J6" s="33">
        <f>$C$26*('E Balans VL '!D12+'E Balans VL '!E12)/100/3.6*1000000</f>
        <v>0</v>
      </c>
      <c r="K6" s="33"/>
      <c r="L6" s="33"/>
      <c r="M6" s="33"/>
      <c r="N6" s="33">
        <f>$C$26*'E Balans VL '!Y12/100/3.6*1000000</f>
        <v>3.5232013941787224</v>
      </c>
      <c r="O6" s="33"/>
      <c r="P6" s="33"/>
      <c r="R6" s="32"/>
    </row>
    <row r="7" spans="1:18">
      <c r="A7" s="32" t="s">
        <v>52</v>
      </c>
      <c r="B7" s="37">
        <f t="shared" ref="B7:B12" si="0">B27</f>
        <v>1186.193</v>
      </c>
      <c r="C7" s="33"/>
      <c r="D7" s="37">
        <f>IF(ISERROR(TER_horeca_gas_kWh/1000),0,TER_horeca_gas_kWh/1000)*0.902</f>
        <v>1003.9828260000002</v>
      </c>
      <c r="E7" s="33">
        <f>$C$27*'E Balans VL '!I9/100/3.6*1000000</f>
        <v>66.818568825464382</v>
      </c>
      <c r="F7" s="33">
        <f>$C$27*('E Balans VL '!L9+'E Balans VL '!N9)/100/3.6*1000000</f>
        <v>342.02704527480881</v>
      </c>
      <c r="G7" s="34"/>
      <c r="H7" s="33"/>
      <c r="I7" s="33"/>
      <c r="J7" s="33">
        <f>$C$27*('E Balans VL '!D9+'E Balans VL '!E9)/100/3.6*1000000</f>
        <v>0</v>
      </c>
      <c r="K7" s="33"/>
      <c r="L7" s="33"/>
      <c r="M7" s="33"/>
      <c r="N7" s="33">
        <f>$C$27*'E Balans VL '!Y9/100/3.6*1000000</f>
        <v>0.3275017232612164</v>
      </c>
      <c r="O7" s="33"/>
      <c r="P7" s="33"/>
      <c r="R7" s="32"/>
    </row>
    <row r="8" spans="1:18">
      <c r="A8" s="6" t="s">
        <v>51</v>
      </c>
      <c r="B8" s="37">
        <f t="shared" si="0"/>
        <v>4326.1059999999998</v>
      </c>
      <c r="C8" s="33"/>
      <c r="D8" s="37">
        <f>IF(ISERROR(TER_handel_gas_kWh/1000),0,TER_handel_gas_kWh/1000)*0.902</f>
        <v>3552.9491360000002</v>
      </c>
      <c r="E8" s="33">
        <f>$C$28*'E Balans VL '!I13/100/3.6*1000000</f>
        <v>62.35386447765174</v>
      </c>
      <c r="F8" s="33">
        <f>$C$28*('E Balans VL '!L13+'E Balans VL '!N13)/100/3.6*1000000</f>
        <v>751.54536041036624</v>
      </c>
      <c r="G8" s="34"/>
      <c r="H8" s="33"/>
      <c r="I8" s="33"/>
      <c r="J8" s="33">
        <f>$C$28*('E Balans VL '!D13+'E Balans VL '!E13)/100/3.6*1000000</f>
        <v>0</v>
      </c>
      <c r="K8" s="33"/>
      <c r="L8" s="33"/>
      <c r="M8" s="33"/>
      <c r="N8" s="33">
        <f>$C$28*'E Balans VL '!Y13/100/3.6*1000000</f>
        <v>12.961495168040789</v>
      </c>
      <c r="O8" s="33"/>
      <c r="P8" s="33"/>
      <c r="R8" s="32"/>
    </row>
    <row r="9" spans="1:18">
      <c r="A9" s="32" t="s">
        <v>50</v>
      </c>
      <c r="B9" s="37">
        <f t="shared" si="0"/>
        <v>2864.9259999999999</v>
      </c>
      <c r="C9" s="33"/>
      <c r="D9" s="37">
        <f>IF(ISERROR(TER_gezond_gas_kWh/1000),0,TER_gezond_gas_kWh/1000)*0.902</f>
        <v>9823.0370700000003</v>
      </c>
      <c r="E9" s="33">
        <f>$C$29*'E Balans VL '!I10/100/3.6*1000000</f>
        <v>3.060483529549491</v>
      </c>
      <c r="F9" s="33">
        <f>$C$29*('E Balans VL '!L10+'E Balans VL '!N10)/100/3.6*1000000</f>
        <v>467.35649896840141</v>
      </c>
      <c r="G9" s="34"/>
      <c r="H9" s="33"/>
      <c r="I9" s="33"/>
      <c r="J9" s="33">
        <f>$C$29*('E Balans VL '!D10+'E Balans VL '!E10)/100/3.6*1000000</f>
        <v>0</v>
      </c>
      <c r="K9" s="33"/>
      <c r="L9" s="33"/>
      <c r="M9" s="33"/>
      <c r="N9" s="33">
        <f>$C$29*'E Balans VL '!Y10/100/3.6*1000000</f>
        <v>29.492778475837053</v>
      </c>
      <c r="O9" s="33"/>
      <c r="P9" s="33"/>
      <c r="R9" s="32"/>
    </row>
    <row r="10" spans="1:18">
      <c r="A10" s="32" t="s">
        <v>49</v>
      </c>
      <c r="B10" s="37">
        <f t="shared" si="0"/>
        <v>1991.268</v>
      </c>
      <c r="C10" s="33"/>
      <c r="D10" s="37">
        <f>IF(ISERROR(TER_ander_gas_kWh/1000),0,TER_ander_gas_kWh/1000)*0.902</f>
        <v>2153.5971599999998</v>
      </c>
      <c r="E10" s="33">
        <f>$C$30*'E Balans VL '!I14/100/3.6*1000000</f>
        <v>9.1575386376522516</v>
      </c>
      <c r="F10" s="33">
        <f>$C$30*('E Balans VL '!L14+'E Balans VL '!N14)/100/3.6*1000000</f>
        <v>596.84582983799726</v>
      </c>
      <c r="G10" s="34"/>
      <c r="H10" s="33"/>
      <c r="I10" s="33"/>
      <c r="J10" s="33">
        <f>$C$30*('E Balans VL '!D14+'E Balans VL '!E14)/100/3.6*1000000</f>
        <v>0</v>
      </c>
      <c r="K10" s="33"/>
      <c r="L10" s="33"/>
      <c r="M10" s="33"/>
      <c r="N10" s="33">
        <f>$C$30*'E Balans VL '!Y14/100/3.6*1000000</f>
        <v>1386.053973131339</v>
      </c>
      <c r="O10" s="33"/>
      <c r="P10" s="33"/>
      <c r="R10" s="32"/>
    </row>
    <row r="11" spans="1:18">
      <c r="A11" s="32" t="s">
        <v>54</v>
      </c>
      <c r="B11" s="37">
        <f t="shared" si="0"/>
        <v>298.56099999999998</v>
      </c>
      <c r="C11" s="33"/>
      <c r="D11" s="37">
        <f>IF(ISERROR(TER_onderwijs_gas_kWh/1000),0,TER_onderwijs_gas_kWh/1000)*0.902</f>
        <v>0</v>
      </c>
      <c r="E11" s="33">
        <f>$C$31*'E Balans VL '!I11/100/3.6*1000000</f>
        <v>0.27695459089233515</v>
      </c>
      <c r="F11" s="33">
        <f>$C$31*('E Balans VL '!L11+'E Balans VL '!N11)/100/3.6*1000000</f>
        <v>104.87761736876186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29.95542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17059.859</v>
      </c>
      <c r="C16" s="21">
        <f t="shared" ca="1" si="1"/>
        <v>0</v>
      </c>
      <c r="D16" s="21">
        <f t="shared" ca="1" si="1"/>
        <v>23003.043030000001</v>
      </c>
      <c r="E16" s="21">
        <f t="shared" si="1"/>
        <v>166.50481092188642</v>
      </c>
      <c r="F16" s="21">
        <f t="shared" ca="1" si="1"/>
        <v>3234.9398224725419</v>
      </c>
      <c r="G16" s="21">
        <f t="shared" si="1"/>
        <v>0</v>
      </c>
      <c r="H16" s="21">
        <f t="shared" si="1"/>
        <v>0</v>
      </c>
      <c r="I16" s="21">
        <f t="shared" si="1"/>
        <v>0</v>
      </c>
      <c r="J16" s="21">
        <f t="shared" si="1"/>
        <v>0</v>
      </c>
      <c r="K16" s="21">
        <f t="shared" si="1"/>
        <v>0</v>
      </c>
      <c r="L16" s="21">
        <f t="shared" ca="1" si="1"/>
        <v>0</v>
      </c>
      <c r="M16" s="21">
        <f t="shared" si="1"/>
        <v>0</v>
      </c>
      <c r="N16" s="21">
        <f t="shared" ca="1" si="1"/>
        <v>1432.3589498926567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0.19200355847591014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3275.553635097282</v>
      </c>
      <c r="C20" s="23">
        <f t="shared" ref="C20:P20" ca="1" si="2">C16*C18</f>
        <v>0</v>
      </c>
      <c r="D20" s="23">
        <f t="shared" ca="1" si="2"/>
        <v>4646.6146920600004</v>
      </c>
      <c r="E20" s="23">
        <f t="shared" si="2"/>
        <v>37.796592079268216</v>
      </c>
      <c r="F20" s="23">
        <f t="shared" ca="1" si="2"/>
        <v>863.72893260016872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6392.8050000000003</v>
      </c>
      <c r="C26" s="39">
        <f>IF(ISERROR(B26*3.6/1000000/'E Balans VL '!Z12*100),0,B26*3.6/1000000/'E Balans VL '!Z12*100)</f>
        <v>0.13578634478394672</v>
      </c>
      <c r="D26" s="239" t="s">
        <v>689</v>
      </c>
      <c r="F26" s="6"/>
    </row>
    <row r="27" spans="1:18">
      <c r="A27" s="233" t="s">
        <v>52</v>
      </c>
      <c r="B27" s="33">
        <f>IF(ISERROR(TER_horeca_ele_kWh/1000),0,TER_horeca_ele_kWh/1000)</f>
        <v>1186.193</v>
      </c>
      <c r="C27" s="39">
        <f>IF(ISERROR(B27*3.6/1000000/'E Balans VL '!Z9*100),0,B27*3.6/1000000/'E Balans VL '!Z9*100)</f>
        <v>9.2233729758243899E-2</v>
      </c>
      <c r="D27" s="239" t="s">
        <v>689</v>
      </c>
      <c r="F27" s="6"/>
    </row>
    <row r="28" spans="1:18">
      <c r="A28" s="173" t="s">
        <v>51</v>
      </c>
      <c r="B28" s="33">
        <f>IF(ISERROR(TER_handel_ele_kWh/1000),0,TER_handel_ele_kWh/1000)</f>
        <v>4326.1059999999998</v>
      </c>
      <c r="C28" s="39">
        <f>IF(ISERROR(B28*3.6/1000000/'E Balans VL '!Z13*100),0,B28*3.6/1000000/'E Balans VL '!Z13*100)</f>
        <v>0.12377498397745164</v>
      </c>
      <c r="D28" s="239" t="s">
        <v>689</v>
      </c>
      <c r="F28" s="6"/>
    </row>
    <row r="29" spans="1:18">
      <c r="A29" s="233" t="s">
        <v>50</v>
      </c>
      <c r="B29" s="33">
        <f>IF(ISERROR(TER_gezond_ele_kWh/1000),0,TER_gezond_ele_kWh/1000)</f>
        <v>2864.9259999999999</v>
      </c>
      <c r="C29" s="39">
        <f>IF(ISERROR(B29*3.6/1000000/'E Balans VL '!Z10*100),0,B29*3.6/1000000/'E Balans VL '!Z10*100)</f>
        <v>0.31234350689603102</v>
      </c>
      <c r="D29" s="239" t="s">
        <v>689</v>
      </c>
      <c r="F29" s="6"/>
    </row>
    <row r="30" spans="1:18">
      <c r="A30" s="233" t="s">
        <v>49</v>
      </c>
      <c r="B30" s="33">
        <f>IF(ISERROR(TER_ander_ele_kWh/1000),0,TER_ander_ele_kWh/1000)</f>
        <v>1991.268</v>
      </c>
      <c r="C30" s="39">
        <f>IF(ISERROR(B30*3.6/1000000/'E Balans VL '!Z14*100),0,B30*3.6/1000000/'E Balans VL '!Z14*100)</f>
        <v>0.1457164751556215</v>
      </c>
      <c r="D30" s="239" t="s">
        <v>689</v>
      </c>
      <c r="F30" s="6"/>
    </row>
    <row r="31" spans="1:18">
      <c r="A31" s="233" t="s">
        <v>54</v>
      </c>
      <c r="B31" s="33">
        <f>IF(ISERROR(TER_onderwijs_ele_kWh/1000),0,TER_onderwijs_ele_kWh/1000)</f>
        <v>298.56099999999998</v>
      </c>
      <c r="C31" s="39">
        <f>IF(ISERROR(B31*3.6/1000000/'E Balans VL '!Z11*100),0,B31*3.6/1000000/'E Balans VL '!Z11*100)</f>
        <v>5.9966198555285094E-2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29728.875</v>
      </c>
      <c r="C5" s="17">
        <f>IF(ISERROR('Eigen informatie GS &amp; warmtenet'!B59),0,'Eigen informatie GS &amp; warmtenet'!B59)</f>
        <v>0</v>
      </c>
      <c r="D5" s="30">
        <f>SUM(D6:D15)</f>
        <v>164333.09162600001</v>
      </c>
      <c r="E5" s="17">
        <f>SUM(E6:E15)</f>
        <v>1818.979806197729</v>
      </c>
      <c r="F5" s="17">
        <f>SUM(F6:F15)</f>
        <v>8234.6667176950414</v>
      </c>
      <c r="G5" s="18"/>
      <c r="H5" s="17"/>
      <c r="I5" s="17"/>
      <c r="J5" s="17">
        <f>SUM(J6:J15)</f>
        <v>71.665371147979243</v>
      </c>
      <c r="K5" s="17"/>
      <c r="L5" s="17"/>
      <c r="M5" s="17"/>
      <c r="N5" s="17">
        <f>SUM(N6:N15)</f>
        <v>1604.1382587506359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209.922</v>
      </c>
      <c r="C8" s="33"/>
      <c r="D8" s="37">
        <f>IF( ISERROR(IND_metaal_Gas_kWH/1000),0,IND_metaal_Gas_kWH/1000)*0.902</f>
        <v>171.88241399999998</v>
      </c>
      <c r="E8" s="33">
        <f>C30*'E Balans VL '!I18/100/3.6*1000000</f>
        <v>6.0297477905233663</v>
      </c>
      <c r="F8" s="33">
        <f>C30*'E Balans VL '!L18/100/3.6*1000000+C30*'E Balans VL '!N18/100/3.6*1000000</f>
        <v>53.840955619722905</v>
      </c>
      <c r="G8" s="34"/>
      <c r="H8" s="33"/>
      <c r="I8" s="33"/>
      <c r="J8" s="40">
        <f>C30*'E Balans VL '!D18/100/3.6*1000000+C30*'E Balans VL '!E18/100/3.6*1000000</f>
        <v>0</v>
      </c>
      <c r="K8" s="33"/>
      <c r="L8" s="33"/>
      <c r="M8" s="33"/>
      <c r="N8" s="33">
        <f>C30*'E Balans VL '!Y18/100/3.6*1000000</f>
        <v>5.6998108115125357</v>
      </c>
      <c r="O8" s="33"/>
      <c r="P8" s="33"/>
      <c r="R8" s="32"/>
    </row>
    <row r="9" spans="1:18">
      <c r="A9" s="6" t="s">
        <v>32</v>
      </c>
      <c r="B9" s="37">
        <f t="shared" si="0"/>
        <v>702.93</v>
      </c>
      <c r="C9" s="33"/>
      <c r="D9" s="37">
        <f>IF( ISERROR(IND_andere_gas_kWh/1000),0,IND_andere_gas_kWh/1000)*0.902</f>
        <v>610.98142600000006</v>
      </c>
      <c r="E9" s="33">
        <f>C31*'E Balans VL '!I19/100/3.6*1000000</f>
        <v>190.26586803165941</v>
      </c>
      <c r="F9" s="33">
        <f>C31*'E Balans VL '!L19/100/3.6*1000000+C31*'E Balans VL '!N19/100/3.6*1000000</f>
        <v>468.22576553241237</v>
      </c>
      <c r="G9" s="34"/>
      <c r="H9" s="33"/>
      <c r="I9" s="33"/>
      <c r="J9" s="40">
        <f>C31*'E Balans VL '!D19/100/3.6*1000000+C31*'E Balans VL '!E19/100/3.6*1000000</f>
        <v>0</v>
      </c>
      <c r="K9" s="33"/>
      <c r="L9" s="33"/>
      <c r="M9" s="33"/>
      <c r="N9" s="33">
        <f>C31*'E Balans VL '!Y19/100/3.6*1000000</f>
        <v>59.428075120479555</v>
      </c>
      <c r="O9" s="33"/>
      <c r="P9" s="33"/>
      <c r="R9" s="32"/>
    </row>
    <row r="10" spans="1:18">
      <c r="A10" s="6" t="s">
        <v>40</v>
      </c>
      <c r="B10" s="37">
        <f t="shared" si="0"/>
        <v>759.91200000000003</v>
      </c>
      <c r="C10" s="33"/>
      <c r="D10" s="37">
        <f>IF( ISERROR(IND_voed_gas_kWh/1000),0,IND_voed_gas_kWh/1000)*0.902</f>
        <v>624.48346400000003</v>
      </c>
      <c r="E10" s="33">
        <f>C32*'E Balans VL '!I20/100/3.6*1000000</f>
        <v>61.980168572390568</v>
      </c>
      <c r="F10" s="33">
        <f>C32*'E Balans VL '!L20/100/3.6*1000000+C32*'E Balans VL '!N20/100/3.6*1000000</f>
        <v>1133.0977372577127</v>
      </c>
      <c r="G10" s="34"/>
      <c r="H10" s="33"/>
      <c r="I10" s="33"/>
      <c r="J10" s="40">
        <f>C32*'E Balans VL '!D20/100/3.6*1000000+C32*'E Balans VL '!E20/100/3.6*1000000</f>
        <v>1.0052713350573792E-2</v>
      </c>
      <c r="K10" s="33"/>
      <c r="L10" s="33"/>
      <c r="M10" s="33"/>
      <c r="N10" s="33">
        <f>C32*'E Balans VL '!Y20/100/3.6*1000000</f>
        <v>223.23533119685976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99.200999999999993</v>
      </c>
      <c r="C13" s="33"/>
      <c r="D13" s="37">
        <f>IF( ISERROR(IND_papier_gas_kWh/1000),0,IND_papier_gas_kWh/1000)*0.902</f>
        <v>0</v>
      </c>
      <c r="E13" s="33">
        <f>C35*'E Balans VL '!I23/100/3.6*1000000</f>
        <v>1.0393111971666209</v>
      </c>
      <c r="F13" s="33">
        <f>C35*'E Balans VL '!L23/100/3.6*1000000+C35*'E Balans VL '!N23/100/3.6*1000000</f>
        <v>7.4023962029837191</v>
      </c>
      <c r="G13" s="34"/>
      <c r="H13" s="33"/>
      <c r="I13" s="33"/>
      <c r="J13" s="40">
        <f>C35*'E Balans VL '!D23/100/3.6*1000000+C35*'E Balans VL '!E23/100/3.6*1000000</f>
        <v>0</v>
      </c>
      <c r="K13" s="33"/>
      <c r="L13" s="33"/>
      <c r="M13" s="33"/>
      <c r="N13" s="33">
        <f>C35*'E Balans VL '!Y23/100/3.6*1000000</f>
        <v>18.300439528216955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27956.91</v>
      </c>
      <c r="C15" s="33"/>
      <c r="D15" s="37">
        <f>IF( ISERROR(IND_rest_gas_kWh/1000),0,IND_rest_gas_kWh/1000)*0.902</f>
        <v>162925.74432200001</v>
      </c>
      <c r="E15" s="33">
        <f>C37*'E Balans VL '!I15/100/3.6*1000000</f>
        <v>1559.6647106059891</v>
      </c>
      <c r="F15" s="33">
        <f>C37*'E Balans VL '!L15/100/3.6*1000000+C37*'E Balans VL '!N15/100/3.6*1000000</f>
        <v>6572.0998630822096</v>
      </c>
      <c r="G15" s="34"/>
      <c r="H15" s="33"/>
      <c r="I15" s="33"/>
      <c r="J15" s="40">
        <f>C37*'E Balans VL '!D15/100/3.6*1000000+C37*'E Balans VL '!E15/100/3.6*1000000</f>
        <v>71.655318434628668</v>
      </c>
      <c r="K15" s="33"/>
      <c r="L15" s="33"/>
      <c r="M15" s="33"/>
      <c r="N15" s="33">
        <f>C37*'E Balans VL '!Y15/100/3.6*1000000</f>
        <v>1297.4746020935672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29728.875</v>
      </c>
      <c r="C18" s="21">
        <f>C5+C16</f>
        <v>0</v>
      </c>
      <c r="D18" s="21">
        <f>MAX((D5+D16),0)</f>
        <v>164333.09162600001</v>
      </c>
      <c r="E18" s="21">
        <f>MAX((E5+E16),0)</f>
        <v>1818.979806197729</v>
      </c>
      <c r="F18" s="21">
        <f>MAX((F5+F16),0)</f>
        <v>8234.6667176950414</v>
      </c>
      <c r="G18" s="21"/>
      <c r="H18" s="21"/>
      <c r="I18" s="21"/>
      <c r="J18" s="21">
        <f>MAX((J5+J16),0)</f>
        <v>71.665371147979243</v>
      </c>
      <c r="K18" s="21"/>
      <c r="L18" s="21">
        <f>MAX((L5+L16),0)</f>
        <v>0</v>
      </c>
      <c r="M18" s="21"/>
      <c r="N18" s="21">
        <f>MAX((N5+N16),0)</f>
        <v>1604.1382587506359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0.19200355847591014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5708.0497894855225</v>
      </c>
      <c r="C22" s="23">
        <f ca="1">C18*C20</f>
        <v>0</v>
      </c>
      <c r="D22" s="23">
        <f>D18*D20</f>
        <v>33195.284508452001</v>
      </c>
      <c r="E22" s="23">
        <f>E18*E20</f>
        <v>412.90841600688447</v>
      </c>
      <c r="F22" s="23">
        <f>F18*F20</f>
        <v>2198.6560136245762</v>
      </c>
      <c r="G22" s="23"/>
      <c r="H22" s="23"/>
      <c r="I22" s="23"/>
      <c r="J22" s="23">
        <f>J18*J20</f>
        <v>25.36954138638465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209.922</v>
      </c>
      <c r="C30" s="39">
        <f>IF(ISERROR(B30*3.6/1000000/'E Balans VL '!Z18*100),0,B30*3.6/1000000/'E Balans VL '!Z18*100)</f>
        <v>2.0655788926217986E-2</v>
      </c>
      <c r="D30" s="239" t="s">
        <v>689</v>
      </c>
    </row>
    <row r="31" spans="1:18">
      <c r="A31" s="6" t="s">
        <v>32</v>
      </c>
      <c r="B31" s="37">
        <f>IF( ISERROR(IND_ander_ele_kWh/1000),0,IND_ander_ele_kWh/1000)</f>
        <v>702.93</v>
      </c>
      <c r="C31" s="39">
        <f>IF(ISERROR(B31*3.6/1000000/'E Balans VL '!Z19*100),0,B31*3.6/1000000/'E Balans VL '!Z19*100)</f>
        <v>3.0612040778262468E-2</v>
      </c>
      <c r="D31" s="239" t="s">
        <v>689</v>
      </c>
    </row>
    <row r="32" spans="1:18">
      <c r="A32" s="173" t="s">
        <v>40</v>
      </c>
      <c r="B32" s="37">
        <f>IF( ISERROR(IND_voed_ele_kWh/1000),0,IND_voed_ele_kWh/1000)</f>
        <v>759.91200000000003</v>
      </c>
      <c r="C32" s="39">
        <f>IF(ISERROR(B32*3.6/1000000/'E Balans VL '!Z20*100),0,B32*3.6/1000000/'E Balans VL '!Z20*100)</f>
        <v>0.14418234287674989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99.200999999999993</v>
      </c>
      <c r="C35" s="39">
        <f>IF(ISERROR(B35*3.6/1000000/'E Balans VL '!Z22*100),0,B35*3.6/1000000/'E Balans VL '!Z22*100)</f>
        <v>1.3948656745392515E-2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27956.91</v>
      </c>
      <c r="C37" s="39">
        <f>IF(ISERROR(B37*3.6/1000000/'E Balans VL '!Z15*100),0,B37*3.6/1000000/'E Balans VL '!Z15*100)</f>
        <v>0.21544232971355579</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281.346</v>
      </c>
      <c r="C5" s="17">
        <f>'Eigen informatie GS &amp; warmtenet'!B60</f>
        <v>0</v>
      </c>
      <c r="D5" s="30">
        <f>IF(ISERROR(SUM(LB_lb_gas_kWh,LB_rest_gas_kWh)/1000),0,SUM(LB_lb_gas_kWh,LB_rest_gas_kWh)/1000)*0.902</f>
        <v>146.20698400000001</v>
      </c>
      <c r="E5" s="17">
        <f>B17*'E Balans VL '!I25/3.6*1000000/100</f>
        <v>3.545322047341001</v>
      </c>
      <c r="F5" s="17">
        <f>B17*('E Balans VL '!L25/3.6*1000000+'E Balans VL '!N25/3.6*1000000)/100</f>
        <v>970.71418138443539</v>
      </c>
      <c r="G5" s="18"/>
      <c r="H5" s="17"/>
      <c r="I5" s="17"/>
      <c r="J5" s="17">
        <f>('E Balans VL '!D25+'E Balans VL '!E25)/3.6*1000000*landbouw!B17/100</f>
        <v>42.311240171547979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281.346</v>
      </c>
      <c r="C8" s="21">
        <f>C5+C6</f>
        <v>0</v>
      </c>
      <c r="D8" s="21">
        <f>MAX((D5+D6),0)</f>
        <v>146.20698400000001</v>
      </c>
      <c r="E8" s="21">
        <f>MAX((E5+E6),0)</f>
        <v>3.545322047341001</v>
      </c>
      <c r="F8" s="21">
        <f>MAX((F5+F6),0)</f>
        <v>970.71418138443539</v>
      </c>
      <c r="G8" s="21"/>
      <c r="H8" s="21"/>
      <c r="I8" s="21"/>
      <c r="J8" s="21">
        <f>MAX((J5+J6),0)</f>
        <v>42.311240171547979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0.19200355847591014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54.019433162963416</v>
      </c>
      <c r="C12" s="23">
        <f ca="1">C8*C10</f>
        <v>0</v>
      </c>
      <c r="D12" s="23">
        <f>D8*D10</f>
        <v>29.533810768000002</v>
      </c>
      <c r="E12" s="23">
        <f>E8*E10</f>
        <v>0.80478810474640727</v>
      </c>
      <c r="F12" s="23">
        <f>F8*F10</f>
        <v>259.18068642964425</v>
      </c>
      <c r="G12" s="23"/>
      <c r="H12" s="23"/>
      <c r="I12" s="23"/>
      <c r="J12" s="23">
        <f>J8*J10</f>
        <v>14.978179020727984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3.9238899488806211E-2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42.361382035009207</v>
      </c>
      <c r="C26" s="249">
        <f>B26*'GWP N2O_CH4'!B5</f>
        <v>889.58902273519334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19.509790975317763</v>
      </c>
      <c r="C27" s="249">
        <f>B27*'GWP N2O_CH4'!B5</f>
        <v>409.70561048167303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0.55350757268798756</v>
      </c>
      <c r="C28" s="249">
        <f>B28*'GWP N2O_CH4'!B4</f>
        <v>171.58734753327613</v>
      </c>
      <c r="D28" s="50"/>
    </row>
    <row r="29" spans="1:4">
      <c r="A29" s="41" t="s">
        <v>276</v>
      </c>
      <c r="B29" s="249">
        <f>B34*'ha_N2O bodem landbouw'!B4</f>
        <v>2.6090013801871779</v>
      </c>
      <c r="C29" s="249">
        <f>B29*'GWP N2O_CH4'!B4</f>
        <v>808.79042785802517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6.5144157476333187E-4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1.3882485372996451E-5</v>
      </c>
      <c r="C5" s="444" t="s">
        <v>210</v>
      </c>
      <c r="D5" s="429">
        <f>SUM(D6:D11)</f>
        <v>2.1805805223431876E-5</v>
      </c>
      <c r="E5" s="429">
        <f>SUM(E6:E11)</f>
        <v>8.5695232836872025E-4</v>
      </c>
      <c r="F5" s="442" t="s">
        <v>210</v>
      </c>
      <c r="G5" s="429">
        <f>SUM(G6:G11)</f>
        <v>0.30006618105140909</v>
      </c>
      <c r="H5" s="429">
        <f>SUM(H6:H11)</f>
        <v>4.0745712168872641E-2</v>
      </c>
      <c r="I5" s="444" t="s">
        <v>210</v>
      </c>
      <c r="J5" s="444" t="s">
        <v>210</v>
      </c>
      <c r="K5" s="444" t="s">
        <v>210</v>
      </c>
      <c r="L5" s="444" t="s">
        <v>210</v>
      </c>
      <c r="M5" s="429">
        <f>SUM(M6:M11)</f>
        <v>1.5405638662212447E-2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6.4514144695107495E-6</v>
      </c>
      <c r="C6" s="883"/>
      <c r="D6" s="883">
        <f>vkm_GW_PW*SUMIFS(TableVerdeelsleutelVkm[CNG],TableVerdeelsleutelVkm[Voertuigtype],"Lichte voertuigen")*SUMIFS(TableECFTransport[EnergieConsumptieFactor (PJ per km)],TableECFTransport[Index],CONCATENATE($A6,"_CNG_CNG"))</f>
        <v>9.560804084409897E-6</v>
      </c>
      <c r="E6" s="883">
        <f>vkm_GW_PW*SUMIFS(TableVerdeelsleutelVkm[LPG],TableVerdeelsleutelVkm[Voertuigtype],"Lichte voertuigen")*SUMIFS(TableECFTransport[EnergieConsumptieFactor (PJ per km)],TableECFTransport[Index],CONCATENATE($A6,"_LPG_LPG"))</f>
        <v>3.4243306676263444E-4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6.8915684819829764E-2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1.7605496730498653E-2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3.9141704418332365E-3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6.5491910557274768E-2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1.5216616609153142E-6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2.9570619860684157E-3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1.2093007847132501E-6</v>
      </c>
      <c r="C8" s="883"/>
      <c r="D8" s="432">
        <f>vkm_NGW_PW*SUMIFS(TableVerdeelsleutelVkm[CNG],TableVerdeelsleutelVkm[Voertuigtype],"Lichte voertuigen")*SUMIFS(TableECFTransport[EnergieConsumptieFactor (PJ per km)],TableECFTransport[Index],CONCATENATE($A8,"_CNG_CNG"))</f>
        <v>3.0413197701097098E-6</v>
      </c>
      <c r="E8" s="432">
        <f>vkm_NGW_PW*SUMIFS(TableVerdeelsleutelVkm[LPG],TableVerdeelsleutelVkm[Voertuigtype],"Lichte voertuigen")*SUMIFS(TableECFTransport[EnergieConsumptieFactor (PJ per km)],TableECFTransport[Index],CONCATENATE($A8,"_LPG_LPG"))</f>
        <v>1.0299923016792458E-4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1.9690781522593945E-2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5.381449676425943E-3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1.1343761482670474E-3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7.7239033243674076E-4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2.0801026714599168E-8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3.4874759265614219E-5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6.2217701187724497E-6</v>
      </c>
      <c r="C10" s="883"/>
      <c r="D10" s="432">
        <f>vkm_SW_PW*SUMIFS(TableVerdeelsleutelVkm[CNG],TableVerdeelsleutelVkm[Voertuigtype],"Lichte voertuigen")*SUMIFS(TableECFTransport[EnergieConsumptieFactor (PJ per km)],TableECFTransport[Index],CONCATENATE($A10,"_CNG_CNG"))</f>
        <v>9.2036813689122687E-6</v>
      </c>
      <c r="E10" s="432">
        <f>vkm_SW_PW*SUMIFS(TableVerdeelsleutelVkm[LPG],TableVerdeelsleutelVkm[Voertuigtype],"Lichte voertuigen")*SUMIFS(TableECFTransport[EnergieConsumptieFactor (PJ per km)],TableECFTransport[Index],CONCATENATE($A10,"_LPG_LPG"))</f>
        <v>4.1152003143816123E-4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7.5078644225216387E-2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1.7755485559176647E-2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4.1992687845344981E-3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7.0116769594057493E-2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1.7377400837752898E-6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3.1658865422436355E-3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3.8562459369434587</v>
      </c>
      <c r="C14" s="21"/>
      <c r="D14" s="21">
        <f t="shared" ref="D14:M14" si="0">((D5)*10^9/3600)+D12</f>
        <v>6.0571681176199652</v>
      </c>
      <c r="E14" s="21">
        <f t="shared" si="0"/>
        <v>238.04231343575563</v>
      </c>
      <c r="F14" s="21"/>
      <c r="G14" s="21">
        <f t="shared" si="0"/>
        <v>83351.716958724734</v>
      </c>
      <c r="H14" s="21">
        <f t="shared" si="0"/>
        <v>11318.2533802424</v>
      </c>
      <c r="I14" s="21"/>
      <c r="J14" s="21"/>
      <c r="K14" s="21"/>
      <c r="L14" s="21"/>
      <c r="M14" s="21">
        <f t="shared" si="0"/>
        <v>4279.3440728367914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0.19200355847591014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0.7404129422514143</v>
      </c>
      <c r="C18" s="23"/>
      <c r="D18" s="23">
        <f t="shared" ref="D18:M18" si="1">D14*D16</f>
        <v>1.2235479597592331</v>
      </c>
      <c r="E18" s="23">
        <f t="shared" si="1"/>
        <v>54.035605149916528</v>
      </c>
      <c r="F18" s="23"/>
      <c r="G18" s="23">
        <f t="shared" si="1"/>
        <v>22254.908427979506</v>
      </c>
      <c r="H18" s="23">
        <f t="shared" si="1"/>
        <v>2818.2450916803577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2.1618366883493995E-3</v>
      </c>
      <c r="H50" s="321">
        <f t="shared" si="2"/>
        <v>0</v>
      </c>
      <c r="I50" s="321">
        <f t="shared" si="2"/>
        <v>0</v>
      </c>
      <c r="J50" s="321">
        <f t="shared" si="2"/>
        <v>0</v>
      </c>
      <c r="K50" s="321">
        <f t="shared" si="2"/>
        <v>0</v>
      </c>
      <c r="L50" s="321">
        <f t="shared" si="2"/>
        <v>0</v>
      </c>
      <c r="M50" s="321">
        <f t="shared" si="2"/>
        <v>9.6225139469027196E-5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2.1618366883493995E-3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9.6225139469027196E-5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600.51019120816659</v>
      </c>
      <c r="H54" s="21">
        <f t="shared" si="3"/>
        <v>0</v>
      </c>
      <c r="I54" s="21">
        <f t="shared" si="3"/>
        <v>0</v>
      </c>
      <c r="J54" s="21">
        <f t="shared" si="3"/>
        <v>0</v>
      </c>
      <c r="K54" s="21">
        <f t="shared" si="3"/>
        <v>0</v>
      </c>
      <c r="L54" s="21">
        <f t="shared" si="3"/>
        <v>0</v>
      </c>
      <c r="M54" s="21">
        <f t="shared" si="3"/>
        <v>26.729205408063113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0.19200355847591014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160.3362210525805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17877.734</v>
      </c>
      <c r="D10" s="686">
        <f ca="1">tertiair!C16</f>
        <v>0</v>
      </c>
      <c r="E10" s="686">
        <f ca="1">tertiair!D16</f>
        <v>23003.043030000001</v>
      </c>
      <c r="F10" s="686">
        <f>tertiair!E16</f>
        <v>166.50481092188642</v>
      </c>
      <c r="G10" s="686">
        <f ca="1">tertiair!F16</f>
        <v>3234.9398224725419</v>
      </c>
      <c r="H10" s="686">
        <f>tertiair!G16</f>
        <v>0</v>
      </c>
      <c r="I10" s="686">
        <f>tertiair!H16</f>
        <v>0</v>
      </c>
      <c r="J10" s="686">
        <f>tertiair!I16</f>
        <v>0</v>
      </c>
      <c r="K10" s="686">
        <f>tertiair!J16</f>
        <v>0</v>
      </c>
      <c r="L10" s="686">
        <f>tertiair!K16</f>
        <v>0</v>
      </c>
      <c r="M10" s="686">
        <f ca="1">tertiair!L16</f>
        <v>0</v>
      </c>
      <c r="N10" s="686">
        <f>tertiair!M16</f>
        <v>0</v>
      </c>
      <c r="O10" s="686">
        <f ca="1">tertiair!N16</f>
        <v>1432.3589498926567</v>
      </c>
      <c r="P10" s="686">
        <f>tertiair!O16</f>
        <v>1.5633333333333335</v>
      </c>
      <c r="Q10" s="687">
        <f>tertiair!P16</f>
        <v>0</v>
      </c>
      <c r="R10" s="689">
        <f ca="1">SUM(C10:Q10)</f>
        <v>45716.143946620417</v>
      </c>
      <c r="S10" s="67"/>
    </row>
    <row r="11" spans="1:19" s="454" customFormat="1">
      <c r="A11" s="801" t="s">
        <v>224</v>
      </c>
      <c r="B11" s="806"/>
      <c r="C11" s="686">
        <f>huishoudens!B8</f>
        <v>22374.430486080833</v>
      </c>
      <c r="D11" s="686">
        <f>huishoudens!C8</f>
        <v>0</v>
      </c>
      <c r="E11" s="686">
        <f>huishoudens!D8</f>
        <v>53929.813300000002</v>
      </c>
      <c r="F11" s="686">
        <f>huishoudens!E8</f>
        <v>1404.5159568407319</v>
      </c>
      <c r="G11" s="686">
        <f>huishoudens!F8</f>
        <v>26584.600365103019</v>
      </c>
      <c r="H11" s="686">
        <f>huishoudens!G8</f>
        <v>0</v>
      </c>
      <c r="I11" s="686">
        <f>huishoudens!H8</f>
        <v>0</v>
      </c>
      <c r="J11" s="686">
        <f>huishoudens!I8</f>
        <v>0</v>
      </c>
      <c r="K11" s="686">
        <f>huishoudens!J8</f>
        <v>722.59128067328709</v>
      </c>
      <c r="L11" s="686">
        <f>huishoudens!K8</f>
        <v>0</v>
      </c>
      <c r="M11" s="686">
        <f>huishoudens!L8</f>
        <v>0</v>
      </c>
      <c r="N11" s="686">
        <f>huishoudens!M8</f>
        <v>0</v>
      </c>
      <c r="O11" s="686">
        <f>huishoudens!N8</f>
        <v>3906.1943177921153</v>
      </c>
      <c r="P11" s="686">
        <f>huishoudens!O8</f>
        <v>59.406666666666666</v>
      </c>
      <c r="Q11" s="687">
        <f>huishoudens!P8</f>
        <v>19.066666666666666</v>
      </c>
      <c r="R11" s="689">
        <f>SUM(C11:Q11)</f>
        <v>109000.6190398233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29728.875</v>
      </c>
      <c r="D13" s="686">
        <f>industrie!C18</f>
        <v>0</v>
      </c>
      <c r="E13" s="686">
        <f>industrie!D18</f>
        <v>164333.09162600001</v>
      </c>
      <c r="F13" s="686">
        <f>industrie!E18</f>
        <v>1818.979806197729</v>
      </c>
      <c r="G13" s="686">
        <f>industrie!F18</f>
        <v>8234.6667176950414</v>
      </c>
      <c r="H13" s="686">
        <f>industrie!G18</f>
        <v>0</v>
      </c>
      <c r="I13" s="686">
        <f>industrie!H18</f>
        <v>0</v>
      </c>
      <c r="J13" s="686">
        <f>industrie!I18</f>
        <v>0</v>
      </c>
      <c r="K13" s="686">
        <f>industrie!J18</f>
        <v>71.665371147979243</v>
      </c>
      <c r="L13" s="686">
        <f>industrie!K18</f>
        <v>0</v>
      </c>
      <c r="M13" s="686">
        <f>industrie!L18</f>
        <v>0</v>
      </c>
      <c r="N13" s="686">
        <f>industrie!M18</f>
        <v>0</v>
      </c>
      <c r="O13" s="686">
        <f>industrie!N18</f>
        <v>1604.1382587506359</v>
      </c>
      <c r="P13" s="686">
        <f>industrie!O18</f>
        <v>0</v>
      </c>
      <c r="Q13" s="687">
        <f>industrie!P18</f>
        <v>0</v>
      </c>
      <c r="R13" s="689">
        <f>SUM(C13:Q13)</f>
        <v>205791.41677979138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69981.03948608083</v>
      </c>
      <c r="D16" s="721">
        <f t="shared" ref="D16:R16" ca="1" si="0">SUM(D9:D15)</f>
        <v>0</v>
      </c>
      <c r="E16" s="721">
        <f t="shared" ca="1" si="0"/>
        <v>241265.94795600002</v>
      </c>
      <c r="F16" s="721">
        <f t="shared" si="0"/>
        <v>3390.0005739603475</v>
      </c>
      <c r="G16" s="721">
        <f t="shared" ca="1" si="0"/>
        <v>38054.206905270599</v>
      </c>
      <c r="H16" s="721">
        <f t="shared" si="0"/>
        <v>0</v>
      </c>
      <c r="I16" s="721">
        <f t="shared" si="0"/>
        <v>0</v>
      </c>
      <c r="J16" s="721">
        <f t="shared" si="0"/>
        <v>0</v>
      </c>
      <c r="K16" s="721">
        <f t="shared" si="0"/>
        <v>794.25665182126636</v>
      </c>
      <c r="L16" s="721">
        <f t="shared" si="0"/>
        <v>0</v>
      </c>
      <c r="M16" s="721">
        <f t="shared" ca="1" si="0"/>
        <v>0</v>
      </c>
      <c r="N16" s="721">
        <f t="shared" si="0"/>
        <v>0</v>
      </c>
      <c r="O16" s="721">
        <f t="shared" ca="1" si="0"/>
        <v>6942.6915264354084</v>
      </c>
      <c r="P16" s="721">
        <f t="shared" si="0"/>
        <v>60.97</v>
      </c>
      <c r="Q16" s="721">
        <f t="shared" si="0"/>
        <v>19.066666666666666</v>
      </c>
      <c r="R16" s="721">
        <f t="shared" ca="1" si="0"/>
        <v>360508.17976623506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600.51019120816659</v>
      </c>
      <c r="I19" s="686">
        <f>transport!H54</f>
        <v>0</v>
      </c>
      <c r="J19" s="686">
        <f>transport!I54</f>
        <v>0</v>
      </c>
      <c r="K19" s="686">
        <f>transport!J54</f>
        <v>0</v>
      </c>
      <c r="L19" s="686">
        <f>transport!K54</f>
        <v>0</v>
      </c>
      <c r="M19" s="686">
        <f>transport!L54</f>
        <v>0</v>
      </c>
      <c r="N19" s="686">
        <f>transport!M54</f>
        <v>26.729205408063113</v>
      </c>
      <c r="O19" s="686">
        <f>transport!N54</f>
        <v>0</v>
      </c>
      <c r="P19" s="686">
        <f>transport!O54</f>
        <v>0</v>
      </c>
      <c r="Q19" s="687">
        <f>transport!P54</f>
        <v>0</v>
      </c>
      <c r="R19" s="689">
        <f>SUM(C19:Q19)</f>
        <v>627.23939661622967</v>
      </c>
      <c r="S19" s="67"/>
    </row>
    <row r="20" spans="1:19" s="454" customFormat="1">
      <c r="A20" s="801" t="s">
        <v>306</v>
      </c>
      <c r="B20" s="806"/>
      <c r="C20" s="686">
        <f>transport!B14</f>
        <v>3.8562459369434587</v>
      </c>
      <c r="D20" s="686">
        <f>transport!C14</f>
        <v>0</v>
      </c>
      <c r="E20" s="686">
        <f>transport!D14</f>
        <v>6.0571681176199652</v>
      </c>
      <c r="F20" s="686">
        <f>transport!E14</f>
        <v>238.04231343575563</v>
      </c>
      <c r="G20" s="686">
        <f>transport!F14</f>
        <v>0</v>
      </c>
      <c r="H20" s="686">
        <f>transport!G14</f>
        <v>83351.716958724734</v>
      </c>
      <c r="I20" s="686">
        <f>transport!H14</f>
        <v>11318.2533802424</v>
      </c>
      <c r="J20" s="686">
        <f>transport!I14</f>
        <v>0</v>
      </c>
      <c r="K20" s="686">
        <f>transport!J14</f>
        <v>0</v>
      </c>
      <c r="L20" s="686">
        <f>transport!K14</f>
        <v>0</v>
      </c>
      <c r="M20" s="686">
        <f>transport!L14</f>
        <v>0</v>
      </c>
      <c r="N20" s="686">
        <f>transport!M14</f>
        <v>4279.3440728367914</v>
      </c>
      <c r="O20" s="686">
        <f>transport!N14</f>
        <v>0</v>
      </c>
      <c r="P20" s="686">
        <f>transport!O14</f>
        <v>0</v>
      </c>
      <c r="Q20" s="687">
        <f>transport!P14</f>
        <v>0</v>
      </c>
      <c r="R20" s="689">
        <f>SUM(C20:Q20)</f>
        <v>99197.27013929424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3.8562459369434587</v>
      </c>
      <c r="D22" s="804">
        <f t="shared" ref="D22:R22" si="1">SUM(D18:D21)</f>
        <v>0</v>
      </c>
      <c r="E22" s="804">
        <f t="shared" si="1"/>
        <v>6.0571681176199652</v>
      </c>
      <c r="F22" s="804">
        <f t="shared" si="1"/>
        <v>238.04231343575563</v>
      </c>
      <c r="G22" s="804">
        <f t="shared" si="1"/>
        <v>0</v>
      </c>
      <c r="H22" s="804">
        <f t="shared" si="1"/>
        <v>83952.227149932907</v>
      </c>
      <c r="I22" s="804">
        <f t="shared" si="1"/>
        <v>11318.2533802424</v>
      </c>
      <c r="J22" s="804">
        <f t="shared" si="1"/>
        <v>0</v>
      </c>
      <c r="K22" s="804">
        <f t="shared" si="1"/>
        <v>0</v>
      </c>
      <c r="L22" s="804">
        <f t="shared" si="1"/>
        <v>0</v>
      </c>
      <c r="M22" s="804">
        <f t="shared" si="1"/>
        <v>0</v>
      </c>
      <c r="N22" s="804">
        <f t="shared" si="1"/>
        <v>4306.0732782448549</v>
      </c>
      <c r="O22" s="804">
        <f t="shared" si="1"/>
        <v>0</v>
      </c>
      <c r="P22" s="804">
        <f t="shared" si="1"/>
        <v>0</v>
      </c>
      <c r="Q22" s="804">
        <f t="shared" si="1"/>
        <v>0</v>
      </c>
      <c r="R22" s="804">
        <f t="shared" si="1"/>
        <v>99824.509535910474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281.346</v>
      </c>
      <c r="D24" s="686">
        <f>+landbouw!C8</f>
        <v>0</v>
      </c>
      <c r="E24" s="686">
        <f>+landbouw!D8</f>
        <v>146.20698400000001</v>
      </c>
      <c r="F24" s="686">
        <f>+landbouw!E8</f>
        <v>3.545322047341001</v>
      </c>
      <c r="G24" s="686">
        <f>+landbouw!F8</f>
        <v>970.71418138443539</v>
      </c>
      <c r="H24" s="686">
        <f>+landbouw!G8</f>
        <v>0</v>
      </c>
      <c r="I24" s="686">
        <f>+landbouw!H8</f>
        <v>0</v>
      </c>
      <c r="J24" s="686">
        <f>+landbouw!I8</f>
        <v>0</v>
      </c>
      <c r="K24" s="686">
        <f>+landbouw!J8</f>
        <v>42.311240171547979</v>
      </c>
      <c r="L24" s="686">
        <f>+landbouw!K8</f>
        <v>0</v>
      </c>
      <c r="M24" s="686">
        <f>+landbouw!L8</f>
        <v>0</v>
      </c>
      <c r="N24" s="686">
        <f>+landbouw!M8</f>
        <v>0</v>
      </c>
      <c r="O24" s="686">
        <f>+landbouw!N8</f>
        <v>0</v>
      </c>
      <c r="P24" s="686">
        <f>+landbouw!O8</f>
        <v>0</v>
      </c>
      <c r="Q24" s="687">
        <f>+landbouw!P8</f>
        <v>0</v>
      </c>
      <c r="R24" s="689">
        <f>SUM(C24:Q24)</f>
        <v>1444.1237276033244</v>
      </c>
      <c r="S24" s="67"/>
    </row>
    <row r="25" spans="1:19" s="454" customFormat="1" ht="15" thickBot="1">
      <c r="A25" s="823" t="s">
        <v>856</v>
      </c>
      <c r="B25" s="991"/>
      <c r="C25" s="992">
        <f>IF(Onbekend_ele_kWh="---",0,Onbekend_ele_kWh)/1000+IF(REST_rest_ele_kWh="---",0,REST_rest_ele_kWh)/1000</f>
        <v>416.25599999999997</v>
      </c>
      <c r="D25" s="992"/>
      <c r="E25" s="992">
        <f>IF(onbekend_gas_kWh="---",0,onbekend_gas_kWh)/1000+IF(REST_rest_gas_kWh="---",0,REST_rest_gas_kWh)/1000</f>
        <v>4187.0780000000004</v>
      </c>
      <c r="F25" s="992"/>
      <c r="G25" s="992"/>
      <c r="H25" s="992"/>
      <c r="I25" s="992"/>
      <c r="J25" s="992"/>
      <c r="K25" s="992"/>
      <c r="L25" s="992"/>
      <c r="M25" s="992"/>
      <c r="N25" s="992"/>
      <c r="O25" s="992"/>
      <c r="P25" s="992"/>
      <c r="Q25" s="993"/>
      <c r="R25" s="689">
        <f>SUM(C25:Q25)</f>
        <v>4603.3340000000007</v>
      </c>
      <c r="S25" s="67"/>
    </row>
    <row r="26" spans="1:19" s="454" customFormat="1" ht="15.75" thickBot="1">
      <c r="A26" s="694" t="s">
        <v>857</v>
      </c>
      <c r="B26" s="809"/>
      <c r="C26" s="804">
        <f>SUM(C24:C25)</f>
        <v>697.60199999999998</v>
      </c>
      <c r="D26" s="804">
        <f t="shared" ref="D26:R26" si="2">SUM(D24:D25)</f>
        <v>0</v>
      </c>
      <c r="E26" s="804">
        <f t="shared" si="2"/>
        <v>4333.2849840000008</v>
      </c>
      <c r="F26" s="804">
        <f t="shared" si="2"/>
        <v>3.545322047341001</v>
      </c>
      <c r="G26" s="804">
        <f t="shared" si="2"/>
        <v>970.71418138443539</v>
      </c>
      <c r="H26" s="804">
        <f t="shared" si="2"/>
        <v>0</v>
      </c>
      <c r="I26" s="804">
        <f t="shared" si="2"/>
        <v>0</v>
      </c>
      <c r="J26" s="804">
        <f t="shared" si="2"/>
        <v>0</v>
      </c>
      <c r="K26" s="804">
        <f t="shared" si="2"/>
        <v>42.311240171547979</v>
      </c>
      <c r="L26" s="804">
        <f t="shared" si="2"/>
        <v>0</v>
      </c>
      <c r="M26" s="804">
        <f t="shared" si="2"/>
        <v>0</v>
      </c>
      <c r="N26" s="804">
        <f t="shared" si="2"/>
        <v>0</v>
      </c>
      <c r="O26" s="804">
        <f t="shared" si="2"/>
        <v>0</v>
      </c>
      <c r="P26" s="804">
        <f t="shared" si="2"/>
        <v>0</v>
      </c>
      <c r="Q26" s="804">
        <f t="shared" si="2"/>
        <v>0</v>
      </c>
      <c r="R26" s="804">
        <f t="shared" si="2"/>
        <v>6047.4577276033251</v>
      </c>
      <c r="S26" s="67"/>
    </row>
    <row r="27" spans="1:19" s="454" customFormat="1" ht="17.25" thickTop="1" thickBot="1">
      <c r="A27" s="695" t="s">
        <v>115</v>
      </c>
      <c r="B27" s="796"/>
      <c r="C27" s="696">
        <f ca="1">C22+C16+C26</f>
        <v>70682.497732017771</v>
      </c>
      <c r="D27" s="696">
        <f t="shared" ref="D27:R27" ca="1" si="3">D22+D16+D26</f>
        <v>0</v>
      </c>
      <c r="E27" s="696">
        <f t="shared" ca="1" si="3"/>
        <v>245605.29010811762</v>
      </c>
      <c r="F27" s="696">
        <f t="shared" si="3"/>
        <v>3631.5882094434442</v>
      </c>
      <c r="G27" s="696">
        <f t="shared" ca="1" si="3"/>
        <v>39024.921086655035</v>
      </c>
      <c r="H27" s="696">
        <f t="shared" si="3"/>
        <v>83952.227149932907</v>
      </c>
      <c r="I27" s="696">
        <f t="shared" si="3"/>
        <v>11318.2533802424</v>
      </c>
      <c r="J27" s="696">
        <f t="shared" si="3"/>
        <v>0</v>
      </c>
      <c r="K27" s="696">
        <f t="shared" si="3"/>
        <v>836.56789199281434</v>
      </c>
      <c r="L27" s="696">
        <f t="shared" si="3"/>
        <v>0</v>
      </c>
      <c r="M27" s="696">
        <f t="shared" ca="1" si="3"/>
        <v>0</v>
      </c>
      <c r="N27" s="696">
        <f t="shared" si="3"/>
        <v>4306.0732782448549</v>
      </c>
      <c r="O27" s="696">
        <f t="shared" ca="1" si="3"/>
        <v>6942.6915264354084</v>
      </c>
      <c r="P27" s="696">
        <f t="shared" si="3"/>
        <v>60.97</v>
      </c>
      <c r="Q27" s="696">
        <f t="shared" si="3"/>
        <v>19.066666666666666</v>
      </c>
      <c r="R27" s="696">
        <f t="shared" ca="1" si="3"/>
        <v>466380.14702974883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3432.5885454857671</v>
      </c>
      <c r="D40" s="686">
        <f ca="1">tertiair!C20</f>
        <v>0</v>
      </c>
      <c r="E40" s="686">
        <f ca="1">tertiair!D20</f>
        <v>4646.6146920600004</v>
      </c>
      <c r="F40" s="686">
        <f>tertiair!E20</f>
        <v>37.796592079268216</v>
      </c>
      <c r="G40" s="686">
        <f ca="1">tertiair!F20</f>
        <v>863.72893260016872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8980.7287622252043</v>
      </c>
    </row>
    <row r="41" spans="1:18">
      <c r="A41" s="814" t="s">
        <v>224</v>
      </c>
      <c r="B41" s="821"/>
      <c r="C41" s="686">
        <f ca="1">huishoudens!B12</f>
        <v>4295.9702721994081</v>
      </c>
      <c r="D41" s="686">
        <f ca="1">huishoudens!C12</f>
        <v>0</v>
      </c>
      <c r="E41" s="686">
        <f>huishoudens!D12</f>
        <v>10893.822286600001</v>
      </c>
      <c r="F41" s="686">
        <f>huishoudens!E12</f>
        <v>318.82512220284616</v>
      </c>
      <c r="G41" s="686">
        <f>huishoudens!F12</f>
        <v>7098.0882974825063</v>
      </c>
      <c r="H41" s="686">
        <f>huishoudens!G12</f>
        <v>0</v>
      </c>
      <c r="I41" s="686">
        <f>huishoudens!H12</f>
        <v>0</v>
      </c>
      <c r="J41" s="686">
        <f>huishoudens!I12</f>
        <v>0</v>
      </c>
      <c r="K41" s="686">
        <f>huishoudens!J12</f>
        <v>255.79731335834362</v>
      </c>
      <c r="L41" s="686">
        <f>huishoudens!K12</f>
        <v>0</v>
      </c>
      <c r="M41" s="686">
        <f>huishoudens!L12</f>
        <v>0</v>
      </c>
      <c r="N41" s="686">
        <f>huishoudens!M12</f>
        <v>0</v>
      </c>
      <c r="O41" s="686">
        <f>huishoudens!N12</f>
        <v>0</v>
      </c>
      <c r="P41" s="686">
        <f>huishoudens!O12</f>
        <v>0</v>
      </c>
      <c r="Q41" s="763">
        <f>huishoudens!P12</f>
        <v>0</v>
      </c>
      <c r="R41" s="842">
        <f t="shared" ca="1" si="4"/>
        <v>22862.503291843106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5708.0497894855225</v>
      </c>
      <c r="D43" s="686">
        <f ca="1">industrie!C22</f>
        <v>0</v>
      </c>
      <c r="E43" s="686">
        <f>industrie!D22</f>
        <v>33195.284508452001</v>
      </c>
      <c r="F43" s="686">
        <f>industrie!E22</f>
        <v>412.90841600688447</v>
      </c>
      <c r="G43" s="686">
        <f>industrie!F22</f>
        <v>2198.6560136245762</v>
      </c>
      <c r="H43" s="686">
        <f>industrie!G22</f>
        <v>0</v>
      </c>
      <c r="I43" s="686">
        <f>industrie!H22</f>
        <v>0</v>
      </c>
      <c r="J43" s="686">
        <f>industrie!I22</f>
        <v>0</v>
      </c>
      <c r="K43" s="686">
        <f>industrie!J22</f>
        <v>25.36954138638465</v>
      </c>
      <c r="L43" s="686">
        <f>industrie!K22</f>
        <v>0</v>
      </c>
      <c r="M43" s="686">
        <f>industrie!L22</f>
        <v>0</v>
      </c>
      <c r="N43" s="686">
        <f>industrie!M22</f>
        <v>0</v>
      </c>
      <c r="O43" s="686">
        <f>industrie!N22</f>
        <v>0</v>
      </c>
      <c r="P43" s="686">
        <f>industrie!O22</f>
        <v>0</v>
      </c>
      <c r="Q43" s="763">
        <f>industrie!P22</f>
        <v>0</v>
      </c>
      <c r="R43" s="841">
        <f t="shared" ca="1" si="4"/>
        <v>41540.268268955362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13436.608607170698</v>
      </c>
      <c r="D46" s="721">
        <f t="shared" ref="D46:Q46" ca="1" si="5">SUM(D39:D45)</f>
        <v>0</v>
      </c>
      <c r="E46" s="721">
        <f t="shared" ca="1" si="5"/>
        <v>48735.721487112001</v>
      </c>
      <c r="F46" s="721">
        <f t="shared" si="5"/>
        <v>769.53013028899886</v>
      </c>
      <c r="G46" s="721">
        <f t="shared" ca="1" si="5"/>
        <v>10160.473243707253</v>
      </c>
      <c r="H46" s="721">
        <f t="shared" si="5"/>
        <v>0</v>
      </c>
      <c r="I46" s="721">
        <f t="shared" si="5"/>
        <v>0</v>
      </c>
      <c r="J46" s="721">
        <f t="shared" si="5"/>
        <v>0</v>
      </c>
      <c r="K46" s="721">
        <f t="shared" si="5"/>
        <v>281.16685474472825</v>
      </c>
      <c r="L46" s="721">
        <f t="shared" si="5"/>
        <v>0</v>
      </c>
      <c r="M46" s="721">
        <f t="shared" ca="1" si="5"/>
        <v>0</v>
      </c>
      <c r="N46" s="721">
        <f t="shared" si="5"/>
        <v>0</v>
      </c>
      <c r="O46" s="721">
        <f t="shared" ca="1" si="5"/>
        <v>0</v>
      </c>
      <c r="P46" s="721">
        <f t="shared" si="5"/>
        <v>0</v>
      </c>
      <c r="Q46" s="721">
        <f t="shared" si="5"/>
        <v>0</v>
      </c>
      <c r="R46" s="721">
        <f ca="1">SUM(R39:R45)</f>
        <v>73383.500323023676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160.3362210525805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160.3362210525805</v>
      </c>
    </row>
    <row r="50" spans="1:18">
      <c r="A50" s="817" t="s">
        <v>306</v>
      </c>
      <c r="B50" s="827"/>
      <c r="C50" s="692">
        <f ca="1">transport!B18</f>
        <v>0.7404129422514143</v>
      </c>
      <c r="D50" s="692">
        <f>transport!C18</f>
        <v>0</v>
      </c>
      <c r="E50" s="692">
        <f>transport!D18</f>
        <v>1.2235479597592331</v>
      </c>
      <c r="F50" s="692">
        <f>transport!E18</f>
        <v>54.035605149916528</v>
      </c>
      <c r="G50" s="692">
        <f>transport!F18</f>
        <v>0</v>
      </c>
      <c r="H50" s="692">
        <f>transport!G18</f>
        <v>22254.908427979506</v>
      </c>
      <c r="I50" s="692">
        <f>transport!H18</f>
        <v>2818.2450916803577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25129.15308571179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0.7404129422514143</v>
      </c>
      <c r="D52" s="721">
        <f t="shared" ref="D52:Q52" ca="1" si="6">SUM(D48:D51)</f>
        <v>0</v>
      </c>
      <c r="E52" s="721">
        <f t="shared" si="6"/>
        <v>1.2235479597592331</v>
      </c>
      <c r="F52" s="721">
        <f t="shared" si="6"/>
        <v>54.035605149916528</v>
      </c>
      <c r="G52" s="721">
        <f t="shared" si="6"/>
        <v>0</v>
      </c>
      <c r="H52" s="721">
        <f t="shared" si="6"/>
        <v>22415.244649032087</v>
      </c>
      <c r="I52" s="721">
        <f t="shared" si="6"/>
        <v>2818.2450916803577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25289.489306764372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54.019433162963416</v>
      </c>
      <c r="D54" s="692">
        <f ca="1">+landbouw!C12</f>
        <v>0</v>
      </c>
      <c r="E54" s="692">
        <f>+landbouw!D12</f>
        <v>29.533810768000002</v>
      </c>
      <c r="F54" s="692">
        <f>+landbouw!E12</f>
        <v>0.80478810474640727</v>
      </c>
      <c r="G54" s="692">
        <f>+landbouw!F12</f>
        <v>259.18068642964425</v>
      </c>
      <c r="H54" s="692">
        <f>+landbouw!G12</f>
        <v>0</v>
      </c>
      <c r="I54" s="692">
        <f>+landbouw!H12</f>
        <v>0</v>
      </c>
      <c r="J54" s="692">
        <f>+landbouw!I12</f>
        <v>0</v>
      </c>
      <c r="K54" s="692">
        <f>+landbouw!J12</f>
        <v>14.978179020727984</v>
      </c>
      <c r="L54" s="692">
        <f>+landbouw!K12</f>
        <v>0</v>
      </c>
      <c r="M54" s="692">
        <f>+landbouw!L12</f>
        <v>0</v>
      </c>
      <c r="N54" s="692">
        <f>+landbouw!M12</f>
        <v>0</v>
      </c>
      <c r="O54" s="692">
        <f>+landbouw!N12</f>
        <v>0</v>
      </c>
      <c r="P54" s="692">
        <f>+landbouw!O12</f>
        <v>0</v>
      </c>
      <c r="Q54" s="693">
        <f>+landbouw!P12</f>
        <v>0</v>
      </c>
      <c r="R54" s="720">
        <f ca="1">SUM(C54:Q54)</f>
        <v>358.51689748608203</v>
      </c>
    </row>
    <row r="55" spans="1:18" ht="15" thickBot="1">
      <c r="A55" s="817" t="s">
        <v>856</v>
      </c>
      <c r="B55" s="827"/>
      <c r="C55" s="692">
        <f ca="1">C25*'EF ele_warmte'!B12</f>
        <v>79.922633236948442</v>
      </c>
      <c r="D55" s="692"/>
      <c r="E55" s="692">
        <f>E25*EF_CO2_aardgas</f>
        <v>845.78975600000012</v>
      </c>
      <c r="F55" s="692"/>
      <c r="G55" s="692"/>
      <c r="H55" s="692"/>
      <c r="I55" s="692"/>
      <c r="J55" s="692"/>
      <c r="K55" s="692"/>
      <c r="L55" s="692"/>
      <c r="M55" s="692"/>
      <c r="N55" s="692"/>
      <c r="O55" s="692"/>
      <c r="P55" s="692"/>
      <c r="Q55" s="693"/>
      <c r="R55" s="720">
        <f ca="1">SUM(C55:Q55)</f>
        <v>925.71238923694852</v>
      </c>
    </row>
    <row r="56" spans="1:18" ht="15.75" thickBot="1">
      <c r="A56" s="815" t="s">
        <v>857</v>
      </c>
      <c r="B56" s="828"/>
      <c r="C56" s="721">
        <f ca="1">SUM(C54:C55)</f>
        <v>133.94206639991185</v>
      </c>
      <c r="D56" s="721">
        <f t="shared" ref="D56:Q56" ca="1" si="7">SUM(D54:D55)</f>
        <v>0</v>
      </c>
      <c r="E56" s="721">
        <f t="shared" si="7"/>
        <v>875.32356676800009</v>
      </c>
      <c r="F56" s="721">
        <f t="shared" si="7"/>
        <v>0.80478810474640727</v>
      </c>
      <c r="G56" s="721">
        <f t="shared" si="7"/>
        <v>259.18068642964425</v>
      </c>
      <c r="H56" s="721">
        <f t="shared" si="7"/>
        <v>0</v>
      </c>
      <c r="I56" s="721">
        <f t="shared" si="7"/>
        <v>0</v>
      </c>
      <c r="J56" s="721">
        <f t="shared" si="7"/>
        <v>0</v>
      </c>
      <c r="K56" s="721">
        <f t="shared" si="7"/>
        <v>14.978179020727984</v>
      </c>
      <c r="L56" s="721">
        <f t="shared" si="7"/>
        <v>0</v>
      </c>
      <c r="M56" s="721">
        <f t="shared" si="7"/>
        <v>0</v>
      </c>
      <c r="N56" s="721">
        <f t="shared" si="7"/>
        <v>0</v>
      </c>
      <c r="O56" s="721">
        <f t="shared" si="7"/>
        <v>0</v>
      </c>
      <c r="P56" s="721">
        <f t="shared" si="7"/>
        <v>0</v>
      </c>
      <c r="Q56" s="722">
        <f t="shared" si="7"/>
        <v>0</v>
      </c>
      <c r="R56" s="723">
        <f ca="1">SUM(R54:R55)</f>
        <v>1284.2292867230306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13571.291086512862</v>
      </c>
      <c r="D61" s="729">
        <f t="shared" ref="D61:Q61" ca="1" si="8">D46+D52+D56</f>
        <v>0</v>
      </c>
      <c r="E61" s="729">
        <f t="shared" ca="1" si="8"/>
        <v>49612.268601839758</v>
      </c>
      <c r="F61" s="729">
        <f t="shared" si="8"/>
        <v>824.37052354366176</v>
      </c>
      <c r="G61" s="729">
        <f t="shared" ca="1" si="8"/>
        <v>10419.653930136898</v>
      </c>
      <c r="H61" s="729">
        <f t="shared" si="8"/>
        <v>22415.244649032087</v>
      </c>
      <c r="I61" s="729">
        <f t="shared" si="8"/>
        <v>2818.2450916803577</v>
      </c>
      <c r="J61" s="729">
        <f t="shared" si="8"/>
        <v>0</v>
      </c>
      <c r="K61" s="729">
        <f t="shared" si="8"/>
        <v>296.14503376545622</v>
      </c>
      <c r="L61" s="729">
        <f t="shared" si="8"/>
        <v>0</v>
      </c>
      <c r="M61" s="729">
        <f t="shared" ca="1" si="8"/>
        <v>0</v>
      </c>
      <c r="N61" s="729">
        <f t="shared" si="8"/>
        <v>0</v>
      </c>
      <c r="O61" s="729">
        <f t="shared" ca="1" si="8"/>
        <v>0</v>
      </c>
      <c r="P61" s="729">
        <f t="shared" si="8"/>
        <v>0</v>
      </c>
      <c r="Q61" s="729">
        <f t="shared" si="8"/>
        <v>0</v>
      </c>
      <c r="R61" s="729">
        <f ca="1">R46+R52+R56</f>
        <v>99957.218916511076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0.19200355847591016</v>
      </c>
      <c r="D63" s="772">
        <f t="shared" ca="1" si="9"/>
        <v>0</v>
      </c>
      <c r="E63" s="998">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9273.9407794708968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9273.9407794708968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9273.9407794708968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9273.9407794708968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22374.430486080833</v>
      </c>
      <c r="C4" s="458">
        <f>huishoudens!C8</f>
        <v>0</v>
      </c>
      <c r="D4" s="458">
        <f>huishoudens!D8</f>
        <v>53929.813300000002</v>
      </c>
      <c r="E4" s="458">
        <f>huishoudens!E8</f>
        <v>1404.5159568407319</v>
      </c>
      <c r="F4" s="458">
        <f>huishoudens!F8</f>
        <v>26584.600365103019</v>
      </c>
      <c r="G4" s="458">
        <f>huishoudens!G8</f>
        <v>0</v>
      </c>
      <c r="H4" s="458">
        <f>huishoudens!H8</f>
        <v>0</v>
      </c>
      <c r="I4" s="458">
        <f>huishoudens!I8</f>
        <v>0</v>
      </c>
      <c r="J4" s="458">
        <f>huishoudens!J8</f>
        <v>722.59128067328709</v>
      </c>
      <c r="K4" s="458">
        <f>huishoudens!K8</f>
        <v>0</v>
      </c>
      <c r="L4" s="458">
        <f>huishoudens!L8</f>
        <v>0</v>
      </c>
      <c r="M4" s="458">
        <f>huishoudens!M8</f>
        <v>0</v>
      </c>
      <c r="N4" s="458">
        <f>huishoudens!N8</f>
        <v>3906.1943177921153</v>
      </c>
      <c r="O4" s="458">
        <f>huishoudens!O8</f>
        <v>59.406666666666666</v>
      </c>
      <c r="P4" s="459">
        <f>huishoudens!P8</f>
        <v>19.066666666666666</v>
      </c>
      <c r="Q4" s="460">
        <f>SUM(B4:P4)</f>
        <v>109000.6190398233</v>
      </c>
    </row>
    <row r="5" spans="1:17">
      <c r="A5" s="457" t="s">
        <v>155</v>
      </c>
      <c r="B5" s="458">
        <f ca="1">tertiair!B16</f>
        <v>17059.859</v>
      </c>
      <c r="C5" s="458">
        <f ca="1">tertiair!C16</f>
        <v>0</v>
      </c>
      <c r="D5" s="458">
        <f ca="1">tertiair!D16</f>
        <v>23003.043030000001</v>
      </c>
      <c r="E5" s="458">
        <f>tertiair!E16</f>
        <v>166.50481092188642</v>
      </c>
      <c r="F5" s="458">
        <f ca="1">tertiair!F16</f>
        <v>3234.9398224725419</v>
      </c>
      <c r="G5" s="458">
        <f>tertiair!G16</f>
        <v>0</v>
      </c>
      <c r="H5" s="458">
        <f>tertiair!H16</f>
        <v>0</v>
      </c>
      <c r="I5" s="458">
        <f>tertiair!I16</f>
        <v>0</v>
      </c>
      <c r="J5" s="458">
        <f>tertiair!J16</f>
        <v>0</v>
      </c>
      <c r="K5" s="458">
        <f>tertiair!K16</f>
        <v>0</v>
      </c>
      <c r="L5" s="458">
        <f ca="1">tertiair!L16</f>
        <v>0</v>
      </c>
      <c r="M5" s="458">
        <f>tertiair!M16</f>
        <v>0</v>
      </c>
      <c r="N5" s="458">
        <f ca="1">tertiair!N16</f>
        <v>1432.3589498926567</v>
      </c>
      <c r="O5" s="458">
        <f>tertiair!O16</f>
        <v>1.5633333333333335</v>
      </c>
      <c r="P5" s="459">
        <f>tertiair!P16</f>
        <v>0</v>
      </c>
      <c r="Q5" s="457">
        <f t="shared" ref="Q5:Q14" ca="1" si="0">SUM(B5:P5)</f>
        <v>44898.268946620417</v>
      </c>
    </row>
    <row r="6" spans="1:17">
      <c r="A6" s="457" t="s">
        <v>193</v>
      </c>
      <c r="B6" s="458">
        <f>'openbare verlichting'!B8</f>
        <v>817.875</v>
      </c>
      <c r="C6" s="458"/>
      <c r="D6" s="458"/>
      <c r="E6" s="458"/>
      <c r="F6" s="458"/>
      <c r="G6" s="458"/>
      <c r="H6" s="458"/>
      <c r="I6" s="458"/>
      <c r="J6" s="458"/>
      <c r="K6" s="458"/>
      <c r="L6" s="458"/>
      <c r="M6" s="458"/>
      <c r="N6" s="458"/>
      <c r="O6" s="458"/>
      <c r="P6" s="459"/>
      <c r="Q6" s="457">
        <f t="shared" si="0"/>
        <v>817.875</v>
      </c>
    </row>
    <row r="7" spans="1:17">
      <c r="A7" s="457" t="s">
        <v>111</v>
      </c>
      <c r="B7" s="458">
        <f>landbouw!B8</f>
        <v>281.346</v>
      </c>
      <c r="C7" s="458">
        <f>landbouw!C8</f>
        <v>0</v>
      </c>
      <c r="D7" s="458">
        <f>landbouw!D8</f>
        <v>146.20698400000001</v>
      </c>
      <c r="E7" s="458">
        <f>landbouw!E8</f>
        <v>3.545322047341001</v>
      </c>
      <c r="F7" s="458">
        <f>landbouw!F8</f>
        <v>970.71418138443539</v>
      </c>
      <c r="G7" s="458">
        <f>landbouw!G8</f>
        <v>0</v>
      </c>
      <c r="H7" s="458">
        <f>landbouw!H8</f>
        <v>0</v>
      </c>
      <c r="I7" s="458">
        <f>landbouw!I8</f>
        <v>0</v>
      </c>
      <c r="J7" s="458">
        <f>landbouw!J8</f>
        <v>42.311240171547979</v>
      </c>
      <c r="K7" s="458">
        <f>landbouw!K8</f>
        <v>0</v>
      </c>
      <c r="L7" s="458">
        <f>landbouw!L8</f>
        <v>0</v>
      </c>
      <c r="M7" s="458">
        <f>landbouw!M8</f>
        <v>0</v>
      </c>
      <c r="N7" s="458">
        <f>landbouw!N8</f>
        <v>0</v>
      </c>
      <c r="O7" s="458">
        <f>landbouw!O8</f>
        <v>0</v>
      </c>
      <c r="P7" s="459">
        <f>landbouw!P8</f>
        <v>0</v>
      </c>
      <c r="Q7" s="457">
        <f t="shared" si="0"/>
        <v>1444.1237276033244</v>
      </c>
    </row>
    <row r="8" spans="1:17">
      <c r="A8" s="457" t="s">
        <v>655</v>
      </c>
      <c r="B8" s="458">
        <f>industrie!B18</f>
        <v>29728.875</v>
      </c>
      <c r="C8" s="458">
        <f>industrie!C18</f>
        <v>0</v>
      </c>
      <c r="D8" s="458">
        <f>industrie!D18</f>
        <v>164333.09162600001</v>
      </c>
      <c r="E8" s="458">
        <f>industrie!E18</f>
        <v>1818.979806197729</v>
      </c>
      <c r="F8" s="458">
        <f>industrie!F18</f>
        <v>8234.6667176950414</v>
      </c>
      <c r="G8" s="458">
        <f>industrie!G18</f>
        <v>0</v>
      </c>
      <c r="H8" s="458">
        <f>industrie!H18</f>
        <v>0</v>
      </c>
      <c r="I8" s="458">
        <f>industrie!I18</f>
        <v>0</v>
      </c>
      <c r="J8" s="458">
        <f>industrie!J18</f>
        <v>71.665371147979243</v>
      </c>
      <c r="K8" s="458">
        <f>industrie!K18</f>
        <v>0</v>
      </c>
      <c r="L8" s="458">
        <f>industrie!L18</f>
        <v>0</v>
      </c>
      <c r="M8" s="458">
        <f>industrie!M18</f>
        <v>0</v>
      </c>
      <c r="N8" s="458">
        <f>industrie!N18</f>
        <v>1604.1382587506359</v>
      </c>
      <c r="O8" s="458">
        <f>industrie!O18</f>
        <v>0</v>
      </c>
      <c r="P8" s="459">
        <f>industrie!P18</f>
        <v>0</v>
      </c>
      <c r="Q8" s="457">
        <f t="shared" si="0"/>
        <v>205791.41677979138</v>
      </c>
    </row>
    <row r="9" spans="1:17" s="463" customFormat="1">
      <c r="A9" s="461" t="s">
        <v>573</v>
      </c>
      <c r="B9" s="462">
        <f>transport!B14</f>
        <v>3.8562459369434587</v>
      </c>
      <c r="C9" s="462">
        <f>transport!C14</f>
        <v>0</v>
      </c>
      <c r="D9" s="462">
        <f>transport!D14</f>
        <v>6.0571681176199652</v>
      </c>
      <c r="E9" s="462">
        <f>transport!E14</f>
        <v>238.04231343575563</v>
      </c>
      <c r="F9" s="462">
        <f>transport!F14</f>
        <v>0</v>
      </c>
      <c r="G9" s="462">
        <f>transport!G14</f>
        <v>83351.716958724734</v>
      </c>
      <c r="H9" s="462">
        <f>transport!H14</f>
        <v>11318.2533802424</v>
      </c>
      <c r="I9" s="462">
        <f>transport!I14</f>
        <v>0</v>
      </c>
      <c r="J9" s="462">
        <f>transport!J14</f>
        <v>0</v>
      </c>
      <c r="K9" s="462">
        <f>transport!K14</f>
        <v>0</v>
      </c>
      <c r="L9" s="462">
        <f>transport!L14</f>
        <v>0</v>
      </c>
      <c r="M9" s="462">
        <f>transport!M14</f>
        <v>4279.3440728367914</v>
      </c>
      <c r="N9" s="462">
        <f>transport!N14</f>
        <v>0</v>
      </c>
      <c r="O9" s="462">
        <f>transport!O14</f>
        <v>0</v>
      </c>
      <c r="P9" s="462">
        <f>transport!P14</f>
        <v>0</v>
      </c>
      <c r="Q9" s="461">
        <f>SUM(B9:P9)</f>
        <v>99197.27013929424</v>
      </c>
    </row>
    <row r="10" spans="1:17">
      <c r="A10" s="457" t="s">
        <v>563</v>
      </c>
      <c r="B10" s="458">
        <f>transport!B54</f>
        <v>0</v>
      </c>
      <c r="C10" s="458">
        <f>transport!C54</f>
        <v>0</v>
      </c>
      <c r="D10" s="458">
        <f>transport!D54</f>
        <v>0</v>
      </c>
      <c r="E10" s="458">
        <f>transport!E54</f>
        <v>0</v>
      </c>
      <c r="F10" s="458">
        <f>transport!F54</f>
        <v>0</v>
      </c>
      <c r="G10" s="458">
        <f>transport!G54</f>
        <v>600.51019120816659</v>
      </c>
      <c r="H10" s="458">
        <f>transport!H54</f>
        <v>0</v>
      </c>
      <c r="I10" s="458">
        <f>transport!I54</f>
        <v>0</v>
      </c>
      <c r="J10" s="458">
        <f>transport!J54</f>
        <v>0</v>
      </c>
      <c r="K10" s="458">
        <f>transport!K54</f>
        <v>0</v>
      </c>
      <c r="L10" s="458">
        <f>transport!L54</f>
        <v>0</v>
      </c>
      <c r="M10" s="458">
        <f>transport!M54</f>
        <v>26.729205408063113</v>
      </c>
      <c r="N10" s="458">
        <f>transport!N54</f>
        <v>0</v>
      </c>
      <c r="O10" s="458">
        <f>transport!O54</f>
        <v>0</v>
      </c>
      <c r="P10" s="459">
        <f>transport!P54</f>
        <v>0</v>
      </c>
      <c r="Q10" s="457">
        <f t="shared" si="0"/>
        <v>627.23939661622967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416.25599999999997</v>
      </c>
      <c r="C14" s="465"/>
      <c r="D14" s="465">
        <f>'SEAP template'!E25</f>
        <v>4187.0780000000004</v>
      </c>
      <c r="E14" s="465"/>
      <c r="F14" s="465"/>
      <c r="G14" s="465"/>
      <c r="H14" s="465"/>
      <c r="I14" s="465"/>
      <c r="J14" s="465"/>
      <c r="K14" s="465"/>
      <c r="L14" s="465"/>
      <c r="M14" s="465"/>
      <c r="N14" s="465"/>
      <c r="O14" s="465"/>
      <c r="P14" s="466"/>
      <c r="Q14" s="457">
        <f t="shared" si="0"/>
        <v>4603.3340000000007</v>
      </c>
    </row>
    <row r="15" spans="1:17" s="470" customFormat="1">
      <c r="A15" s="467" t="s">
        <v>567</v>
      </c>
      <c r="B15" s="468">
        <f ca="1">SUM(B4:B14)</f>
        <v>70682.497732017771</v>
      </c>
      <c r="C15" s="468">
        <f t="shared" ref="C15:Q15" ca="1" si="1">SUM(C4:C14)</f>
        <v>0</v>
      </c>
      <c r="D15" s="468">
        <f t="shared" ca="1" si="1"/>
        <v>245605.29010811765</v>
      </c>
      <c r="E15" s="468">
        <f t="shared" si="1"/>
        <v>3631.5882094434442</v>
      </c>
      <c r="F15" s="468">
        <f t="shared" ca="1" si="1"/>
        <v>39024.921086655035</v>
      </c>
      <c r="G15" s="468">
        <f t="shared" si="1"/>
        <v>83952.227149932907</v>
      </c>
      <c r="H15" s="468">
        <f t="shared" si="1"/>
        <v>11318.2533802424</v>
      </c>
      <c r="I15" s="468">
        <f t="shared" si="1"/>
        <v>0</v>
      </c>
      <c r="J15" s="468">
        <f t="shared" si="1"/>
        <v>836.56789199281434</v>
      </c>
      <c r="K15" s="468">
        <f t="shared" si="1"/>
        <v>0</v>
      </c>
      <c r="L15" s="468">
        <f t="shared" ca="1" si="1"/>
        <v>0</v>
      </c>
      <c r="M15" s="468">
        <f t="shared" si="1"/>
        <v>4306.0732782448549</v>
      </c>
      <c r="N15" s="468">
        <f t="shared" ca="1" si="1"/>
        <v>6942.6915264354084</v>
      </c>
      <c r="O15" s="468">
        <f t="shared" si="1"/>
        <v>60.97</v>
      </c>
      <c r="P15" s="468">
        <f t="shared" si="1"/>
        <v>19.066666666666666</v>
      </c>
      <c r="Q15" s="468">
        <f t="shared" ca="1" si="1"/>
        <v>466380.14702974883</v>
      </c>
    </row>
    <row r="17" spans="1:17">
      <c r="A17" s="471" t="s">
        <v>568</v>
      </c>
      <c r="B17" s="777">
        <f ca="1">huishoudens!B10</f>
        <v>0.19200355847591014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4295.9702721994081</v>
      </c>
      <c r="C22" s="458">
        <f t="shared" ref="C22:C32" ca="1" si="3">C4*$C$17</f>
        <v>0</v>
      </c>
      <c r="D22" s="458">
        <f t="shared" ref="D22:D32" si="4">D4*$D$17</f>
        <v>10893.822286600001</v>
      </c>
      <c r="E22" s="458">
        <f t="shared" ref="E22:E32" si="5">E4*$E$17</f>
        <v>318.82512220284616</v>
      </c>
      <c r="F22" s="458">
        <f t="shared" ref="F22:F32" si="6">F4*$F$17</f>
        <v>7098.0882974825063</v>
      </c>
      <c r="G22" s="458">
        <f t="shared" ref="G22:G32" si="7">G4*$G$17</f>
        <v>0</v>
      </c>
      <c r="H22" s="458">
        <f t="shared" ref="H22:H32" si="8">H4*$H$17</f>
        <v>0</v>
      </c>
      <c r="I22" s="458">
        <f t="shared" ref="I22:I32" si="9">I4*$I$17</f>
        <v>0</v>
      </c>
      <c r="J22" s="458">
        <f t="shared" ref="J22:J32" si="10">J4*$J$17</f>
        <v>255.79731335834362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22862.503291843106</v>
      </c>
    </row>
    <row r="23" spans="1:17">
      <c r="A23" s="457" t="s">
        <v>155</v>
      </c>
      <c r="B23" s="458">
        <f t="shared" ca="1" si="2"/>
        <v>3275.553635097282</v>
      </c>
      <c r="C23" s="458">
        <f t="shared" ca="1" si="3"/>
        <v>0</v>
      </c>
      <c r="D23" s="458">
        <f t="shared" ca="1" si="4"/>
        <v>4646.6146920600004</v>
      </c>
      <c r="E23" s="458">
        <f t="shared" si="5"/>
        <v>37.796592079268216</v>
      </c>
      <c r="F23" s="458">
        <f t="shared" ca="1" si="6"/>
        <v>863.72893260016872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8823.6938518367187</v>
      </c>
    </row>
    <row r="24" spans="1:17">
      <c r="A24" s="457" t="s">
        <v>193</v>
      </c>
      <c r="B24" s="458">
        <f t="shared" ca="1" si="2"/>
        <v>157.034910388485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157.034910388485</v>
      </c>
    </row>
    <row r="25" spans="1:17">
      <c r="A25" s="457" t="s">
        <v>111</v>
      </c>
      <c r="B25" s="458">
        <f t="shared" ca="1" si="2"/>
        <v>54.019433162963416</v>
      </c>
      <c r="C25" s="458">
        <f t="shared" ca="1" si="3"/>
        <v>0</v>
      </c>
      <c r="D25" s="458">
        <f t="shared" si="4"/>
        <v>29.533810768000002</v>
      </c>
      <c r="E25" s="458">
        <f t="shared" si="5"/>
        <v>0.80478810474640727</v>
      </c>
      <c r="F25" s="458">
        <f t="shared" si="6"/>
        <v>259.18068642964425</v>
      </c>
      <c r="G25" s="458">
        <f t="shared" si="7"/>
        <v>0</v>
      </c>
      <c r="H25" s="458">
        <f t="shared" si="8"/>
        <v>0</v>
      </c>
      <c r="I25" s="458">
        <f t="shared" si="9"/>
        <v>0</v>
      </c>
      <c r="J25" s="458">
        <f t="shared" si="10"/>
        <v>14.978179020727984</v>
      </c>
      <c r="K25" s="458">
        <f t="shared" si="11"/>
        <v>0</v>
      </c>
      <c r="L25" s="458">
        <f t="shared" si="12"/>
        <v>0</v>
      </c>
      <c r="M25" s="458">
        <f t="shared" si="13"/>
        <v>0</v>
      </c>
      <c r="N25" s="458">
        <f t="shared" si="14"/>
        <v>0</v>
      </c>
      <c r="O25" s="458">
        <f t="shared" si="15"/>
        <v>0</v>
      </c>
      <c r="P25" s="459">
        <f t="shared" si="16"/>
        <v>0</v>
      </c>
      <c r="Q25" s="457">
        <f t="shared" ca="1" si="17"/>
        <v>358.51689748608203</v>
      </c>
    </row>
    <row r="26" spans="1:17">
      <c r="A26" s="457" t="s">
        <v>655</v>
      </c>
      <c r="B26" s="458">
        <f t="shared" ca="1" si="2"/>
        <v>5708.0497894855225</v>
      </c>
      <c r="C26" s="458">
        <f t="shared" ca="1" si="3"/>
        <v>0</v>
      </c>
      <c r="D26" s="458">
        <f t="shared" si="4"/>
        <v>33195.284508452001</v>
      </c>
      <c r="E26" s="458">
        <f t="shared" si="5"/>
        <v>412.90841600688447</v>
      </c>
      <c r="F26" s="458">
        <f t="shared" si="6"/>
        <v>2198.6560136245762</v>
      </c>
      <c r="G26" s="458">
        <f t="shared" si="7"/>
        <v>0</v>
      </c>
      <c r="H26" s="458">
        <f t="shared" si="8"/>
        <v>0</v>
      </c>
      <c r="I26" s="458">
        <f t="shared" si="9"/>
        <v>0</v>
      </c>
      <c r="J26" s="458">
        <f t="shared" si="10"/>
        <v>25.36954138638465</v>
      </c>
      <c r="K26" s="458">
        <f t="shared" si="11"/>
        <v>0</v>
      </c>
      <c r="L26" s="458">
        <f t="shared" si="12"/>
        <v>0</v>
      </c>
      <c r="M26" s="458">
        <f t="shared" si="13"/>
        <v>0</v>
      </c>
      <c r="N26" s="458">
        <f t="shared" si="14"/>
        <v>0</v>
      </c>
      <c r="O26" s="458">
        <f t="shared" si="15"/>
        <v>0</v>
      </c>
      <c r="P26" s="459">
        <f t="shared" si="16"/>
        <v>0</v>
      </c>
      <c r="Q26" s="457">
        <f t="shared" ca="1" si="17"/>
        <v>41540.268268955362</v>
      </c>
    </row>
    <row r="27" spans="1:17" s="463" customFormat="1">
      <c r="A27" s="461" t="s">
        <v>573</v>
      </c>
      <c r="B27" s="771">
        <f t="shared" ca="1" si="2"/>
        <v>0.7404129422514143</v>
      </c>
      <c r="C27" s="462">
        <f t="shared" ca="1" si="3"/>
        <v>0</v>
      </c>
      <c r="D27" s="462">
        <f t="shared" si="4"/>
        <v>1.2235479597592331</v>
      </c>
      <c r="E27" s="462">
        <f t="shared" si="5"/>
        <v>54.035605149916528</v>
      </c>
      <c r="F27" s="462">
        <f t="shared" si="6"/>
        <v>0</v>
      </c>
      <c r="G27" s="462">
        <f t="shared" si="7"/>
        <v>22254.908427979506</v>
      </c>
      <c r="H27" s="462">
        <f t="shared" si="8"/>
        <v>2818.2450916803577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25129.15308571179</v>
      </c>
    </row>
    <row r="28" spans="1:17">
      <c r="A28" s="457" t="s">
        <v>563</v>
      </c>
      <c r="B28" s="458">
        <f t="shared" ca="1" si="2"/>
        <v>0</v>
      </c>
      <c r="C28" s="458">
        <f t="shared" ca="1" si="3"/>
        <v>0</v>
      </c>
      <c r="D28" s="458">
        <f t="shared" si="4"/>
        <v>0</v>
      </c>
      <c r="E28" s="458">
        <f t="shared" si="5"/>
        <v>0</v>
      </c>
      <c r="F28" s="458">
        <f t="shared" si="6"/>
        <v>0</v>
      </c>
      <c r="G28" s="458">
        <f t="shared" si="7"/>
        <v>160.3362210525805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160.3362210525805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79.922633236948442</v>
      </c>
      <c r="C32" s="458">
        <f t="shared" ca="1" si="3"/>
        <v>0</v>
      </c>
      <c r="D32" s="458">
        <f t="shared" si="4"/>
        <v>845.78975600000012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925.71238923694852</v>
      </c>
    </row>
    <row r="33" spans="1:17" s="470" customFormat="1">
      <c r="A33" s="467" t="s">
        <v>567</v>
      </c>
      <c r="B33" s="468">
        <f ca="1">SUM(B22:B32)</f>
        <v>13571.291086512862</v>
      </c>
      <c r="C33" s="468">
        <f t="shared" ref="C33:Q33" ca="1" si="18">SUM(C22:C32)</f>
        <v>0</v>
      </c>
      <c r="D33" s="468">
        <f t="shared" ca="1" si="18"/>
        <v>49612.268601839758</v>
      </c>
      <c r="E33" s="468">
        <f t="shared" si="18"/>
        <v>824.37052354366176</v>
      </c>
      <c r="F33" s="468">
        <f t="shared" ca="1" si="18"/>
        <v>10419.653930136898</v>
      </c>
      <c r="G33" s="468">
        <f t="shared" si="18"/>
        <v>22415.244649032087</v>
      </c>
      <c r="H33" s="468">
        <f t="shared" si="18"/>
        <v>2818.2450916803577</v>
      </c>
      <c r="I33" s="468">
        <f t="shared" si="18"/>
        <v>0</v>
      </c>
      <c r="J33" s="468">
        <f t="shared" si="18"/>
        <v>296.14503376545622</v>
      </c>
      <c r="K33" s="468">
        <f t="shared" si="18"/>
        <v>0</v>
      </c>
      <c r="L33" s="468">
        <f t="shared" ca="1" si="18"/>
        <v>0</v>
      </c>
      <c r="M33" s="468">
        <f t="shared" si="18"/>
        <v>0</v>
      </c>
      <c r="N33" s="468">
        <f t="shared" ca="1" si="18"/>
        <v>0</v>
      </c>
      <c r="O33" s="468">
        <f t="shared" si="18"/>
        <v>0</v>
      </c>
      <c r="P33" s="468">
        <f t="shared" si="18"/>
        <v>0</v>
      </c>
      <c r="Q33" s="468">
        <f t="shared" ca="1" si="18"/>
        <v>99957.218916511076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9273.9407794708968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9273.9407794708968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0.19200355847591014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0.19200355847591014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2020-06-20T16:21:18Z</dcterms:modified>
</cp:coreProperties>
</file>