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G12" i="18"/>
  <c r="F12" i="18"/>
  <c r="E12" i="18"/>
  <c r="D12" i="18"/>
  <c r="C12" i="18"/>
  <c r="L10" i="18"/>
  <c r="K10" i="18"/>
  <c r="G10" i="18"/>
  <c r="D10" i="18"/>
  <c r="B6" i="18"/>
  <c r="B5" i="18"/>
  <c r="B4" i="18"/>
  <c r="I49" i="18" l="1"/>
  <c r="H17" i="18" s="1"/>
  <c r="G49" i="18"/>
  <c r="F49" i="18"/>
  <c r="C49" i="18"/>
  <c r="B49" i="18"/>
  <c r="C17" i="18" s="1"/>
  <c r="C20" i="18" s="1"/>
  <c r="B17" i="18"/>
  <c r="B20" i="18"/>
  <c r="C45" i="18"/>
  <c r="E48" i="18" s="1"/>
  <c r="E8" i="18" s="1"/>
  <c r="E10" i="18" s="1"/>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E20" i="15"/>
  <c r="F40" i="14" s="1"/>
  <c r="F46" i="14" s="1"/>
  <c r="F61"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F63" i="14" s="1"/>
  <c r="E8" i="48"/>
  <c r="E26" i="48" s="1"/>
  <c r="J22" i="16"/>
  <c r="K43" i="14" s="1"/>
  <c r="K46" i="14" s="1"/>
  <c r="K61" i="14" s="1"/>
  <c r="K63" i="14" s="1"/>
  <c r="K13" i="14"/>
  <c r="K16" i="14" s="1"/>
  <c r="K27" i="14" s="1"/>
  <c r="J8" i="48"/>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<sst xmlns="http://schemas.openxmlformats.org/spreadsheetml/2006/main" count="2456" uniqueCount="926">
  <si>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</si>
  <si>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</si>
  <si>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</si>
  <si>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</si>
  <si>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</si>
  <si>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</si>
  <si>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</si>
  <si>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</si>
  <si>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</si>
  <si>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</si>
  <si>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</si>
  <si>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</si>
  <si>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</si>
  <si>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</si>
  <si>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</si>
  <si>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</si>
  <si>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</si>
  <si>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</si>
  <si>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</si>
  <si>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</si>
  <si>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</si>
  <si>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</si>
  <si>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</si>
  <si>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</si>
  <si>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</si>
  <si>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</si>
  <si>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</si>
  <si>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</si>
  <si>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</si>
  <si>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</si>
  <si>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</si>
  <si>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</si>
  <si>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</si>
  <si>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</si>
  <si>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</si>
  <si>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</si>
  <si>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</si>
  <si>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</si>
  <si>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</si>
  <si>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</si>
  <si>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</si>
  <si>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</si>
  <si>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</si>
  <si>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</si>
  <si>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</si>
  <si>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</si>
  <si>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</si>
  <si>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</si>
  <si>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</si>
  <si>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</si>
  <si>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</si>
  <si>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</si>
  <si>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</si>
  <si>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</si>
  <si>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</si>
  <si>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</si>
  <si>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</si>
  <si>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</si>
  <si>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</si>
  <si>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</si>
  <si>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</si>
  <si>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</si>
  <si>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</si>
  <si>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</si>
  <si>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</si>
  <si>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</si>
  <si>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</si>
  <si>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</si>
  <si>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</si>
  <si>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</si>
  <si>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</si>
  <si>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</si>
  <si>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</si>
  <si>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</si>
  <si>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</si>
  <si>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</si>
  <si>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</si>
  <si>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</si>
  <si>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</si>
  <si>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</si>
  <si>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</si>
  <si>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</si>
  <si>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</si>
  <si>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</si>
  <si>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</si>
  <si>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</si>
  <si>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</si>
  <si>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</si>
  <si>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</si>
  <si>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</si>
  <si>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</si>
  <si>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</si>
  <si>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</si>
  <si>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</si>
  <si>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</si>
  <si>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</si>
  <si>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</si>
  <si>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</si>
  <si>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</si>
  <si>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</si>
  <si>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</si>
  <si>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</si>
  <si>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</si>
  <si>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</si>
  <si>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</si>
  <si>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</si>
  <si>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</si>
  <si>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</si>
  <si>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</si>
  <si>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</si>
  <si>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</si>
  <si>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</si>
  <si>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</si>
  <si>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</si>
  <si>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</si>
  <si>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</si>
  <si>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</si>
  <si>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</si>
  <si>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</si>
  <si>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</si>
  <si>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</si>
  <si>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</si>
  <si>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</si>
  <si>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</si>
  <si>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</si>
  <si>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</si>
  <si>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</si>
  <si>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</si>
  <si>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</si>
  <si>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</si>
  <si>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</si>
  <si>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</si>
  <si>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</si>
  <si>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</si>
  <si>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</si>
  <si>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</si>
  <si>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</si>
  <si>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</si>
  <si>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</si>
  <si>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</si>
  <si>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</si>
  <si>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</si>
  <si>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</si>
  <si>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</si>
  <si>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</si>
  <si>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</si>
  <si>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</si>
  <si>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</si>
  <si>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</si>
  <si>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</si>
  <si>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</si>
  <si>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</si>
  <si>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</si>
  <si>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</si>
  <si>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</si>
  <si>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</si>
  <si>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</si>
  <si>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</si>
  <si>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</si>
  <si>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</si>
  <si>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</si>
  <si>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</si>
  <si>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</si>
  <si>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</si>
  <si>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</si>
  <si>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</si>
  <si>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</si>
  <si>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</si>
  <si>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</si>
  <si>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</si>
  <si>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</si>
  <si>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</si>
  <si>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</si>
  <si>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</si>
  <si>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</si>
  <si>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</si>
  <si>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</si>
  <si>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</si>
  <si>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</si>
  <si>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</si>
  <si>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</si>
  <si>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</si>
  <si>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</si>
  <si>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</si>
  <si>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</si>
  <si>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</si>
  <si>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</si>
  <si>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</si>
  <si>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</si>
  <si>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</si>
  <si>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</si>
  <si>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</si>
  <si>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</si>
  <si>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</si>
  <si>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</si>
  <si>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</si>
  <si>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</si>
  <si>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</si>
  <si>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</si>
  <si>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</si>
  <si>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</si>
  <si>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</si>
  <si>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</si>
  <si>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</si>
  <si>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</si>
  <si>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</si>
  <si>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</si>
  <si>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</si>
  <si>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</si>
  <si>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</si>
  <si>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</si>
  <si>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</si>
  <si>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</si>
  <si>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</si>
  <si>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</si>
  <si>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</si>
  <si>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</si>
  <si>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</si>
  <si>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</si>
  <si>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</si>
  <si>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</si>
  <si>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</si>
  <si>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</si>
  <si>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</si>
  <si>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</si>
  <si>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</si>
  <si>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</si>
  <si>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</si>
  <si>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</si>
  <si>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</si>
  <si>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</si>
  <si>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</si>
  <si>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</si>
  <si>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</si>
  <si>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</si>
  <si>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</si>
  <si>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</si>
  <si>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</si>
  <si>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</si>
  <si>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</si>
  <si>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</si>
  <si>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</si>
  <si>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</si>
  <si>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</si>
  <si>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</si>
  <si>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</si>
  <si>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</si>
  <si>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</si>
  <si>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</si>
  <si>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</si>
  <si>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</si>
  <si>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</si>
  <si>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</si>
  <si>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</si>
  <si>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</si>
  <si>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</si>
  <si>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</si>
  <si>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</si>
  <si>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</si>
  <si>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</si>
  <si>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</si>
  <si>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</si>
  <si>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</si>
  <si>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</si>
  <si>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</si>
  <si>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</si>
  <si>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</si>
  <si>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</si>
  <si>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</si>
  <si>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</si>
  <si>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</si>
  <si>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</si>
  <si>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</si>
  <si>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</si>
  <si>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</si>
  <si>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</si>
  <si>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</si>
  <si>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</si>
  <si>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</si>
  <si>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</si>
  <si>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</si>
  <si>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</si>
  <si>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</si>
  <si>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</si>
  <si>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</si>
  <si>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</si>
  <si>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</si>
  <si>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</si>
  <si>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</si>
  <si>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</si>
  <si>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</si>
  <si>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</si>
  <si>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</si>
  <si>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</si>
  <si>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</si>
  <si>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</si>
  <si>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</si>
  <si>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</si>
  <si>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</si>
  <si>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</si>
  <si>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</si>
  <si>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</si>
  <si>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</si>
  <si>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</si>
  <si>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</si>
  <si>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</si>
  <si>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</si>
  <si>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</si>
  <si>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</si>
  <si>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</si>
  <si>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</si>
  <si>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</si>
  <si>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</si>
  <si>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</si>
  <si>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</si>
  <si>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</si>
  <si>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</si>
  <si>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</si>
  <si>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</si>
  <si>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</si>
  <si>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</si>
  <si>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</si>
  <si>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</si>
  <si>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</si>
  <si>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</si>
  <si>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</si>
  <si>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</si>
  <si>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</si>
  <si>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</si>
  <si>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</si>
  <si>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</si>
  <si>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</si>
  <si>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</si>
  <si>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</si>
  <si>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</si>
  <si>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</si>
  <si>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</si>
  <si>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</si>
  <si>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</si>
  <si>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</si>
  <si>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</si>
  <si>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</si>
  <si>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</si>
  <si>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</si>
  <si>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</si>
  <si>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</si>
  <si>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</si>
  <si>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</si>
  <si>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</si>
  <si>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</si>
  <si>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</si>
  <si>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</si>
  <si>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</si>
  <si>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</si>
  <si>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</si>
  <si>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</si>
  <si>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</si>
  <si>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</si>
  <si>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</si>
  <si>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</si>
  <si>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</si>
  <si>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</si>
  <si>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</si>
  <si>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</si>
  <si>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</si>
  <si>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</si>
  <si>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</si>
  <si>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</si>
  <si>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</si>
  <si>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</si>
  <si>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</si>
  <si>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</si>
  <si>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</si>
  <si>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</si>
  <si>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</si>
  <si>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</si>
  <si>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</si>
  <si>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</si>
  <si>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</si>
  <si>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</si>
  <si>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</si>
  <si>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</si>
  <si>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</si>
  <si>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</si>
  <si>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</si>
  <si>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</si>
  <si>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</si>
  <si>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</si>
  <si>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</si>
  <si>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</si>
  <si>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</si>
  <si>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</si>
  <si>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</si>
  <si>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</si>
  <si>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</si>
  <si>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</si>
  <si>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</si>
  <si>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</si>
  <si>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</si>
  <si>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</si>
  <si>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</si>
  <si>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</si>
  <si>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</si>
  <si>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</si>
  <si>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</si>
  <si>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</si>
  <si>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</si>
  <si>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</si>
  <si>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</si>
  <si>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</si>
  <si>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</si>
  <si>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</si>
  <si>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</si>
  <si>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</si>
  <si>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</si>
  <si>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</si>
  <si>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</si>
  <si>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</si>
  <si>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</si>
  <si>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</si>
  <si>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</si>
  <si>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</si>
  <si>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</si>
  <si>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</si>
  <si>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</si>
  <si>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</si>
  <si>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</si>
  <si>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</si>
  <si>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</si>
  <si>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</si>
  <si>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</si>
  <si>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</si>
  <si>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</si>
  <si>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</si>
  <si>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</si>
  <si>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</si>
  <si>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</si>
  <si>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</si>
  <si>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</si>
  <si>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</si>
  <si>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</si>
  <si>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</si>
  <si>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</si>
  <si>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</si>
  <si>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</si>
  <si>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</si>
  <si>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</si>
  <si>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</si>
  <si>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</si>
  <si>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</si>
  <si>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</si>
  <si>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</si>
  <si>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</si>
  <si>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</si>
  <si>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</si>
  <si>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</si>
  <si>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</si>
  <si>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</si>
  <si>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</si>
  <si>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</si>
  <si>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</si>
  <si>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</si>
  <si>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</si>
  <si>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</si>
  <si>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</si>
  <si>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</si>
  <si>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</si>
  <si>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</si>
  <si>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</si>
  <si>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</si>
  <si>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</si>
  <si>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</si>
  <si>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</si>
  <si>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</si>
  <si>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</si>
  <si>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</si>
  <si>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</si>
  <si>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</si>
  <si>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</si>
  <si>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</si>
  <si>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</si>
  <si>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</si>
  <si>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</si>
  <si>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</si>
  <si>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</si>
  <si>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</si>
  <si>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</si>
  <si>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</si>
  <si>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</si>
  <si>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</si>
  <si>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</si>
  <si>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</si>
  <si>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</si>
  <si>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</si>
  <si>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</si>
  <si>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</si>
  <si>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</si>
  <si>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</si>
  <si>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</si>
  <si>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</si>
  <si>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</si>
  <si>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</si>
  <si>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</si>
  <si>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</si>
  <si>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</si>
  <si>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</si>
  <si>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</si>
  <si>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</si>
  <si>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</si>
  <si>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</si>
  <si>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</si>
  <si>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</si>
  <si>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</si>
  <si>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</si>
  <si>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</si>
  <si>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</si>
  <si>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</si>
  <si>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</si>
  <si>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</si>
  <si>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</si>
  <si>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</si>
  <si>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</si>
  <si>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</si>
  <si>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</si>
  <si>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</si>
  <si>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</si>
  <si>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</si>
  <si>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</si>
  <si>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</si>
  <si>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</si>
  <si>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</si>
  <si>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</si>
  <si>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</si>
  <si>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</si>
  <si>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</si>
  <si>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</si>
  <si>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</si>
  <si>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</si>
  <si>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</si>
  <si>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</si>
  <si>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</si>
  <si>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</si>
  <si>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</si>
  <si>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</si>
  <si>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</si>
  <si>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</si>
  <si>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</si>
  <si>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</si>
  <si>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</si>
  <si>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</si>
  <si>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</si>
  <si>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</si>
  <si>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</si>
  <si>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</si>
  <si>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</si>
  <si>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</si>
  <si>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</si>
  <si>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</si>
  <si>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</si>
  <si>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</si>
  <si>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</si>
  <si>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</si>
  <si>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</si>
  <si>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</si>
  <si>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</si>
  <si>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</si>
  <si>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</si>
  <si>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</si>
  <si>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</si>
  <si>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</si>
  <si>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</si>
  <si>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</si>
  <si>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</si>
  <si>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</si>
  <si>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</si>
  <si>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</si>
  <si>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</si>
  <si>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</si>
  <si>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</si>
  <si>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</si>
  <si>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</si>
  <si>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</si>
  <si>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</si>
  <si>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</si>
  <si>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</si>
  <si>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</si>
  <si>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</si>
  <si>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</si>
  <si>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</si>
  <si>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</si>
  <si>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</si>
  <si>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</si>
  <si>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</si>
  <si>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</si>
  <si>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</si>
  <si>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</si>
  <si>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</si>
  <si>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</si>
  <si>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</si>
  <si>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</si>
  <si>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</si>
  <si>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</si>
  <si>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</si>
  <si>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</si>
  <si>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</si>
  <si>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</si>
  <si>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</si>
  <si>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</si>
  <si>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</si>
  <si>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</si>
  <si>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</si>
  <si>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</si>
  <si>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</si>
  <si>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</si>
  <si>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</si>
  <si>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</si>
  <si>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</si>
  <si>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</si>
  <si>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</si>
  <si>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</si>
  <si>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</si>
  <si>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</si>
  <si>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</si>
  <si>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</si>
  <si>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</si>
  <si>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</si>
  <si>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</si>
  <si>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</si>
  <si>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</si>
  <si>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</si>
  <si>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</si>
  <si>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</si>
  <si>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</si>
  <si>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</si>
  <si>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</si>
  <si>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</si>
  <si>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</si>
  <si>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</si>
  <si>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</si>
  <si>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</si>
  <si>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</si>
  <si>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</si>
  <si>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</si>
  <si>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</si>
  <si>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</si>
  <si>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</si>
  <si>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</si>
  <si>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</si>
  <si>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</si>
  <si>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</si>
  <si>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</si>
  <si>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</si>
  <si>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</si>
  <si>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</si>
  <si>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</si>
  <si>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</si>
  <si>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</si>
  <si>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</si>
  <si>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</si>
  <si>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</si>
  <si>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</si>
  <si>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</si>
  <si>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</si>
  <si>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</si>
  <si>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</si>
  <si>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</si>
  <si>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</si>
  <si>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</si>
  <si>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</si>
  <si>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</si>
  <si>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</si>
  <si>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</si>
  <si>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</si>
  <si>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</si>
  <si>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</si>
  <si>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</si>
  <si>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</si>
  <si>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</si>
  <si>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</si>
  <si>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</si>
  <si>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</si>
  <si>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</si>
  <si>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</si>
  <si>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</si>
  <si>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</si>
  <si>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</si>
  <si>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</si>
  <si>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</si>
  <si>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</si>
  <si>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</si>
  <si>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</si>
  <si>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</si>
  <si>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</si>
  <si>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</si>
  <si>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</si>
  <si>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</si>
  <si>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</si>
  <si>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</si>
  <si>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</si>
  <si>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</si>
  <si>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</si>
  <si>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</si>
  <si>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</si>
  <si>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</si>
  <si>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</si>
  <si>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</si>
  <si>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</si>
  <si>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</si>
  <si>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</si>
  <si>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</si>
  <si>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</si>
  <si>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</si>
  <si>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</si>
  <si>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</si>
  <si>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</si>
  <si>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</si>
  <si>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</si>
  <si>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</si>
  <si>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</si>
  <si>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</si>
  <si>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</si>
  <si>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</si>
  <si>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</si>
  <si>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</si>
  <si>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</si>
  <si>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</si>
  <si>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</si>
  <si>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</si>
  <si>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</si>
  <si>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</si>
  <si>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</si>
  <si>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</si>
  <si>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</si>
  <si>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</si>
  <si>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</si>
  <si>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</si>
  <si>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</si>
  <si>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</si>
  <si>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</si>
  <si>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</si>
  <si>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</si>
  <si>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</si>
  <si>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</si>
  <si>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</si>
  <si>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</si>
  <si>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</si>
  <si>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</si>
  <si>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</si>
  <si>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</si>
  <si>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</si>
  <si>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</si>
  <si>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</si>
  <si>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</si>
  <si>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</si>
  <si>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</si>
  <si>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</si>
  <si>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</si>
  <si>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</si>
  <si>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</si>
  <si>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</si>
  <si>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</si>
  <si>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</si>
  <si>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</si>
  <si>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</si>
  <si>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</si>
  <si>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</si>
  <si>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</si>
  <si>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</si>
  <si>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</si>
  <si>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</si>
  <si>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</si>
  <si>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</si>
  <si>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</si>
  <si>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</si>
  <si>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</si>
  <si>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</si>
  <si>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</si>
  <si>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</si>
  <si>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</si>
  <si>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</si>
  <si>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</si>
  <si>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</si>
  <si>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</si>
  <si>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</si>
  <si>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</si>
  <si>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</si>
  <si>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</si>
  <si>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</si>
  <si>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</si>
  <si>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</si>
  <si>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</si>
  <si>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</si>
  <si>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</si>
  <si>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</si>
  <si>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</si>
  <si>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</si>
  <si>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</si>
  <si>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</si>
  <si>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</si>
  <si>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</si>
  <si>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</si>
  <si>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</si>
  <si>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</si>
  <si>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</si>
  <si>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</si>
  <si>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</si>
  <si>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</si>
  <si>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</si>
  <si>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</si>
  <si>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</si>
  <si>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</si>
  <si>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</si>
  <si>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</si>
  <si>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</si>
  <si>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</si>
  <si>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</si>
  <si>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</si>
  <si>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</si>
  <si>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</si>
  <si>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</si>
  <si>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</si>
  <si>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</si>
  <si>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</si>
  <si>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</si>
  <si>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</si>
  <si>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</si>
  <si>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</si>
  <si>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</si>
  <si>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</si>
  <si>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</si>
  <si>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</si>
  <si>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</si>
  <si>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</si>
  <si>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</si>
  <si>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</si>
  <si>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</si>
  <si>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</si>
  <si>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</si>
  <si>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</si>
  <si>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</si>
  <si>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</si>
  <si>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</si>
  <si>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</si>
  <si>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</si>
  <si>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</si>
  <si>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</si>
  <si>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</si>
  <si>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</si>
  <si>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</si>
  <si>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</si>
  <si>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</si>
  <si>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</si>
  <si>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</si>
  <si>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</si>
  <si>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</si>
  <si>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</si>
  <si>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</si>
  <si>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</si>
  <si>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</si>
  <si>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</si>
  <si>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</si>
  <si>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</si>
  <si>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</si>
  <si>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</si>
  <si>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</si>
  <si>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</si>
  <si>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</si>
  <si>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</si>
  <si>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</si>
  <si>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</si>
  <si>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</si>
  <si>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</si>
  <si>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</si>
  <si>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</si>
  <si>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</si>
  <si>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</si>
  <si>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</si>
  <si>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</si>
  <si>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</si>
  <si>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</si>
  <si>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</si>
  <si>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</si>
  <si>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</si>
  <si>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</si>
  <si>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</si>
  <si>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</si>
  <si>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</si>
  <si>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</si>
  <si>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</si>
  <si>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</si>
  <si>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</si>
  <si>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</si>
  <si>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</si>
  <si>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</si>
  <si>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</si>
  <si>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</si>
  <si>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</si>
  <si>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</si>
  <si>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</si>
  <si>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</si>
  <si>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</si>
  <si>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</si>
  <si>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</si>
  <si>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</si>
  <si>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</si>
  <si>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</si>
  <si>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</si>
  <si>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</si>
  <si>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</si>
  <si>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</si>
  <si>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</si>
  <si>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</si>
  <si>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</si>
  <si>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43010</t>
  </si>
  <si>
    <t>MALDEGEM</t>
  </si>
  <si>
    <t>Cultuurgrond (ha)</t>
  </si>
  <si>
    <t>Paarden&amp;pony's 200 - 600 kg</t>
  </si>
  <si>
    <t>Paarden&amp;pony's &lt; 200 kg</t>
  </si>
  <si>
    <t>Fluvius</t>
  </si>
  <si>
    <t>referentietaak LNE (2017); Jaarverslag De Lijn</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</si>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</sst>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219904.71783916265</c:v>
                </c:pt>
                <c:pt idx="1">
                  <c:v>62083.764298151065</c:v>
                </c:pt>
                <c:pt idx="2">
                  <c:v>1586.085</c:v>
                </c:pt>
                <c:pt idx="3">
                  <c:v>25477.325389005138</c:v>
                </c:pt>
                <c:pt idx="4">
                  <c:v>74410.153135320041</c:v>
                </c:pt>
                <c:pt idx="5">
                  <c:v>218510.44154687593</c:v>
                </c:pt>
                <c:pt idx="6">
                  <c:v>1525.6020984471309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219904.71783916265</c:v>
                </c:pt>
                <c:pt idx="1">
                  <c:v>62083.764298151065</c:v>
                </c:pt>
                <c:pt idx="2">
                  <c:v>1586.085</c:v>
                </c:pt>
                <c:pt idx="3">
                  <c:v>25477.325389005138</c:v>
                </c:pt>
                <c:pt idx="4">
                  <c:v>74410.153135320041</c:v>
                </c:pt>
                <c:pt idx="5">
                  <c:v>218510.44154687593</c:v>
                </c:pt>
                <c:pt idx="6">
                  <c:v>1525.6020984471309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36669.12281614892</c:v>
                </c:pt>
                <c:pt idx="2">
                  <c:v>11139.723670583073</c:v>
                </c:pt>
                <c:pt idx="3">
                  <c:v>235.02922529328441</c:v>
                </c:pt>
                <c:pt idx="4">
                  <c:v>6192.0325207685682</c:v>
                </c:pt>
                <c:pt idx="5">
                  <c:v>13771.616689278915</c:v>
                </c:pt>
                <c:pt idx="6">
                  <c:v>55257.913341007865</c:v>
                </c:pt>
                <c:pt idx="7">
                  <c:v>389.97753746734384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36669.12281614892</c:v>
                </c:pt>
                <c:pt idx="2">
                  <c:v>11139.723670583073</c:v>
                </c:pt>
                <c:pt idx="3">
                  <c:v>235.02922529328441</c:v>
                </c:pt>
                <c:pt idx="4">
                  <c:v>6192.0325207685682</c:v>
                </c:pt>
                <c:pt idx="5">
                  <c:v>13771.616689278915</c:v>
                </c:pt>
                <c:pt idx="6">
                  <c:v>55257.913341007865</c:v>
                </c:pt>
                <c:pt idx="7">
                  <c:v>389.97753746734384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43010</v>
      </c>
      <c r="B6" s="395"/>
      <c r="C6" s="396"/>
    </row>
    <row r="7" spans="1:7" s="393" customFormat="1" ht="15.75" customHeight="1">
      <c r="A7" s="397" t="str">
        <f>txtMunicipality</f>
        <v>MALDEGEM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0.14818198601795263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0.14818198601795263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9629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6463</v>
      </c>
      <c r="C14" s="332"/>
      <c r="D14" s="332"/>
      <c r="E14" s="332"/>
      <c r="F14" s="332"/>
    </row>
    <row r="15" spans="1:6">
      <c r="A15" s="1306" t="s">
        <v>183</v>
      </c>
      <c r="B15" s="1307">
        <v>430</v>
      </c>
      <c r="C15" s="332"/>
      <c r="D15" s="332"/>
      <c r="E15" s="332"/>
      <c r="F15" s="332"/>
    </row>
    <row r="16" spans="1:6">
      <c r="A16" s="1306" t="s">
        <v>6</v>
      </c>
      <c r="B16" s="1307">
        <v>3899</v>
      </c>
      <c r="C16" s="332"/>
      <c r="D16" s="332"/>
      <c r="E16" s="332"/>
      <c r="F16" s="332"/>
    </row>
    <row r="17" spans="1:6">
      <c r="A17" s="1306" t="s">
        <v>7</v>
      </c>
      <c r="B17" s="1307">
        <v>2400</v>
      </c>
      <c r="C17" s="332"/>
      <c r="D17" s="332"/>
      <c r="E17" s="332"/>
      <c r="F17" s="332"/>
    </row>
    <row r="18" spans="1:6">
      <c r="A18" s="1306" t="s">
        <v>8</v>
      </c>
      <c r="B18" s="1307">
        <v>4310</v>
      </c>
      <c r="C18" s="332"/>
      <c r="D18" s="332"/>
      <c r="E18" s="332"/>
      <c r="F18" s="332"/>
    </row>
    <row r="19" spans="1:6">
      <c r="A19" s="1306" t="s">
        <v>9</v>
      </c>
      <c r="B19" s="1307">
        <v>3829</v>
      </c>
      <c r="C19" s="332"/>
      <c r="D19" s="332"/>
      <c r="E19" s="332"/>
      <c r="F19" s="332"/>
    </row>
    <row r="20" spans="1:6">
      <c r="A20" s="1306" t="s">
        <v>10</v>
      </c>
      <c r="B20" s="1307">
        <v>2496</v>
      </c>
      <c r="C20" s="332"/>
      <c r="D20" s="332"/>
      <c r="E20" s="332"/>
      <c r="F20" s="332"/>
    </row>
    <row r="21" spans="1:6">
      <c r="A21" s="1306" t="s">
        <v>11</v>
      </c>
      <c r="B21" s="1307">
        <v>13001</v>
      </c>
      <c r="C21" s="332"/>
      <c r="D21" s="332"/>
      <c r="E21" s="332"/>
      <c r="F21" s="332"/>
    </row>
    <row r="22" spans="1:6">
      <c r="A22" s="1306" t="s">
        <v>12</v>
      </c>
      <c r="B22" s="1307">
        <v>29707</v>
      </c>
      <c r="C22" s="332"/>
      <c r="D22" s="332"/>
      <c r="E22" s="332"/>
      <c r="F22" s="332"/>
    </row>
    <row r="23" spans="1:6">
      <c r="A23" s="1306" t="s">
        <v>13</v>
      </c>
      <c r="B23" s="1307">
        <v>568</v>
      </c>
      <c r="C23" s="332"/>
      <c r="D23" s="332"/>
      <c r="E23" s="332"/>
      <c r="F23" s="332"/>
    </row>
    <row r="24" spans="1:6">
      <c r="A24" s="1306" t="s">
        <v>14</v>
      </c>
      <c r="B24" s="1307">
        <v>35</v>
      </c>
      <c r="C24" s="332"/>
      <c r="D24" s="332"/>
      <c r="E24" s="332"/>
      <c r="F24" s="332"/>
    </row>
    <row r="25" spans="1:6">
      <c r="A25" s="1306" t="s">
        <v>15</v>
      </c>
      <c r="B25" s="1307">
        <v>3896</v>
      </c>
      <c r="C25" s="332"/>
      <c r="D25" s="332"/>
      <c r="E25" s="332"/>
      <c r="F25" s="332"/>
    </row>
    <row r="26" spans="1:6">
      <c r="A26" s="1306" t="s">
        <v>16</v>
      </c>
      <c r="B26" s="1307">
        <v>713</v>
      </c>
      <c r="C26" s="332"/>
      <c r="D26" s="332"/>
      <c r="E26" s="332"/>
      <c r="F26" s="332"/>
    </row>
    <row r="27" spans="1:6">
      <c r="A27" s="1306" t="s">
        <v>17</v>
      </c>
      <c r="B27" s="1307">
        <v>619</v>
      </c>
      <c r="C27" s="332"/>
      <c r="D27" s="332"/>
      <c r="E27" s="332"/>
      <c r="F27" s="332"/>
    </row>
    <row r="28" spans="1:6" s="43" customFormat="1">
      <c r="A28" s="1308" t="s">
        <v>18</v>
      </c>
      <c r="B28" s="1309">
        <v>69600</v>
      </c>
      <c r="C28" s="338"/>
      <c r="D28" s="338"/>
      <c r="E28" s="338"/>
      <c r="F28" s="338"/>
    </row>
    <row r="29" spans="1:6">
      <c r="A29" s="1308" t="s">
        <v>916</v>
      </c>
      <c r="B29" s="1309">
        <v>448</v>
      </c>
      <c r="C29" s="338"/>
      <c r="D29" s="338"/>
      <c r="E29" s="338"/>
      <c r="F29" s="338"/>
    </row>
    <row r="30" spans="1:6">
      <c r="A30" s="1301" t="s">
        <v>917</v>
      </c>
      <c r="B30" s="1310">
        <v>155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4303341.8107019803</v>
      </c>
      <c r="E38" s="1307">
        <v>8</v>
      </c>
      <c r="F38" s="1307">
        <v>456657.95059981802</v>
      </c>
    </row>
    <row r="39" spans="1:6">
      <c r="A39" s="1306" t="s">
        <v>29</v>
      </c>
      <c r="B39" s="1306" t="s">
        <v>30</v>
      </c>
      <c r="C39" s="1307">
        <v>5892</v>
      </c>
      <c r="D39" s="1307">
        <v>107659532.82921</v>
      </c>
      <c r="E39" s="1307">
        <v>9157</v>
      </c>
      <c r="F39" s="1307">
        <v>41704871.7120272</v>
      </c>
    </row>
    <row r="40" spans="1:6">
      <c r="A40" s="1306" t="s">
        <v>29</v>
      </c>
      <c r="B40" s="1306" t="s">
        <v>28</v>
      </c>
      <c r="C40" s="1307">
        <v>0</v>
      </c>
      <c r="D40" s="1307">
        <v>0</v>
      </c>
      <c r="E40" s="1307">
        <v>0</v>
      </c>
      <c r="F40" s="1307">
        <v>0</v>
      </c>
    </row>
    <row r="41" spans="1:6">
      <c r="A41" s="1306" t="s">
        <v>31</v>
      </c>
      <c r="B41" s="1306" t="s">
        <v>32</v>
      </c>
      <c r="C41" s="1307">
        <v>120</v>
      </c>
      <c r="D41" s="1307">
        <v>5132101.1516128704</v>
      </c>
      <c r="E41" s="1307">
        <v>279</v>
      </c>
      <c r="F41" s="1307">
        <v>4664860.4529430801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133705.22135802801</v>
      </c>
      <c r="E44" s="1307">
        <v>25</v>
      </c>
      <c r="F44" s="1307">
        <v>907352.94806119101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633470.11846530205</v>
      </c>
      <c r="E47" s="1307">
        <v>4</v>
      </c>
      <c r="F47" s="1307">
        <v>1263473.35900383</v>
      </c>
    </row>
    <row r="48" spans="1:6">
      <c r="A48" s="1306" t="s">
        <v>31</v>
      </c>
      <c r="B48" s="1306" t="s">
        <v>28</v>
      </c>
      <c r="C48" s="1307">
        <v>59</v>
      </c>
      <c r="D48" s="1307">
        <v>4099106.82531776</v>
      </c>
      <c r="E48" s="1307">
        <v>89</v>
      </c>
      <c r="F48" s="1307">
        <v>19902616.092372201</v>
      </c>
    </row>
    <row r="49" spans="1:6">
      <c r="A49" s="1306" t="s">
        <v>31</v>
      </c>
      <c r="B49" s="1306" t="s">
        <v>39</v>
      </c>
      <c r="C49" s="1307">
        <v>0</v>
      </c>
      <c r="D49" s="1307">
        <v>0</v>
      </c>
      <c r="E49" s="1307">
        <v>0</v>
      </c>
      <c r="F49" s="1307">
        <v>0</v>
      </c>
    </row>
    <row r="50" spans="1:6">
      <c r="A50" s="1306" t="s">
        <v>31</v>
      </c>
      <c r="B50" s="1306" t="s">
        <v>40</v>
      </c>
      <c r="C50" s="1307">
        <v>13</v>
      </c>
      <c r="D50" s="1307">
        <v>7593444.8116876399</v>
      </c>
      <c r="E50" s="1307">
        <v>26</v>
      </c>
      <c r="F50" s="1307">
        <v>6855894.2394519197</v>
      </c>
    </row>
    <row r="51" spans="1:6">
      <c r="A51" s="1306" t="s">
        <v>41</v>
      </c>
      <c r="B51" s="1306" t="s">
        <v>42</v>
      </c>
      <c r="C51" s="1307">
        <v>14</v>
      </c>
      <c r="D51" s="1307">
        <v>166449.31608501301</v>
      </c>
      <c r="E51" s="1307">
        <v>234</v>
      </c>
      <c r="F51" s="1307">
        <v>5054426.4579879995</v>
      </c>
    </row>
    <row r="52" spans="1:6">
      <c r="A52" s="1306" t="s">
        <v>41</v>
      </c>
      <c r="B52" s="1306" t="s">
        <v>28</v>
      </c>
      <c r="C52" s="1307">
        <v>4</v>
      </c>
      <c r="D52" s="1307">
        <v>91114.227649871405</v>
      </c>
      <c r="E52" s="1307">
        <v>23</v>
      </c>
      <c r="F52" s="1307">
        <v>405475.90559210803</v>
      </c>
    </row>
    <row r="53" spans="1:6">
      <c r="A53" s="1306" t="s">
        <v>43</v>
      </c>
      <c r="B53" s="1306" t="s">
        <v>44</v>
      </c>
      <c r="C53" s="1307">
        <v>149</v>
      </c>
      <c r="D53" s="1307">
        <v>3761859.8199156299</v>
      </c>
      <c r="E53" s="1307">
        <v>314</v>
      </c>
      <c r="F53" s="1307">
        <v>1552861.7135365601</v>
      </c>
    </row>
    <row r="54" spans="1:6">
      <c r="A54" s="1306" t="s">
        <v>45</v>
      </c>
      <c r="B54" s="1306" t="s">
        <v>46</v>
      </c>
      <c r="C54" s="1307">
        <v>0</v>
      </c>
      <c r="D54" s="1307">
        <v>0</v>
      </c>
      <c r="E54" s="1307">
        <v>3</v>
      </c>
      <c r="F54" s="1307">
        <v>1586085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56</v>
      </c>
      <c r="D57" s="1307">
        <v>3203097.4150470402</v>
      </c>
      <c r="E57" s="1307">
        <v>96</v>
      </c>
      <c r="F57" s="1307">
        <v>2937796.4207004402</v>
      </c>
    </row>
    <row r="58" spans="1:6">
      <c r="A58" s="1306" t="s">
        <v>48</v>
      </c>
      <c r="B58" s="1306" t="s">
        <v>50</v>
      </c>
      <c r="C58" s="1307">
        <v>16</v>
      </c>
      <c r="D58" s="1307">
        <v>1493927.5367135899</v>
      </c>
      <c r="E58" s="1307">
        <v>49</v>
      </c>
      <c r="F58" s="1307">
        <v>1053408.3860233801</v>
      </c>
    </row>
    <row r="59" spans="1:6">
      <c r="A59" s="1306" t="s">
        <v>48</v>
      </c>
      <c r="B59" s="1306" t="s">
        <v>51</v>
      </c>
      <c r="C59" s="1307">
        <v>160</v>
      </c>
      <c r="D59" s="1307">
        <v>7558716.73374491</v>
      </c>
      <c r="E59" s="1307">
        <v>362</v>
      </c>
      <c r="F59" s="1307">
        <v>7418955.8096540105</v>
      </c>
    </row>
    <row r="60" spans="1:6">
      <c r="A60" s="1306" t="s">
        <v>48</v>
      </c>
      <c r="B60" s="1306" t="s">
        <v>52</v>
      </c>
      <c r="C60" s="1307">
        <v>69</v>
      </c>
      <c r="D60" s="1307">
        <v>3355821.47590206</v>
      </c>
      <c r="E60" s="1307">
        <v>123</v>
      </c>
      <c r="F60" s="1307">
        <v>3550661.0507311998</v>
      </c>
    </row>
    <row r="61" spans="1:6">
      <c r="A61" s="1306" t="s">
        <v>48</v>
      </c>
      <c r="B61" s="1306" t="s">
        <v>53</v>
      </c>
      <c r="C61" s="1307">
        <v>168</v>
      </c>
      <c r="D61" s="1307">
        <v>9045016.7400018591</v>
      </c>
      <c r="E61" s="1307">
        <v>354</v>
      </c>
      <c r="F61" s="1307">
        <v>4700894.4474880397</v>
      </c>
    </row>
    <row r="62" spans="1:6">
      <c r="A62" s="1306" t="s">
        <v>48</v>
      </c>
      <c r="B62" s="1306" t="s">
        <v>54</v>
      </c>
      <c r="C62" s="1307">
        <v>5</v>
      </c>
      <c r="D62" s="1307">
        <v>374359.40534906002</v>
      </c>
      <c r="E62" s="1307">
        <v>16</v>
      </c>
      <c r="F62" s="1307">
        <v>417526.25443611701</v>
      </c>
    </row>
    <row r="63" spans="1:6">
      <c r="A63" s="1306" t="s">
        <v>48</v>
      </c>
      <c r="B63" s="1306" t="s">
        <v>28</v>
      </c>
      <c r="C63" s="1307">
        <v>174</v>
      </c>
      <c r="D63" s="1307">
        <v>9814803.5573604498</v>
      </c>
      <c r="E63" s="1307">
        <v>190</v>
      </c>
      <c r="F63" s="1307">
        <v>2991395.39595292</v>
      </c>
    </row>
    <row r="64" spans="1:6">
      <c r="A64" s="1306" t="s">
        <v>55</v>
      </c>
      <c r="B64" s="1306" t="s">
        <v>56</v>
      </c>
      <c r="C64" s="1307">
        <v>0</v>
      </c>
      <c r="D64" s="1307">
        <v>0</v>
      </c>
      <c r="E64" s="1307">
        <v>0</v>
      </c>
      <c r="F64" s="1307">
        <v>0</v>
      </c>
    </row>
    <row r="65" spans="1:6">
      <c r="A65" s="1306" t="s">
        <v>55</v>
      </c>
      <c r="B65" s="1306" t="s">
        <v>28</v>
      </c>
      <c r="C65" s="1307">
        <v>4</v>
      </c>
      <c r="D65" s="1307">
        <v>139148.52116012599</v>
      </c>
      <c r="E65" s="1307">
        <v>6</v>
      </c>
      <c r="F65" s="1307">
        <v>99443.275906667695</v>
      </c>
    </row>
    <row r="66" spans="1:6">
      <c r="A66" s="1306" t="s">
        <v>55</v>
      </c>
      <c r="B66" s="1306" t="s">
        <v>57</v>
      </c>
      <c r="C66" s="1307">
        <v>0</v>
      </c>
      <c r="D66" s="1307">
        <v>0</v>
      </c>
      <c r="E66" s="1307">
        <v>0</v>
      </c>
      <c r="F66" s="1307">
        <v>0</v>
      </c>
    </row>
    <row r="67" spans="1:6">
      <c r="A67" s="1308" t="s">
        <v>55</v>
      </c>
      <c r="B67" s="1308" t="s">
        <v>58</v>
      </c>
      <c r="C67" s="1307">
        <v>0</v>
      </c>
      <c r="D67" s="1307">
        <v>0</v>
      </c>
      <c r="E67" s="1307">
        <v>70</v>
      </c>
      <c r="F67" s="1307">
        <v>973989.11280715</v>
      </c>
    </row>
    <row r="68" spans="1:6">
      <c r="A68" s="1301" t="s">
        <v>55</v>
      </c>
      <c r="B68" s="1301" t="s">
        <v>59</v>
      </c>
      <c r="C68" s="1310">
        <v>8</v>
      </c>
      <c r="D68" s="1310">
        <v>242817.815743307</v>
      </c>
      <c r="E68" s="1310">
        <v>19</v>
      </c>
      <c r="F68" s="1310">
        <v>222981.85887268599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171801722</v>
      </c>
      <c r="E73" s="456"/>
      <c r="F73" s="332"/>
    </row>
    <row r="74" spans="1:6">
      <c r="A74" s="1306" t="s">
        <v>63</v>
      </c>
      <c r="B74" s="1306" t="s">
        <v>724</v>
      </c>
      <c r="C74" s="1320" t="s">
        <v>725</v>
      </c>
      <c r="D74" s="1321">
        <v>19023832.662686501</v>
      </c>
      <c r="E74" s="456"/>
      <c r="F74" s="332"/>
    </row>
    <row r="75" spans="1:6">
      <c r="A75" s="1306" t="s">
        <v>64</v>
      </c>
      <c r="B75" s="1306" t="s">
        <v>722</v>
      </c>
      <c r="C75" s="1320" t="s">
        <v>726</v>
      </c>
      <c r="D75" s="1321">
        <v>44309645</v>
      </c>
      <c r="E75" s="456"/>
      <c r="F75" s="332"/>
    </row>
    <row r="76" spans="1:6">
      <c r="A76" s="1306" t="s">
        <v>64</v>
      </c>
      <c r="B76" s="1306" t="s">
        <v>724</v>
      </c>
      <c r="C76" s="1320" t="s">
        <v>727</v>
      </c>
      <c r="D76" s="1321">
        <v>2307059.6626865012</v>
      </c>
      <c r="E76" s="456"/>
      <c r="F76" s="332"/>
    </row>
    <row r="77" spans="1:6">
      <c r="A77" s="1306" t="s">
        <v>65</v>
      </c>
      <c r="B77" s="1306" t="s">
        <v>722</v>
      </c>
      <c r="C77" s="1320" t="s">
        <v>728</v>
      </c>
      <c r="D77" s="1321">
        <v>11000584</v>
      </c>
      <c r="E77" s="456"/>
      <c r="F77" s="332"/>
    </row>
    <row r="78" spans="1:6">
      <c r="A78" s="1301" t="s">
        <v>65</v>
      </c>
      <c r="B78" s="1301" t="s">
        <v>724</v>
      </c>
      <c r="C78" s="1301" t="s">
        <v>729</v>
      </c>
      <c r="D78" s="1322">
        <v>1747606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403684.67462699773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29626.488300000001</v>
      </c>
      <c r="C90" s="332"/>
      <c r="D90" s="332"/>
      <c r="E90" s="332"/>
      <c r="F90" s="332"/>
    </row>
    <row r="91" spans="1:6">
      <c r="A91" s="1306" t="s">
        <v>67</v>
      </c>
      <c r="B91" s="1307">
        <v>3824.0064248111121</v>
      </c>
      <c r="C91" s="332"/>
      <c r="D91" s="332"/>
      <c r="E91" s="332"/>
      <c r="F91" s="332"/>
    </row>
    <row r="92" spans="1:6">
      <c r="A92" s="1301" t="s">
        <v>68</v>
      </c>
      <c r="B92" s="1302">
        <v>3018.1274813220239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3634</v>
      </c>
      <c r="C97" s="332"/>
      <c r="D97" s="332"/>
      <c r="E97" s="332"/>
      <c r="F97" s="332"/>
    </row>
    <row r="98" spans="1:6">
      <c r="A98" s="1306" t="s">
        <v>71</v>
      </c>
      <c r="B98" s="1307">
        <v>2</v>
      </c>
      <c r="C98" s="332"/>
      <c r="D98" s="332"/>
      <c r="E98" s="332"/>
      <c r="F98" s="332"/>
    </row>
    <row r="99" spans="1:6">
      <c r="A99" s="1306" t="s">
        <v>72</v>
      </c>
      <c r="B99" s="1307">
        <v>273</v>
      </c>
      <c r="C99" s="332"/>
      <c r="D99" s="332"/>
      <c r="E99" s="332"/>
      <c r="F99" s="332"/>
    </row>
    <row r="100" spans="1:6">
      <c r="A100" s="1306" t="s">
        <v>73</v>
      </c>
      <c r="B100" s="1307">
        <v>857</v>
      </c>
      <c r="C100" s="332"/>
      <c r="D100" s="332"/>
      <c r="E100" s="332"/>
      <c r="F100" s="332"/>
    </row>
    <row r="101" spans="1:6">
      <c r="A101" s="1306" t="s">
        <v>74</v>
      </c>
      <c r="B101" s="1307">
        <v>251</v>
      </c>
      <c r="C101" s="332"/>
      <c r="D101" s="332"/>
      <c r="E101" s="332"/>
      <c r="F101" s="332"/>
    </row>
    <row r="102" spans="1:6">
      <c r="A102" s="1306" t="s">
        <v>75</v>
      </c>
      <c r="B102" s="1307">
        <v>175</v>
      </c>
      <c r="C102" s="332"/>
      <c r="D102" s="332"/>
      <c r="E102" s="332"/>
      <c r="F102" s="332"/>
    </row>
    <row r="103" spans="1:6">
      <c r="A103" s="1306" t="s">
        <v>76</v>
      </c>
      <c r="B103" s="1307">
        <v>357</v>
      </c>
      <c r="C103" s="332"/>
      <c r="D103" s="332"/>
      <c r="E103" s="332"/>
      <c r="F103" s="332"/>
    </row>
    <row r="104" spans="1:6">
      <c r="A104" s="1306" t="s">
        <v>77</v>
      </c>
      <c r="B104" s="1307">
        <v>2984</v>
      </c>
      <c r="C104" s="332"/>
      <c r="D104" s="332"/>
      <c r="E104" s="332"/>
      <c r="F104" s="332"/>
    </row>
    <row r="105" spans="1:6">
      <c r="A105" s="1301" t="s">
        <v>78</v>
      </c>
      <c r="B105" s="1310">
        <v>18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35</v>
      </c>
      <c r="C123" s="1307">
        <v>25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175</v>
      </c>
      <c r="C129" s="332"/>
      <c r="D129" s="332"/>
      <c r="E129" s="332"/>
      <c r="F129" s="332"/>
    </row>
    <row r="130" spans="1:6">
      <c r="A130" s="1306" t="s">
        <v>294</v>
      </c>
      <c r="B130" s="1307">
        <v>7</v>
      </c>
      <c r="C130" s="332"/>
      <c r="D130" s="332"/>
      <c r="E130" s="332"/>
      <c r="F130" s="332"/>
    </row>
    <row r="131" spans="1:6">
      <c r="A131" s="1306" t="s">
        <v>295</v>
      </c>
      <c r="B131" s="1307">
        <v>3</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110802.36645900033</v>
      </c>
      <c r="C3" s="43" t="s">
        <v>169</v>
      </c>
      <c r="D3" s="43"/>
      <c r="E3" s="156"/>
      <c r="F3" s="43"/>
      <c r="G3" s="43"/>
      <c r="H3" s="43"/>
      <c r="I3" s="43"/>
      <c r="J3" s="43"/>
      <c r="K3" s="96"/>
    </row>
    <row r="4" spans="1:11">
      <c r="A4" s="363" t="s">
        <v>170</v>
      </c>
      <c r="B4" s="49">
        <f>IF(ISERROR('SEAP template'!B78+'SEAP template'!C78),0,'SEAP template'!B78+'SEAP template'!C78)</f>
        <v>36508.634706133133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0.14818198601795263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57.160714285714278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1586.085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1586.085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0.14818198601795263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235.02922529328441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41704.871712027198</v>
      </c>
      <c r="C5" s="17">
        <f>IF(ISERROR('Eigen informatie GS &amp; warmtenet'!B57),0,'Eigen informatie GS &amp; warmtenet'!B57)</f>
        <v>0</v>
      </c>
      <c r="D5" s="30">
        <f>(SUM(HH_hh_gas_kWh,HH_rest_gas_kWh)/1000)*0.902</f>
        <v>97108.898611947428</v>
      </c>
      <c r="E5" s="17">
        <f>B46*B57</f>
        <v>11808.787342354957</v>
      </c>
      <c r="F5" s="17">
        <f>B51*B62</f>
        <v>22400.161674491017</v>
      </c>
      <c r="G5" s="18"/>
      <c r="H5" s="17"/>
      <c r="I5" s="17"/>
      <c r="J5" s="17">
        <f>B50*B61+C50*C61</f>
        <v>4647.2537266831059</v>
      </c>
      <c r="K5" s="17"/>
      <c r="L5" s="17"/>
      <c r="M5" s="17"/>
      <c r="N5" s="17">
        <f>B48*B59+C48*C59</f>
        <v>37163.805013514531</v>
      </c>
      <c r="O5" s="17">
        <f>B69*B70*B71</f>
        <v>312.66666666666669</v>
      </c>
      <c r="P5" s="17">
        <f>B77*B78*B79/1000-B77*B78*B79/1000/B80</f>
        <v>934.26666666666665</v>
      </c>
    </row>
    <row r="6" spans="1:16">
      <c r="A6" s="16" t="s">
        <v>633</v>
      </c>
      <c r="B6" s="779">
        <f>kWh_PV_kleiner_dan_10kW</f>
        <v>3824.0064248111121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45528.878136838306</v>
      </c>
      <c r="C8" s="21">
        <f>C5</f>
        <v>0</v>
      </c>
      <c r="D8" s="21">
        <f>D5</f>
        <v>97108.898611947428</v>
      </c>
      <c r="E8" s="21">
        <f>E5</f>
        <v>11808.787342354957</v>
      </c>
      <c r="F8" s="21">
        <f>F5</f>
        <v>22400.161674491017</v>
      </c>
      <c r="G8" s="21"/>
      <c r="H8" s="21"/>
      <c r="I8" s="21"/>
      <c r="J8" s="21">
        <f>J5</f>
        <v>4647.2537266831059</v>
      </c>
      <c r="K8" s="21"/>
      <c r="L8" s="21">
        <f>L5</f>
        <v>0</v>
      </c>
      <c r="M8" s="21">
        <f>M5</f>
        <v>0</v>
      </c>
      <c r="N8" s="21">
        <f>N5</f>
        <v>37163.805013514531</v>
      </c>
      <c r="O8" s="21">
        <f>O5</f>
        <v>312.66666666666669</v>
      </c>
      <c r="P8" s="21">
        <f>P5</f>
        <v>934.26666666666665</v>
      </c>
    </row>
    <row r="9" spans="1:16">
      <c r="B9" s="19"/>
      <c r="C9" s="19"/>
      <c r="D9" s="261"/>
      <c r="E9" s="19"/>
      <c r="F9" s="19"/>
      <c r="G9" s="19"/>
      <c r="H9" s="19"/>
      <c r="I9" s="19"/>
      <c r="J9" s="19"/>
      <c r="K9" s="19"/>
      <c r="L9" s="19"/>
      <c r="M9" s="19"/>
      <c r="N9" s="19"/>
      <c r="O9" s="19"/>
      <c r="P9" s="19"/>
    </row>
    <row r="10" spans="1:16">
      <c r="A10" s="24" t="s">
        <v>213</v>
      </c>
      <c r="B10" s="25">
        <f ca="1">'EF ele_warmte'!B12</f>
        <v>0.14818198601795263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6746.5595834860433</v>
      </c>
      <c r="C12" s="23">
        <f ca="1">C10*C8</f>
        <v>0</v>
      </c>
      <c r="D12" s="23">
        <f>D8*D10</f>
        <v>19615.997519613382</v>
      </c>
      <c r="E12" s="23">
        <f>E10*E8</f>
        <v>2680.5947267145752</v>
      </c>
      <c r="F12" s="23">
        <f>F10*F8</f>
        <v>5980.8431670891023</v>
      </c>
      <c r="G12" s="23"/>
      <c r="H12" s="23"/>
      <c r="I12" s="23"/>
      <c r="J12" s="23">
        <f>J10*J8</f>
        <v>1645.1278192458194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3634</v>
      </c>
      <c r="C18" s="168" t="s">
        <v>110</v>
      </c>
      <c r="D18" s="230"/>
      <c r="E18" s="15"/>
    </row>
    <row r="19" spans="1:7">
      <c r="A19" s="173" t="s">
        <v>71</v>
      </c>
      <c r="B19" s="37">
        <f>aantalw2001_ander</f>
        <v>2</v>
      </c>
      <c r="C19" s="168" t="s">
        <v>110</v>
      </c>
      <c r="D19" s="231"/>
      <c r="E19" s="15"/>
    </row>
    <row r="20" spans="1:7">
      <c r="A20" s="173" t="s">
        <v>72</v>
      </c>
      <c r="B20" s="37">
        <f>aantalw2001_propaan</f>
        <v>273</v>
      </c>
      <c r="C20" s="169">
        <f>IF(ISERROR(B20/SUM($B$20,$B$21,$B$22)*100),0,B20/SUM($B$20,$B$21,$B$22)*100)</f>
        <v>19.768283852280955</v>
      </c>
      <c r="D20" s="231"/>
      <c r="E20" s="15"/>
    </row>
    <row r="21" spans="1:7">
      <c r="A21" s="173" t="s">
        <v>73</v>
      </c>
      <c r="B21" s="37">
        <f>aantalw2001_elektriciteit</f>
        <v>857</v>
      </c>
      <c r="C21" s="169">
        <f>IF(ISERROR(B21/SUM($B$20,$B$21,$B$22)*100),0,B21/SUM($B$20,$B$21,$B$22)*100)</f>
        <v>62.056480811006523</v>
      </c>
      <c r="D21" s="231"/>
      <c r="E21" s="15"/>
    </row>
    <row r="22" spans="1:7">
      <c r="A22" s="173" t="s">
        <v>74</v>
      </c>
      <c r="B22" s="37">
        <f>aantalw2001_hout</f>
        <v>251</v>
      </c>
      <c r="C22" s="169">
        <f>IF(ISERROR(B22/SUM($B$20,$B$21,$B$22)*100),0,B22/SUM($B$20,$B$21,$B$22)*100)</f>
        <v>18.175235336712529</v>
      </c>
      <c r="D22" s="231"/>
      <c r="E22" s="15"/>
    </row>
    <row r="23" spans="1:7">
      <c r="A23" s="173" t="s">
        <v>75</v>
      </c>
      <c r="B23" s="37">
        <f>aantalw2001_niet_gespec</f>
        <v>175</v>
      </c>
      <c r="C23" s="168" t="s">
        <v>110</v>
      </c>
      <c r="D23" s="230"/>
      <c r="E23" s="15"/>
    </row>
    <row r="24" spans="1:7">
      <c r="A24" s="173" t="s">
        <v>76</v>
      </c>
      <c r="B24" s="37">
        <f>aantalw2001_steenkool</f>
        <v>357</v>
      </c>
      <c r="C24" s="168" t="s">
        <v>110</v>
      </c>
      <c r="D24" s="231"/>
      <c r="E24" s="15"/>
    </row>
    <row r="25" spans="1:7">
      <c r="A25" s="173" t="s">
        <v>77</v>
      </c>
      <c r="B25" s="37">
        <f>aantalw2001_stookolie</f>
        <v>2984</v>
      </c>
      <c r="C25" s="168" t="s">
        <v>110</v>
      </c>
      <c r="D25" s="230"/>
      <c r="E25" s="52"/>
    </row>
    <row r="26" spans="1:7">
      <c r="A26" s="173" t="s">
        <v>78</v>
      </c>
      <c r="B26" s="37">
        <f>aantalw2001_WP</f>
        <v>18</v>
      </c>
      <c r="C26" s="168" t="s">
        <v>110</v>
      </c>
      <c r="D26" s="230"/>
      <c r="E26" s="15"/>
    </row>
    <row r="27" spans="1:7" s="15" customFormat="1">
      <c r="A27" s="173"/>
      <c r="B27" s="29"/>
      <c r="C27" s="36"/>
      <c r="D27" s="230"/>
    </row>
    <row r="28" spans="1:7" s="15" customFormat="1">
      <c r="A28" s="232" t="s">
        <v>742</v>
      </c>
      <c r="B28" s="37">
        <f>aantalHuishoudens</f>
        <v>9629</v>
      </c>
      <c r="C28" s="36"/>
      <c r="D28" s="230"/>
    </row>
    <row r="29" spans="1:7" s="15" customFormat="1">
      <c r="A29" s="232" t="s">
        <v>743</v>
      </c>
      <c r="B29" s="37">
        <f>SUM(HH_hh_gas_aantal,HH_rest_gas_aantal)</f>
        <v>5892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5892</v>
      </c>
      <c r="C32" s="169">
        <f>IF(ISERROR(B32/SUM($B$32,$B$34,$B$35,$B$36,$B$38,$B$39)*100),0,B32/SUM($B$32,$B$34,$B$35,$B$36,$B$38,$B$39)*100)</f>
        <v>61.503131524008346</v>
      </c>
      <c r="D32" s="235"/>
      <c r="G32" s="15"/>
    </row>
    <row r="33" spans="1:7">
      <c r="A33" s="173" t="s">
        <v>71</v>
      </c>
      <c r="B33" s="34" t="s">
        <v>110</v>
      </c>
      <c r="C33" s="169"/>
      <c r="D33" s="235"/>
      <c r="G33" s="15"/>
    </row>
    <row r="34" spans="1:7">
      <c r="A34" s="173" t="s">
        <v>72</v>
      </c>
      <c r="B34" s="33">
        <f>IF((($B$28-$B$32-$B$39-$B$77-$B$38)*C20/100)&lt;0,0,($B$28-$B$32-$B$39-$B$77-$B$38)*C20/100)</f>
        <v>514.96379435191886</v>
      </c>
      <c r="C34" s="169">
        <f>IF(ISERROR(B34/SUM($B$32,$B$34,$B$35,$B$36,$B$38,$B$39)*100),0,B34/SUM($B$32,$B$34,$B$35,$B$36,$B$38,$B$39)*100)</f>
        <v>5.375404951481408</v>
      </c>
      <c r="D34" s="235"/>
      <c r="G34" s="15"/>
    </row>
    <row r="35" spans="1:7">
      <c r="A35" s="173" t="s">
        <v>73</v>
      </c>
      <c r="B35" s="33">
        <f>IF((($B$28-$B$32-$B$39-$B$77-$B$38)*C21/100)&lt;0,0,($B$28-$B$32-$B$39-$B$77-$B$38)*C21/100)</f>
        <v>1616.5713251267198</v>
      </c>
      <c r="C35" s="169">
        <f>IF(ISERROR(B35/SUM($B$32,$B$34,$B$35,$B$36,$B$38,$B$39)*100),0,B35/SUM($B$32,$B$34,$B$35,$B$36,$B$38,$B$39)*100)</f>
        <v>16.874439719485594</v>
      </c>
      <c r="D35" s="235"/>
      <c r="G35" s="15"/>
    </row>
    <row r="36" spans="1:7">
      <c r="A36" s="173" t="s">
        <v>74</v>
      </c>
      <c r="B36" s="33">
        <f>IF((($B$28-$B$32-$B$39-$B$77-$B$38)*C22/100)&lt;0,0,($B$28-$B$32-$B$39-$B$77-$B$38)*C22/100)</f>
        <v>473.46488052136141</v>
      </c>
      <c r="C36" s="169">
        <f>IF(ISERROR(B36/SUM($B$32,$B$34,$B$35,$B$36,$B$38,$B$39)*100),0,B36/SUM($B$32,$B$34,$B$35,$B$36,$B$38,$B$39)*100)</f>
        <v>4.9422221348785111</v>
      </c>
      <c r="D36" s="235"/>
      <c r="G36" s="15"/>
    </row>
    <row r="37" spans="1:7">
      <c r="A37" s="173" t="s">
        <v>75</v>
      </c>
      <c r="B37" s="34" t="s">
        <v>110</v>
      </c>
      <c r="C37" s="169"/>
      <c r="D37" s="175"/>
      <c r="G37" s="15"/>
    </row>
    <row r="38" spans="1:7">
      <c r="A38" s="173" t="s">
        <v>76</v>
      </c>
      <c r="B38" s="33">
        <f>IF((B24-(B29-B18)*0.1)&lt;0,0,B24-(B29-B18)*0.1)</f>
        <v>131.19999999999999</v>
      </c>
      <c r="C38" s="169">
        <f>IF(ISERROR(B38/SUM($B$32,$B$34,$B$35,$B$36,$B$38,$B$39)*100),0,B38/SUM($B$32,$B$34,$B$35,$B$36,$B$38,$B$39)*100)</f>
        <v>1.3695198329853862</v>
      </c>
      <c r="D38" s="236"/>
      <c r="G38" s="15"/>
    </row>
    <row r="39" spans="1:7">
      <c r="A39" s="173" t="s">
        <v>77</v>
      </c>
      <c r="B39" s="33">
        <f>IF((B25-(B29-B18))&lt;0,0,B25-(B29-B18)*0.9)</f>
        <v>951.8</v>
      </c>
      <c r="C39" s="169">
        <f>IF(ISERROR(B39/SUM($B$32,$B$34,$B$35,$B$36,$B$38,$B$39)*100),0,B39/SUM($B$32,$B$34,$B$35,$B$36,$B$38,$B$39)*100)</f>
        <v>9.9352818371607512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5892</v>
      </c>
      <c r="C44" s="34" t="s">
        <v>110</v>
      </c>
      <c r="D44" s="176"/>
    </row>
    <row r="45" spans="1:7">
      <c r="A45" s="173" t="s">
        <v>71</v>
      </c>
      <c r="B45" s="33" t="str">
        <f t="shared" si="0"/>
        <v>-</v>
      </c>
      <c r="C45" s="34" t="s">
        <v>110</v>
      </c>
      <c r="D45" s="176"/>
    </row>
    <row r="46" spans="1:7">
      <c r="A46" s="173" t="s">
        <v>72</v>
      </c>
      <c r="B46" s="33">
        <f t="shared" si="0"/>
        <v>514.96379435191886</v>
      </c>
      <c r="C46" s="34" t="s">
        <v>110</v>
      </c>
      <c r="D46" s="176"/>
    </row>
    <row r="47" spans="1:7">
      <c r="A47" s="173" t="s">
        <v>73</v>
      </c>
      <c r="B47" s="33">
        <f t="shared" si="0"/>
        <v>1616.5713251267198</v>
      </c>
      <c r="C47" s="34" t="s">
        <v>110</v>
      </c>
      <c r="D47" s="176"/>
    </row>
    <row r="48" spans="1:7">
      <c r="A48" s="173" t="s">
        <v>74</v>
      </c>
      <c r="B48" s="33">
        <f t="shared" si="0"/>
        <v>473.46488052136141</v>
      </c>
      <c r="C48" s="33">
        <f>B48*10</f>
        <v>4734.6488052136137</v>
      </c>
      <c r="D48" s="236"/>
    </row>
    <row r="49" spans="1:6">
      <c r="A49" s="173" t="s">
        <v>75</v>
      </c>
      <c r="B49" s="33" t="str">
        <f t="shared" si="0"/>
        <v>-</v>
      </c>
      <c r="C49" s="34" t="s">
        <v>110</v>
      </c>
      <c r="D49" s="236"/>
    </row>
    <row r="50" spans="1:6">
      <c r="A50" s="173" t="s">
        <v>76</v>
      </c>
      <c r="B50" s="33">
        <f t="shared" si="0"/>
        <v>131.19999999999999</v>
      </c>
      <c r="C50" s="33">
        <f>B50*2</f>
        <v>262.39999999999998</v>
      </c>
      <c r="D50" s="236"/>
    </row>
    <row r="51" spans="1:6">
      <c r="A51" s="173" t="s">
        <v>77</v>
      </c>
      <c r="B51" s="33">
        <f t="shared" si="0"/>
        <v>951.8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200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23070.63776498611</v>
      </c>
      <c r="C5" s="17">
        <f>IF(ISERROR('Eigen informatie GS &amp; warmtenet'!B58),0,'Eigen informatie GS &amp; warmtenet'!B58)</f>
        <v>0</v>
      </c>
      <c r="D5" s="30">
        <f>SUM(D6:D12)</f>
        <v>31430.86006343531</v>
      </c>
      <c r="E5" s="17">
        <f>SUM(E6:E12)</f>
        <v>376.51322123430458</v>
      </c>
      <c r="F5" s="17">
        <f>SUM(F6:F12)</f>
        <v>4818.6086660394431</v>
      </c>
      <c r="G5" s="18"/>
      <c r="H5" s="17"/>
      <c r="I5" s="17"/>
      <c r="J5" s="17">
        <f>SUM(J6:J12)</f>
        <v>0</v>
      </c>
      <c r="K5" s="17"/>
      <c r="L5" s="17"/>
      <c r="M5" s="17"/>
      <c r="N5" s="17">
        <f>SUM(N6:N12)</f>
        <v>2319.001249122568</v>
      </c>
      <c r="O5" s="17">
        <f>B38*B39*B40</f>
        <v>10.943333333333335</v>
      </c>
      <c r="P5" s="17">
        <f>B46*B47*B48/1000-B46*B47*B48/1000/B49</f>
        <v>57.2</v>
      </c>
      <c r="R5" s="32"/>
    </row>
    <row r="6" spans="1:18">
      <c r="A6" s="32" t="s">
        <v>53</v>
      </c>
      <c r="B6" s="37">
        <f>B26</f>
        <v>4700.89444748804</v>
      </c>
      <c r="C6" s="33"/>
      <c r="D6" s="37">
        <f>IF(ISERROR(TER_kantoor_gas_kWh/1000),0,TER_kantoor_gas_kWh/1000)*0.902</f>
        <v>8158.6050994816778</v>
      </c>
      <c r="E6" s="33">
        <f>$C$26*'E Balans VL '!I12/100/3.6*1000000</f>
        <v>18.263970165832916</v>
      </c>
      <c r="F6" s="33">
        <f>$C$26*('E Balans VL '!L12+'E Balans VL '!N12)/100/3.6*1000000</f>
        <v>714.9632707337563</v>
      </c>
      <c r="G6" s="34"/>
      <c r="H6" s="33"/>
      <c r="I6" s="33"/>
      <c r="J6" s="33">
        <f>$C$26*('E Balans VL '!D12+'E Balans VL '!E12)/100/3.6*1000000</f>
        <v>0</v>
      </c>
      <c r="K6" s="33"/>
      <c r="L6" s="33"/>
      <c r="M6" s="33"/>
      <c r="N6" s="33">
        <f>$C$26*'E Balans VL '!Y12/100/3.6*1000000</f>
        <v>2.5907559938519751</v>
      </c>
      <c r="O6" s="33"/>
      <c r="P6" s="33"/>
      <c r="R6" s="32"/>
    </row>
    <row r="7" spans="1:18">
      <c r="A7" s="32" t="s">
        <v>52</v>
      </c>
      <c r="B7" s="37">
        <f t="shared" ref="B7:B12" si="0">B27</f>
        <v>3550.6610507311998</v>
      </c>
      <c r="C7" s="33"/>
      <c r="D7" s="37">
        <f>IF(ISERROR(TER_horeca_gas_kWh/1000),0,TER_horeca_gas_kWh/1000)*0.902</f>
        <v>3026.9509712636586</v>
      </c>
      <c r="E7" s="33">
        <f>$C$27*'E Balans VL '!I9/100/3.6*1000000</f>
        <v>200.00968627717282</v>
      </c>
      <c r="F7" s="33">
        <f>$C$27*('E Balans VL '!L9+'E Balans VL '!N9)/100/3.6*1000000</f>
        <v>1023.7980732932504</v>
      </c>
      <c r="G7" s="34"/>
      <c r="H7" s="33"/>
      <c r="I7" s="33"/>
      <c r="J7" s="33">
        <f>$C$27*('E Balans VL '!D9+'E Balans VL '!E9)/100/3.6*1000000</f>
        <v>0</v>
      </c>
      <c r="K7" s="33"/>
      <c r="L7" s="33"/>
      <c r="M7" s="33"/>
      <c r="N7" s="33">
        <f>$C$27*'E Balans VL '!Y9/100/3.6*1000000</f>
        <v>0.98031906513606948</v>
      </c>
      <c r="O7" s="33"/>
      <c r="P7" s="33"/>
      <c r="R7" s="32"/>
    </row>
    <row r="8" spans="1:18">
      <c r="A8" s="6" t="s">
        <v>51</v>
      </c>
      <c r="B8" s="37">
        <f t="shared" si="0"/>
        <v>7418.9558096540104</v>
      </c>
      <c r="C8" s="33"/>
      <c r="D8" s="37">
        <f>IF(ISERROR(TER_handel_gas_kWh/1000),0,TER_handel_gas_kWh/1000)*0.902</f>
        <v>6817.9624938379093</v>
      </c>
      <c r="E8" s="33">
        <f>$C$28*'E Balans VL '!I13/100/3.6*1000000</f>
        <v>106.93232323037238</v>
      </c>
      <c r="F8" s="33">
        <f>$C$28*('E Balans VL '!L13+'E Balans VL '!N13)/100/3.6*1000000</f>
        <v>1288.8453999589944</v>
      </c>
      <c r="G8" s="34"/>
      <c r="H8" s="33"/>
      <c r="I8" s="33"/>
      <c r="J8" s="33">
        <f>$C$28*('E Balans VL '!D13+'E Balans VL '!E13)/100/3.6*1000000</f>
        <v>0</v>
      </c>
      <c r="K8" s="33"/>
      <c r="L8" s="33"/>
      <c r="M8" s="33"/>
      <c r="N8" s="33">
        <f>$C$28*'E Balans VL '!Y13/100/3.6*1000000</f>
        <v>22.228017500897714</v>
      </c>
      <c r="O8" s="33"/>
      <c r="P8" s="33"/>
      <c r="R8" s="32"/>
    </row>
    <row r="9" spans="1:18">
      <c r="A9" s="32" t="s">
        <v>50</v>
      </c>
      <c r="B9" s="37">
        <f t="shared" si="0"/>
        <v>1053.40838602338</v>
      </c>
      <c r="C9" s="33"/>
      <c r="D9" s="37">
        <f>IF(ISERROR(TER_gezond_gas_kWh/1000),0,TER_gezond_gas_kWh/1000)*0.902</f>
        <v>1347.5226381156581</v>
      </c>
      <c r="E9" s="33">
        <f>$C$29*'E Balans VL '!I10/100/3.6*1000000</f>
        <v>1.1253131896997923</v>
      </c>
      <c r="F9" s="33">
        <f>$C$29*('E Balans VL '!L10+'E Balans VL '!N10)/100/3.6*1000000</f>
        <v>171.84292204260817</v>
      </c>
      <c r="G9" s="34"/>
      <c r="H9" s="33"/>
      <c r="I9" s="33"/>
      <c r="J9" s="33">
        <f>$C$29*('E Balans VL '!D10+'E Balans VL '!E10)/100/3.6*1000000</f>
        <v>0</v>
      </c>
      <c r="K9" s="33"/>
      <c r="L9" s="33"/>
      <c r="M9" s="33"/>
      <c r="N9" s="33">
        <f>$C$29*'E Balans VL '!Y10/100/3.6*1000000</f>
        <v>10.844238271277023</v>
      </c>
      <c r="O9" s="33"/>
      <c r="P9" s="33"/>
      <c r="R9" s="32"/>
    </row>
    <row r="10" spans="1:18">
      <c r="A10" s="32" t="s">
        <v>49</v>
      </c>
      <c r="B10" s="37">
        <f t="shared" si="0"/>
        <v>2937.7964207004402</v>
      </c>
      <c r="C10" s="33"/>
      <c r="D10" s="37">
        <f>IF(ISERROR(TER_ander_gas_kWh/1000),0,TER_ander_gas_kWh/1000)*0.902</f>
        <v>2889.1938683724302</v>
      </c>
      <c r="E10" s="33">
        <f>$C$30*'E Balans VL '!I14/100/3.6*1000000</f>
        <v>13.510478866792804</v>
      </c>
      <c r="F10" s="33">
        <f>$C$30*('E Balans VL '!L14+'E Balans VL '!N14)/100/3.6*1000000</f>
        <v>880.55025371173167</v>
      </c>
      <c r="G10" s="34"/>
      <c r="H10" s="33"/>
      <c r="I10" s="33"/>
      <c r="J10" s="33">
        <f>$C$30*('E Balans VL '!D14+'E Balans VL '!E14)/100/3.6*1000000</f>
        <v>0</v>
      </c>
      <c r="K10" s="33"/>
      <c r="L10" s="33"/>
      <c r="M10" s="33"/>
      <c r="N10" s="33">
        <f>$C$30*'E Balans VL '!Y14/100/3.6*1000000</f>
        <v>2044.9002350074784</v>
      </c>
      <c r="O10" s="33"/>
      <c r="P10" s="33"/>
      <c r="R10" s="32"/>
    </row>
    <row r="11" spans="1:18">
      <c r="A11" s="32" t="s">
        <v>54</v>
      </c>
      <c r="B11" s="37">
        <f t="shared" si="0"/>
        <v>417.52625443611703</v>
      </c>
      <c r="C11" s="33"/>
      <c r="D11" s="37">
        <f>IF(ISERROR(TER_onderwijs_gas_kWh/1000),0,TER_onderwijs_gas_kWh/1000)*0.902</f>
        <v>337.67218362485215</v>
      </c>
      <c r="E11" s="33">
        <f>$C$31*'E Balans VL '!I11/100/3.6*1000000</f>
        <v>0.38731050935709566</v>
      </c>
      <c r="F11" s="33">
        <f>$C$31*('E Balans VL '!L11+'E Balans VL '!N11)/100/3.6*1000000</f>
        <v>146.66737703237661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2991.3953959529199</v>
      </c>
      <c r="C12" s="33"/>
      <c r="D12" s="37">
        <f>IF(ISERROR(TER_rest_gas_kWh/1000),0,TER_rest_gas_kWh/1000)*0.902</f>
        <v>8852.9528087391263</v>
      </c>
      <c r="E12" s="33">
        <f>$C$32*'E Balans VL '!I8/100/3.6*1000000</f>
        <v>36.284138995076731</v>
      </c>
      <c r="F12" s="33">
        <f>$C$32*('E Balans VL '!L8+'E Balans VL '!N8)/100/3.6*1000000</f>
        <v>591.94136926672536</v>
      </c>
      <c r="G12" s="34"/>
      <c r="H12" s="33"/>
      <c r="I12" s="33"/>
      <c r="J12" s="33">
        <f>$C$32*('E Balans VL '!D8+'E Balans VL '!E8)/100/3.6*1000000</f>
        <v>0</v>
      </c>
      <c r="K12" s="33"/>
      <c r="L12" s="33"/>
      <c r="M12" s="33"/>
      <c r="N12" s="33">
        <f>$C$32*'E Balans VL '!Y8/100/3.6*1000000</f>
        <v>237.45768328392651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23070.63776498611</v>
      </c>
      <c r="C16" s="21">
        <f t="shared" ca="1" si="1"/>
        <v>0</v>
      </c>
      <c r="D16" s="21">
        <f t="shared" ca="1" si="1"/>
        <v>31430.86006343531</v>
      </c>
      <c r="E16" s="21">
        <f t="shared" si="1"/>
        <v>376.51322123430458</v>
      </c>
      <c r="F16" s="21">
        <f t="shared" ca="1" si="1"/>
        <v>4818.6086660394431</v>
      </c>
      <c r="G16" s="21">
        <f t="shared" si="1"/>
        <v>0</v>
      </c>
      <c r="H16" s="21">
        <f t="shared" si="1"/>
        <v>0</v>
      </c>
      <c r="I16" s="21">
        <f t="shared" si="1"/>
        <v>0</v>
      </c>
      <c r="J16" s="21">
        <f t="shared" si="1"/>
        <v>0</v>
      </c>
      <c r="K16" s="21">
        <f t="shared" si="1"/>
        <v>0</v>
      </c>
      <c r="L16" s="21">
        <f t="shared" ca="1" si="1"/>
        <v>0</v>
      </c>
      <c r="M16" s="21">
        <f t="shared" si="1"/>
        <v>0</v>
      </c>
      <c r="N16" s="21">
        <f t="shared" ca="1" si="1"/>
        <v>2319.001249122568</v>
      </c>
      <c r="O16" s="21">
        <f>O5</f>
        <v>10.943333333333335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0.14818198601795263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3418.6529227164215</v>
      </c>
      <c r="C20" s="23">
        <f t="shared" ref="C20:P20" ca="1" si="2">C16*C18</f>
        <v>0</v>
      </c>
      <c r="D20" s="23">
        <f t="shared" ca="1" si="2"/>
        <v>6349.0337328139331</v>
      </c>
      <c r="E20" s="23">
        <f t="shared" si="2"/>
        <v>85.468501220187136</v>
      </c>
      <c r="F20" s="23">
        <f t="shared" ca="1" si="2"/>
        <v>1286.5685138325314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4700.89444748804</v>
      </c>
      <c r="C26" s="39">
        <f>IF(ISERROR(B26*3.6/1000000/'E Balans VL '!Z12*100),0,B26*3.6/1000000/'E Balans VL '!Z12*100)</f>
        <v>9.9849326585051745E-2</v>
      </c>
      <c r="D26" s="239" t="s">
        <v>689</v>
      </c>
      <c r="F26" s="6"/>
    </row>
    <row r="27" spans="1:18">
      <c r="A27" s="233" t="s">
        <v>52</v>
      </c>
      <c r="B27" s="33">
        <f>IF(ISERROR(TER_horeca_ele_kWh/1000),0,TER_horeca_ele_kWh/1000)</f>
        <v>3550.6610507311998</v>
      </c>
      <c r="C27" s="39">
        <f>IF(ISERROR(B27*3.6/1000000/'E Balans VL '!Z9*100),0,B27*3.6/1000000/'E Balans VL '!Z9*100)</f>
        <v>0.27608552049815155</v>
      </c>
      <c r="D27" s="239" t="s">
        <v>689</v>
      </c>
      <c r="F27" s="6"/>
    </row>
    <row r="28" spans="1:18">
      <c r="A28" s="173" t="s">
        <v>51</v>
      </c>
      <c r="B28" s="33">
        <f>IF(ISERROR(TER_handel_ele_kWh/1000),0,TER_handel_ele_kWh/1000)</f>
        <v>7418.9558096540104</v>
      </c>
      <c r="C28" s="39">
        <f>IF(ISERROR(B28*3.6/1000000/'E Balans VL '!Z13*100),0,B28*3.6/1000000/'E Balans VL '!Z13*100)</f>
        <v>0.21226505695175918</v>
      </c>
      <c r="D28" s="239" t="s">
        <v>689</v>
      </c>
      <c r="F28" s="6"/>
    </row>
    <row r="29" spans="1:18">
      <c r="A29" s="233" t="s">
        <v>50</v>
      </c>
      <c r="B29" s="33">
        <f>IF(ISERROR(TER_gezond_ele_kWh/1000),0,TER_gezond_ele_kWh/1000)</f>
        <v>1053.40838602338</v>
      </c>
      <c r="C29" s="39">
        <f>IF(ISERROR(B29*3.6/1000000/'E Balans VL '!Z10*100),0,B29*3.6/1000000/'E Balans VL '!Z10*100)</f>
        <v>0.11484599235171537</v>
      </c>
      <c r="D29" s="239" t="s">
        <v>689</v>
      </c>
      <c r="F29" s="6"/>
    </row>
    <row r="30" spans="1:18">
      <c r="A30" s="233" t="s">
        <v>49</v>
      </c>
      <c r="B30" s="33">
        <f>IF(ISERROR(TER_ander_ele_kWh/1000),0,TER_ander_ele_kWh/1000)</f>
        <v>2937.7964207004402</v>
      </c>
      <c r="C30" s="39">
        <f>IF(ISERROR(B30*3.6/1000000/'E Balans VL '!Z14*100),0,B30*3.6/1000000/'E Balans VL '!Z14*100)</f>
        <v>0.2149812778336565</v>
      </c>
      <c r="D30" s="239" t="s">
        <v>689</v>
      </c>
      <c r="F30" s="6"/>
    </row>
    <row r="31" spans="1:18">
      <c r="A31" s="233" t="s">
        <v>54</v>
      </c>
      <c r="B31" s="33">
        <f>IF(ISERROR(TER_onderwijs_ele_kWh/1000),0,TER_onderwijs_ele_kWh/1000)</f>
        <v>417.52625443611703</v>
      </c>
      <c r="C31" s="39">
        <f>IF(ISERROR(B31*3.6/1000000/'E Balans VL '!Z11*100),0,B31*3.6/1000000/'E Balans VL '!Z11*100)</f>
        <v>8.386045824994115E-2</v>
      </c>
      <c r="D31" s="239" t="s">
        <v>689</v>
      </c>
    </row>
    <row r="32" spans="1:18">
      <c r="A32" s="233" t="s">
        <v>259</v>
      </c>
      <c r="B32" s="33">
        <f>IF(ISERROR(TER_rest_ele_kWh/1000),0,TER_rest_ele_kWh/1000)</f>
        <v>2991.3953959529199</v>
      </c>
      <c r="C32" s="39">
        <f>IF(ISERROR(B32*3.6/1000000/'E Balans VL '!Z8*100),0,B32*3.6/1000000/'E Balans VL '!Z8*100)</f>
        <v>2.4378057091388777E-2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7</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33594.197091832226</v>
      </c>
      <c r="C5" s="17">
        <f>IF(ISERROR('Eigen informatie GS &amp; warmtenet'!B59),0,'Eigen informatie GS &amp; warmtenet'!B59)</f>
        <v>0</v>
      </c>
      <c r="D5" s="30">
        <f>SUM(D6:D15)</f>
        <v>15867.828971854324</v>
      </c>
      <c r="E5" s="17">
        <f>SUM(E6:E15)</f>
        <v>2971.4757147018754</v>
      </c>
      <c r="F5" s="17">
        <f>SUM(F6:F15)</f>
        <v>18335.749713266479</v>
      </c>
      <c r="G5" s="18"/>
      <c r="H5" s="17"/>
      <c r="I5" s="17"/>
      <c r="J5" s="17">
        <f>SUM(J6:J15)</f>
        <v>51.102351804060774</v>
      </c>
      <c r="K5" s="17"/>
      <c r="L5" s="17"/>
      <c r="M5" s="17"/>
      <c r="N5" s="17">
        <f>SUM(N6:N15)</f>
        <v>3589.7992918610794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907.352948061191</v>
      </c>
      <c r="C8" s="33"/>
      <c r="D8" s="37">
        <f>IF( ISERROR(IND_metaal_Gas_kWH/1000),0,IND_metaal_Gas_kWH/1000)*0.902</f>
        <v>120.60210966494127</v>
      </c>
      <c r="E8" s="33">
        <f>C30*'E Balans VL '!I18/100/3.6*1000000</f>
        <v>26.062582453467613</v>
      </c>
      <c r="F8" s="33">
        <f>C30*'E Balans VL '!L18/100/3.6*1000000+C30*'E Balans VL '!N18/100/3.6*1000000</f>
        <v>232.71858027261229</v>
      </c>
      <c r="G8" s="34"/>
      <c r="H8" s="33"/>
      <c r="I8" s="33"/>
      <c r="J8" s="40">
        <f>C30*'E Balans VL '!D18/100/3.6*1000000+C30*'E Balans VL '!E18/100/3.6*1000000</f>
        <v>0</v>
      </c>
      <c r="K8" s="33"/>
      <c r="L8" s="33"/>
      <c r="M8" s="33"/>
      <c r="N8" s="33">
        <f>C30*'E Balans VL '!Y18/100/3.6*1000000</f>
        <v>24.636484709639522</v>
      </c>
      <c r="O8" s="33"/>
      <c r="P8" s="33"/>
      <c r="R8" s="32"/>
    </row>
    <row r="9" spans="1:18">
      <c r="A9" s="6" t="s">
        <v>32</v>
      </c>
      <c r="B9" s="37">
        <f t="shared" si="0"/>
        <v>4664.8604529430804</v>
      </c>
      <c r="C9" s="33"/>
      <c r="D9" s="37">
        <f>IF( ISERROR(IND_andere_gas_kWh/1000),0,IND_andere_gas_kWh/1000)*0.902</f>
        <v>4629.155238754809</v>
      </c>
      <c r="E9" s="33">
        <f>C31*'E Balans VL '!I19/100/3.6*1000000</f>
        <v>1262.6630294990614</v>
      </c>
      <c r="F9" s="33">
        <f>C31*'E Balans VL '!L19/100/3.6*1000000+C31*'E Balans VL '!N19/100/3.6*1000000</f>
        <v>3107.2907070137144</v>
      </c>
      <c r="G9" s="34"/>
      <c r="H9" s="33"/>
      <c r="I9" s="33"/>
      <c r="J9" s="40">
        <f>C31*'E Balans VL '!D19/100/3.6*1000000+C31*'E Balans VL '!E19/100/3.6*1000000</f>
        <v>0</v>
      </c>
      <c r="K9" s="33"/>
      <c r="L9" s="33"/>
      <c r="M9" s="33"/>
      <c r="N9" s="33">
        <f>C31*'E Balans VL '!Y19/100/3.6*1000000</f>
        <v>394.38305012455817</v>
      </c>
      <c r="O9" s="33"/>
      <c r="P9" s="33"/>
      <c r="R9" s="32"/>
    </row>
    <row r="10" spans="1:18">
      <c r="A10" s="6" t="s">
        <v>40</v>
      </c>
      <c r="B10" s="37">
        <f t="shared" si="0"/>
        <v>6855.8942394519199</v>
      </c>
      <c r="C10" s="33"/>
      <c r="D10" s="37">
        <f>IF( ISERROR(IND_voed_gas_kWh/1000),0,IND_voed_gas_kWh/1000)*0.902</f>
        <v>6849.2872201422515</v>
      </c>
      <c r="E10" s="33">
        <f>C32*'E Balans VL '!I20/100/3.6*1000000</f>
        <v>559.18248517685117</v>
      </c>
      <c r="F10" s="33">
        <f>C32*'E Balans VL '!L20/100/3.6*1000000+C32*'E Balans VL '!N20/100/3.6*1000000</f>
        <v>10222.760332250518</v>
      </c>
      <c r="G10" s="34"/>
      <c r="H10" s="33"/>
      <c r="I10" s="33"/>
      <c r="J10" s="40">
        <f>C32*'E Balans VL '!D20/100/3.6*1000000+C32*'E Balans VL '!E20/100/3.6*1000000</f>
        <v>9.0695158848735413E-2</v>
      </c>
      <c r="K10" s="33"/>
      <c r="L10" s="33"/>
      <c r="M10" s="33"/>
      <c r="N10" s="33">
        <f>C32*'E Balans VL '!Y20/100/3.6*1000000</f>
        <v>2014.0198091288091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1263.47335900383</v>
      </c>
      <c r="C13" s="33"/>
      <c r="D13" s="37">
        <f>IF( ISERROR(IND_papier_gas_kWh/1000),0,IND_papier_gas_kWh/1000)*0.902</f>
        <v>571.39004685570239</v>
      </c>
      <c r="E13" s="33">
        <f>C35*'E Balans VL '!I23/100/3.6*1000000</f>
        <v>13.23718520311693</v>
      </c>
      <c r="F13" s="33">
        <f>C35*'E Balans VL '!L23/100/3.6*1000000+C35*'E Balans VL '!N23/100/3.6*1000000</f>
        <v>94.280605994506502</v>
      </c>
      <c r="G13" s="34"/>
      <c r="H13" s="33"/>
      <c r="I13" s="33"/>
      <c r="J13" s="40">
        <f>C35*'E Balans VL '!D23/100/3.6*1000000+C35*'E Balans VL '!E23/100/3.6*1000000</f>
        <v>0</v>
      </c>
      <c r="K13" s="33"/>
      <c r="L13" s="33"/>
      <c r="M13" s="33"/>
      <c r="N13" s="33">
        <f>C35*'E Balans VL '!Y23/100/3.6*1000000</f>
        <v>233.08351530692977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19902.616092372202</v>
      </c>
      <c r="C15" s="33"/>
      <c r="D15" s="37">
        <f>IF( ISERROR(IND_rest_gas_kWh/1000),0,IND_rest_gas_kWh/1000)*0.902</f>
        <v>3697.3943564366195</v>
      </c>
      <c r="E15" s="33">
        <f>C37*'E Balans VL '!I15/100/3.6*1000000</f>
        <v>1110.3304323693781</v>
      </c>
      <c r="F15" s="33">
        <f>C37*'E Balans VL '!L15/100/3.6*1000000+C37*'E Balans VL '!N15/100/3.6*1000000</f>
        <v>4678.699487735129</v>
      </c>
      <c r="G15" s="34"/>
      <c r="H15" s="33"/>
      <c r="I15" s="33"/>
      <c r="J15" s="40">
        <f>C37*'E Balans VL '!D15/100/3.6*1000000+C37*'E Balans VL '!E15/100/3.6*1000000</f>
        <v>51.011656645212035</v>
      </c>
      <c r="K15" s="33"/>
      <c r="L15" s="33"/>
      <c r="M15" s="33"/>
      <c r="N15" s="33">
        <f>C37*'E Balans VL '!Y15/100/3.6*1000000</f>
        <v>923.67643259114266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33594.197091832226</v>
      </c>
      <c r="C18" s="21">
        <f>C5+C16</f>
        <v>0</v>
      </c>
      <c r="D18" s="21">
        <f>MAX((D5+D16),0)</f>
        <v>15867.828971854324</v>
      </c>
      <c r="E18" s="21">
        <f>MAX((E5+E16),0)</f>
        <v>2971.4757147018754</v>
      </c>
      <c r="F18" s="21">
        <f>MAX((F5+F16),0)</f>
        <v>18335.749713266479</v>
      </c>
      <c r="G18" s="21"/>
      <c r="H18" s="21"/>
      <c r="I18" s="21"/>
      <c r="J18" s="21">
        <f>MAX((J5+J16),0)</f>
        <v>51.102351804060774</v>
      </c>
      <c r="K18" s="21"/>
      <c r="L18" s="21">
        <f>MAX((L5+L16),0)</f>
        <v>0</v>
      </c>
      <c r="M18" s="21"/>
      <c r="N18" s="21">
        <f>MAX((N5+N16),0)</f>
        <v>3589.7992918610794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0.14818198601795263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4978.0548437462276</v>
      </c>
      <c r="C22" s="23">
        <f ca="1">C18*C20</f>
        <v>0</v>
      </c>
      <c r="D22" s="23">
        <f>D18*D20</f>
        <v>3205.3014523145735</v>
      </c>
      <c r="E22" s="23">
        <f>E18*E20</f>
        <v>674.52498723732572</v>
      </c>
      <c r="F22" s="23">
        <f>F18*F20</f>
        <v>4895.6451734421498</v>
      </c>
      <c r="G22" s="23"/>
      <c r="H22" s="23"/>
      <c r="I22" s="23"/>
      <c r="J22" s="23">
        <f>J18*J20</f>
        <v>18.090232538637512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907.352948061191</v>
      </c>
      <c r="C30" s="39">
        <f>IF(ISERROR(B30*3.6/1000000/'E Balans VL '!Z18*100),0,B30*3.6/1000000/'E Balans VL '!Z18*100)</f>
        <v>8.9281213863880826E-2</v>
      </c>
      <c r="D30" s="239" t="s">
        <v>689</v>
      </c>
    </row>
    <row r="31" spans="1:18">
      <c r="A31" s="6" t="s">
        <v>32</v>
      </c>
      <c r="B31" s="37">
        <f>IF( ISERROR(IND_ander_ele_kWh/1000),0,IND_ander_ele_kWh/1000)</f>
        <v>4664.8604529430804</v>
      </c>
      <c r="C31" s="39">
        <f>IF(ISERROR(B31*3.6/1000000/'E Balans VL '!Z19*100),0,B31*3.6/1000000/'E Balans VL '!Z19*100)</f>
        <v>0.20315095160314331</v>
      </c>
      <c r="D31" s="239" t="s">
        <v>689</v>
      </c>
    </row>
    <row r="32" spans="1:18">
      <c r="A32" s="173" t="s">
        <v>40</v>
      </c>
      <c r="B32" s="37">
        <f>IF( ISERROR(IND_voed_ele_kWh/1000),0,IND_voed_ele_kWh/1000)</f>
        <v>6855.8942394519199</v>
      </c>
      <c r="C32" s="39">
        <f>IF(ISERROR(B32*3.6/1000000/'E Balans VL '!Z20*100),0,B32*3.6/1000000/'E Balans VL '!Z20*100)</f>
        <v>1.3008070591849987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1263.47335900383</v>
      </c>
      <c r="C35" s="39">
        <f>IF(ISERROR(B35*3.6/1000000/'E Balans VL '!Z22*100),0,B35*3.6/1000000/'E Balans VL '!Z22*100)</f>
        <v>0.17765704167994795</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19902.616092372202</v>
      </c>
      <c r="C37" s="39">
        <f>IF(ISERROR(B37*3.6/1000000/'E Balans VL '!Z15*100),0,B37*3.6/1000000/'E Balans VL '!Z15*100)</f>
        <v>0.15337410244319463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5459.9023635801077</v>
      </c>
      <c r="C5" s="17">
        <f>'Eigen informatie GS &amp; warmtenet'!B60</f>
        <v>0</v>
      </c>
      <c r="D5" s="30">
        <f>IF(ISERROR(SUM(LB_lb_gas_kWh,LB_rest_gas_kWh)/1000),0,SUM(LB_lb_gas_kWh,LB_rest_gas_kWh)/1000)*0.902</f>
        <v>232.32231644886576</v>
      </c>
      <c r="E5" s="17">
        <f>B17*'E Balans VL '!I25/3.6*1000000/100</f>
        <v>68.801803565466741</v>
      </c>
      <c r="F5" s="17">
        <f>B17*('E Balans VL '!L25/3.6*1000000+'E Balans VL '!N25/3.6*1000000)/100</f>
        <v>18838.030941622092</v>
      </c>
      <c r="G5" s="18"/>
      <c r="H5" s="17"/>
      <c r="I5" s="17"/>
      <c r="J5" s="17">
        <f>('E Balans VL '!D25+'E Balans VL '!E25)/3.6*1000000*landbouw!B17/100</f>
        <v>821.10724950289136</v>
      </c>
      <c r="K5" s="17"/>
      <c r="L5" s="17">
        <f>L6*(-1)</f>
        <v>0</v>
      </c>
      <c r="M5" s="17"/>
      <c r="N5" s="17">
        <f>N6*(-1)</f>
        <v>114.32142857142857</v>
      </c>
      <c r="O5" s="17"/>
      <c r="P5" s="17"/>
      <c r="R5" s="32"/>
    </row>
    <row r="6" spans="1:18">
      <c r="A6" s="16" t="s">
        <v>496</v>
      </c>
      <c r="B6" s="17" t="s">
        <v>210</v>
      </c>
      <c r="C6" s="17">
        <f>'lokale energieproductie'!O39+'lokale energieproductie'!O32</f>
        <v>57.160714285714278</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5459.9023635801077</v>
      </c>
      <c r="C8" s="21">
        <f>C5+C6</f>
        <v>57.160714285714278</v>
      </c>
      <c r="D8" s="21">
        <f>MAX((D5+D6),0)</f>
        <v>232.32231644886576</v>
      </c>
      <c r="E8" s="21">
        <f>MAX((E5+E6),0)</f>
        <v>68.801803565466741</v>
      </c>
      <c r="F8" s="21">
        <f>MAX((F5+F6),0)</f>
        <v>18838.030941622092</v>
      </c>
      <c r="G8" s="21"/>
      <c r="H8" s="21"/>
      <c r="I8" s="21"/>
      <c r="J8" s="21">
        <f>MAX((J5+J6),0)</f>
        <v>821.10724950289136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0.14818198601795263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809.05917569941403</v>
      </c>
      <c r="C12" s="23">
        <f ca="1">C8*C10</f>
        <v>0</v>
      </c>
      <c r="D12" s="23">
        <f>D8*D10</f>
        <v>46.929107922670887</v>
      </c>
      <c r="E12" s="23">
        <f>E8*E10</f>
        <v>15.618009409360951</v>
      </c>
      <c r="F12" s="23">
        <f>F8*F10</f>
        <v>5029.7542614130989</v>
      </c>
      <c r="G12" s="23"/>
      <c r="H12" s="23"/>
      <c r="I12" s="23"/>
      <c r="J12" s="23">
        <f>J8*J10</f>
        <v>290.67196632402351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0.76148429358588843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1311.3888507571965</v>
      </c>
      <c r="C26" s="249">
        <f>B26*'GWP N2O_CH4'!B5</f>
        <v>27539.165865901126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420.93891602759868</v>
      </c>
      <c r="C27" s="249">
        <f>B27*'GWP N2O_CH4'!B5</f>
        <v>8839.7172365795723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17.652507823663683</v>
      </c>
      <c r="C28" s="249">
        <f>B28*'GWP N2O_CH4'!B4</f>
        <v>5472.277425335742</v>
      </c>
      <c r="D28" s="50"/>
    </row>
    <row r="29" spans="1:4">
      <c r="A29" s="41" t="s">
        <v>276</v>
      </c>
      <c r="B29" s="249">
        <f>B34*'ha_N2O bodem landbouw'!B4</f>
        <v>38.497661918150065</v>
      </c>
      <c r="C29" s="249">
        <f>B29*'GWP N2O_CH4'!B4</f>
        <v>11934.27519462652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9.6124815015877028E-3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3.5295797617238953E-5</v>
      </c>
      <c r="C5" s="444" t="s">
        <v>210</v>
      </c>
      <c r="D5" s="429">
        <f>SUM(D6:D11)</f>
        <v>5.9415973833206199E-5</v>
      </c>
      <c r="E5" s="429">
        <f>SUM(E6:E11)</f>
        <v>2.1167952580706997E-3</v>
      </c>
      <c r="F5" s="442" t="s">
        <v>210</v>
      </c>
      <c r="G5" s="429">
        <f>SUM(G6:G11)</f>
        <v>0.64210283741826701</v>
      </c>
      <c r="H5" s="429">
        <f>SUM(H6:H11)</f>
        <v>0.10839070556331579</v>
      </c>
      <c r="I5" s="444" t="s">
        <v>210</v>
      </c>
      <c r="J5" s="444" t="s">
        <v>210</v>
      </c>
      <c r="K5" s="444" t="s">
        <v>210</v>
      </c>
      <c r="L5" s="444" t="s">
        <v>210</v>
      </c>
      <c r="M5" s="429">
        <f>SUM(M6:M11)</f>
        <v>3.3932539557649369E-2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2.66999547285169E-5</v>
      </c>
      <c r="C6" s="883"/>
      <c r="D6" s="883">
        <f>vkm_GW_PW*SUMIFS(TableVerdeelsleutelVkm[CNG],TableVerdeelsleutelVkm[Voertuigtype],"Lichte voertuigen")*SUMIFS(TableECFTransport[EnergieConsumptieFactor (PJ per km)],TableECFTransport[Index],CONCATENATE($A6,"_CNG_CNG"))</f>
        <v>3.9568537632852264E-5</v>
      </c>
      <c r="E6" s="883">
        <f>vkm_GW_PW*SUMIFS(TableVerdeelsleutelVkm[LPG],TableVerdeelsleutelVkm[Voertuigtype],"Lichte voertuigen")*SUMIFS(TableECFTransport[EnergieConsumptieFactor (PJ per km)],TableECFTransport[Index],CONCATENATE($A6,"_LPG_LPG"))</f>
        <v>1.4172004330707511E-3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0.28521585048832493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7.2862465727304954E-2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1.6199265151936808E-2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0.18012135091632189</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4.1850016539362583E-6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8.1327601400197781E-3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6.8862261784352505E-6</v>
      </c>
      <c r="C8" s="883"/>
      <c r="D8" s="432">
        <f>vkm_NGW_PW*SUMIFS(TableVerdeelsleutelVkm[CNG],TableVerdeelsleutelVkm[Voertuigtype],"Lichte voertuigen")*SUMIFS(TableECFTransport[EnergieConsumptieFactor (PJ per km)],TableECFTransport[Index],CONCATENATE($A8,"_CNG_CNG"))</f>
        <v>1.731845053163364E-5</v>
      </c>
      <c r="E8" s="432">
        <f>vkm_NGW_PW*SUMIFS(TableVerdeelsleutelVkm[LPG],TableVerdeelsleutelVkm[Voertuigtype],"Lichte voertuigen")*SUMIFS(TableECFTransport[EnergieConsumptieFactor (PJ per km)],TableECFTransport[Index],CONCATENATE($A8,"_LPG_LPG"))</f>
        <v>5.8651743561815661E-4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0.11212692235777215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3.0644054901960077E-2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6.459576332981022E-3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2.8215020077250377E-2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7.5985076681148715E-7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1.2739569509683994E-3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1.7096167102868E-6</v>
      </c>
      <c r="C10" s="883"/>
      <c r="D10" s="432">
        <f>vkm_SW_PW*SUMIFS(TableVerdeelsleutelVkm[CNG],TableVerdeelsleutelVkm[Voertuigtype],"Lichte voertuigen")*SUMIFS(TableECFTransport[EnergieConsumptieFactor (PJ per km)],TableECFTransport[Index],CONCATENATE($A10,"_CNG_CNG"))</f>
        <v>2.5289856687202964E-6</v>
      </c>
      <c r="E10" s="432">
        <f>vkm_SW_PW*SUMIFS(TableVerdeelsleutelVkm[LPG],TableVerdeelsleutelVkm[Voertuigtype],"Lichte voertuigen")*SUMIFS(TableECFTransport[EnergieConsumptieFactor (PJ per km)],TableECFTransport[Index],CONCATENATE($A10,"_LPG_LPG"))</f>
        <v>1.1307738938179185E-4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2.0630094378741196E-2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4.8788486607109476E-3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1.1538742107113328E-3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1.5793599199856422E-2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3.9142091906923609E-7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7.1310677103203208E-4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9.8043882270108202</v>
      </c>
      <c r="C14" s="21"/>
      <c r="D14" s="21">
        <f t="shared" ref="D14:M14" si="0">((D5)*10^9/3600)+D12</f>
        <v>16.504437175890612</v>
      </c>
      <c r="E14" s="21">
        <f t="shared" si="0"/>
        <v>587.99868279741668</v>
      </c>
      <c r="F14" s="21"/>
      <c r="G14" s="21">
        <f t="shared" si="0"/>
        <v>178361.89928285195</v>
      </c>
      <c r="H14" s="21">
        <f t="shared" si="0"/>
        <v>30108.529323143277</v>
      </c>
      <c r="I14" s="21"/>
      <c r="J14" s="21"/>
      <c r="K14" s="21"/>
      <c r="L14" s="21"/>
      <c r="M14" s="21">
        <f t="shared" si="0"/>
        <v>9425.7054326803791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0.14818198601795263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1.4528337191694967</v>
      </c>
      <c r="C18" s="23"/>
      <c r="D18" s="23">
        <f t="shared" ref="D18:M18" si="1">D14*D16</f>
        <v>3.3338963095299037</v>
      </c>
      <c r="E18" s="23">
        <f t="shared" si="1"/>
        <v>133.4757009950136</v>
      </c>
      <c r="F18" s="23"/>
      <c r="G18" s="23">
        <f t="shared" si="1"/>
        <v>47622.627108521476</v>
      </c>
      <c r="H18" s="23">
        <f t="shared" si="1"/>
        <v>7497.0238014626757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5.2581241006832867E-3</v>
      </c>
      <c r="H50" s="321">
        <f t="shared" si="2"/>
        <v>0</v>
      </c>
      <c r="I50" s="321">
        <f t="shared" si="2"/>
        <v>0</v>
      </c>
      <c r="J50" s="321">
        <f t="shared" si="2"/>
        <v>0</v>
      </c>
      <c r="K50" s="321">
        <f t="shared" si="2"/>
        <v>0</v>
      </c>
      <c r="L50" s="321">
        <f t="shared" si="2"/>
        <v>0</v>
      </c>
      <c r="M50" s="321">
        <f t="shared" si="2"/>
        <v>2.340434537263842E-4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5.2581241006832867E-3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2.340434537263842E-4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1460.5900279675798</v>
      </c>
      <c r="H54" s="21">
        <f t="shared" si="3"/>
        <v>0</v>
      </c>
      <c r="I54" s="21">
        <f t="shared" si="3"/>
        <v>0</v>
      </c>
      <c r="J54" s="21">
        <f t="shared" si="3"/>
        <v>0</v>
      </c>
      <c r="K54" s="21">
        <f t="shared" si="3"/>
        <v>0</v>
      </c>
      <c r="L54" s="21">
        <f t="shared" si="3"/>
        <v>0</v>
      </c>
      <c r="M54" s="21">
        <f t="shared" si="3"/>
        <v>65.01207047955117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0.14818198601795263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389.97753746734384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24656.722764986109</v>
      </c>
      <c r="D10" s="686">
        <f ca="1">tertiair!C16</f>
        <v>0</v>
      </c>
      <c r="E10" s="686">
        <f ca="1">tertiair!D16</f>
        <v>31430.86006343531</v>
      </c>
      <c r="F10" s="686">
        <f>tertiair!E16</f>
        <v>376.51322123430458</v>
      </c>
      <c r="G10" s="686">
        <f ca="1">tertiair!F16</f>
        <v>4818.6086660394431</v>
      </c>
      <c r="H10" s="686">
        <f>tertiair!G16</f>
        <v>0</v>
      </c>
      <c r="I10" s="686">
        <f>tertiair!H16</f>
        <v>0</v>
      </c>
      <c r="J10" s="686">
        <f>tertiair!I16</f>
        <v>0</v>
      </c>
      <c r="K10" s="686">
        <f>tertiair!J16</f>
        <v>0</v>
      </c>
      <c r="L10" s="686">
        <f>tertiair!K16</f>
        <v>0</v>
      </c>
      <c r="M10" s="686">
        <f ca="1">tertiair!L16</f>
        <v>0</v>
      </c>
      <c r="N10" s="686">
        <f>tertiair!M16</f>
        <v>0</v>
      </c>
      <c r="O10" s="686">
        <f ca="1">tertiair!N16</f>
        <v>2319.001249122568</v>
      </c>
      <c r="P10" s="686">
        <f>tertiair!O16</f>
        <v>10.943333333333335</v>
      </c>
      <c r="Q10" s="687">
        <f>tertiair!P16</f>
        <v>57.2</v>
      </c>
      <c r="R10" s="689">
        <f ca="1">SUM(C10:Q10)</f>
        <v>63669.849298151072</v>
      </c>
      <c r="S10" s="67"/>
    </row>
    <row r="11" spans="1:19" s="454" customFormat="1">
      <c r="A11" s="801" t="s">
        <v>224</v>
      </c>
      <c r="B11" s="806"/>
      <c r="C11" s="686">
        <f>huishoudens!B8</f>
        <v>45528.878136838306</v>
      </c>
      <c r="D11" s="686">
        <f>huishoudens!C8</f>
        <v>0</v>
      </c>
      <c r="E11" s="686">
        <f>huishoudens!D8</f>
        <v>97108.898611947428</v>
      </c>
      <c r="F11" s="686">
        <f>huishoudens!E8</f>
        <v>11808.787342354957</v>
      </c>
      <c r="G11" s="686">
        <f>huishoudens!F8</f>
        <v>22400.161674491017</v>
      </c>
      <c r="H11" s="686">
        <f>huishoudens!G8</f>
        <v>0</v>
      </c>
      <c r="I11" s="686">
        <f>huishoudens!H8</f>
        <v>0</v>
      </c>
      <c r="J11" s="686">
        <f>huishoudens!I8</f>
        <v>0</v>
      </c>
      <c r="K11" s="686">
        <f>huishoudens!J8</f>
        <v>4647.2537266831059</v>
      </c>
      <c r="L11" s="686">
        <f>huishoudens!K8</f>
        <v>0</v>
      </c>
      <c r="M11" s="686">
        <f>huishoudens!L8</f>
        <v>0</v>
      </c>
      <c r="N11" s="686">
        <f>huishoudens!M8</f>
        <v>0</v>
      </c>
      <c r="O11" s="686">
        <f>huishoudens!N8</f>
        <v>37163.805013514531</v>
      </c>
      <c r="P11" s="686">
        <f>huishoudens!O8</f>
        <v>312.66666666666669</v>
      </c>
      <c r="Q11" s="687">
        <f>huishoudens!P8</f>
        <v>934.26666666666665</v>
      </c>
      <c r="R11" s="689">
        <f>SUM(C11:Q11)</f>
        <v>219904.71783916265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33594.197091832226</v>
      </c>
      <c r="D13" s="686">
        <f>industrie!C18</f>
        <v>0</v>
      </c>
      <c r="E13" s="686">
        <f>industrie!D18</f>
        <v>15867.828971854324</v>
      </c>
      <c r="F13" s="686">
        <f>industrie!E18</f>
        <v>2971.4757147018754</v>
      </c>
      <c r="G13" s="686">
        <f>industrie!F18</f>
        <v>18335.749713266479</v>
      </c>
      <c r="H13" s="686">
        <f>industrie!G18</f>
        <v>0</v>
      </c>
      <c r="I13" s="686">
        <f>industrie!H18</f>
        <v>0</v>
      </c>
      <c r="J13" s="686">
        <f>industrie!I18</f>
        <v>0</v>
      </c>
      <c r="K13" s="686">
        <f>industrie!J18</f>
        <v>51.102351804060774</v>
      </c>
      <c r="L13" s="686">
        <f>industrie!K18</f>
        <v>0</v>
      </c>
      <c r="M13" s="686">
        <f>industrie!L18</f>
        <v>0</v>
      </c>
      <c r="N13" s="686">
        <f>industrie!M18</f>
        <v>0</v>
      </c>
      <c r="O13" s="686">
        <f>industrie!N18</f>
        <v>3589.7992918610794</v>
      </c>
      <c r="P13" s="686">
        <f>industrie!O18</f>
        <v>0</v>
      </c>
      <c r="Q13" s="687">
        <f>industrie!P18</f>
        <v>0</v>
      </c>
      <c r="R13" s="689">
        <f>SUM(C13:Q13)</f>
        <v>74410.153135320041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103779.79799365666</v>
      </c>
      <c r="D16" s="721">
        <f t="shared" ref="D16:R16" ca="1" si="0">SUM(D9:D15)</f>
        <v>0</v>
      </c>
      <c r="E16" s="721">
        <f t="shared" ca="1" si="0"/>
        <v>144407.58764723706</v>
      </c>
      <c r="F16" s="721">
        <f t="shared" si="0"/>
        <v>15156.776278291138</v>
      </c>
      <c r="G16" s="721">
        <f t="shared" ca="1" si="0"/>
        <v>45554.520053796936</v>
      </c>
      <c r="H16" s="721">
        <f t="shared" si="0"/>
        <v>0</v>
      </c>
      <c r="I16" s="721">
        <f t="shared" si="0"/>
        <v>0</v>
      </c>
      <c r="J16" s="721">
        <f t="shared" si="0"/>
        <v>0</v>
      </c>
      <c r="K16" s="721">
        <f t="shared" si="0"/>
        <v>4698.356078487167</v>
      </c>
      <c r="L16" s="721">
        <f t="shared" si="0"/>
        <v>0</v>
      </c>
      <c r="M16" s="721">
        <f t="shared" ca="1" si="0"/>
        <v>0</v>
      </c>
      <c r="N16" s="721">
        <f t="shared" si="0"/>
        <v>0</v>
      </c>
      <c r="O16" s="721">
        <f t="shared" ca="1" si="0"/>
        <v>43072.605554498172</v>
      </c>
      <c r="P16" s="721">
        <f t="shared" si="0"/>
        <v>323.61</v>
      </c>
      <c r="Q16" s="721">
        <f t="shared" si="0"/>
        <v>991.4666666666667</v>
      </c>
      <c r="R16" s="721">
        <f t="shared" ca="1" si="0"/>
        <v>357984.72027263377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1460.5900279675798</v>
      </c>
      <c r="I19" s="686">
        <f>transport!H54</f>
        <v>0</v>
      </c>
      <c r="J19" s="686">
        <f>transport!I54</f>
        <v>0</v>
      </c>
      <c r="K19" s="686">
        <f>transport!J54</f>
        <v>0</v>
      </c>
      <c r="L19" s="686">
        <f>transport!K54</f>
        <v>0</v>
      </c>
      <c r="M19" s="686">
        <f>transport!L54</f>
        <v>0</v>
      </c>
      <c r="N19" s="686">
        <f>transport!M54</f>
        <v>65.01207047955117</v>
      </c>
      <c r="O19" s="686">
        <f>transport!N54</f>
        <v>0</v>
      </c>
      <c r="P19" s="686">
        <f>transport!O54</f>
        <v>0</v>
      </c>
      <c r="Q19" s="687">
        <f>transport!P54</f>
        <v>0</v>
      </c>
      <c r="R19" s="689">
        <f>SUM(C19:Q19)</f>
        <v>1525.6020984471309</v>
      </c>
      <c r="S19" s="67"/>
    </row>
    <row r="20" spans="1:19" s="454" customFormat="1">
      <c r="A20" s="801" t="s">
        <v>306</v>
      </c>
      <c r="B20" s="806"/>
      <c r="C20" s="686">
        <f>transport!B14</f>
        <v>9.8043882270108202</v>
      </c>
      <c r="D20" s="686">
        <f>transport!C14</f>
        <v>0</v>
      </c>
      <c r="E20" s="686">
        <f>transport!D14</f>
        <v>16.504437175890612</v>
      </c>
      <c r="F20" s="686">
        <f>transport!E14</f>
        <v>587.99868279741668</v>
      </c>
      <c r="G20" s="686">
        <f>transport!F14</f>
        <v>0</v>
      </c>
      <c r="H20" s="686">
        <f>transport!G14</f>
        <v>178361.89928285195</v>
      </c>
      <c r="I20" s="686">
        <f>transport!H14</f>
        <v>30108.529323143277</v>
      </c>
      <c r="J20" s="686">
        <f>transport!I14</f>
        <v>0</v>
      </c>
      <c r="K20" s="686">
        <f>transport!J14</f>
        <v>0</v>
      </c>
      <c r="L20" s="686">
        <f>transport!K14</f>
        <v>0</v>
      </c>
      <c r="M20" s="686">
        <f>transport!L14</f>
        <v>0</v>
      </c>
      <c r="N20" s="686">
        <f>transport!M14</f>
        <v>9425.7054326803791</v>
      </c>
      <c r="O20" s="686">
        <f>transport!N14</f>
        <v>0</v>
      </c>
      <c r="P20" s="686">
        <f>transport!O14</f>
        <v>0</v>
      </c>
      <c r="Q20" s="687">
        <f>transport!P14</f>
        <v>0</v>
      </c>
      <c r="R20" s="689">
        <f>SUM(C20:Q20)</f>
        <v>218510.44154687593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9.8043882270108202</v>
      </c>
      <c r="D22" s="804">
        <f t="shared" ref="D22:R22" si="1">SUM(D18:D21)</f>
        <v>0</v>
      </c>
      <c r="E22" s="804">
        <f t="shared" si="1"/>
        <v>16.504437175890612</v>
      </c>
      <c r="F22" s="804">
        <f t="shared" si="1"/>
        <v>587.99868279741668</v>
      </c>
      <c r="G22" s="804">
        <f t="shared" si="1"/>
        <v>0</v>
      </c>
      <c r="H22" s="804">
        <f t="shared" si="1"/>
        <v>179822.48931081954</v>
      </c>
      <c r="I22" s="804">
        <f t="shared" si="1"/>
        <v>30108.529323143277</v>
      </c>
      <c r="J22" s="804">
        <f t="shared" si="1"/>
        <v>0</v>
      </c>
      <c r="K22" s="804">
        <f t="shared" si="1"/>
        <v>0</v>
      </c>
      <c r="L22" s="804">
        <f t="shared" si="1"/>
        <v>0</v>
      </c>
      <c r="M22" s="804">
        <f t="shared" si="1"/>
        <v>0</v>
      </c>
      <c r="N22" s="804">
        <f t="shared" si="1"/>
        <v>9490.7175031599309</v>
      </c>
      <c r="O22" s="804">
        <f t="shared" si="1"/>
        <v>0</v>
      </c>
      <c r="P22" s="804">
        <f t="shared" si="1"/>
        <v>0</v>
      </c>
      <c r="Q22" s="804">
        <f t="shared" si="1"/>
        <v>0</v>
      </c>
      <c r="R22" s="804">
        <f t="shared" si="1"/>
        <v>220036.04364532305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5459.9023635801077</v>
      </c>
      <c r="D24" s="686">
        <f>+landbouw!C8</f>
        <v>57.160714285714278</v>
      </c>
      <c r="E24" s="686">
        <f>+landbouw!D8</f>
        <v>232.32231644886576</v>
      </c>
      <c r="F24" s="686">
        <f>+landbouw!E8</f>
        <v>68.801803565466741</v>
      </c>
      <c r="G24" s="686">
        <f>+landbouw!F8</f>
        <v>18838.030941622092</v>
      </c>
      <c r="H24" s="686">
        <f>+landbouw!G8</f>
        <v>0</v>
      </c>
      <c r="I24" s="686">
        <f>+landbouw!H8</f>
        <v>0</v>
      </c>
      <c r="J24" s="686">
        <f>+landbouw!I8</f>
        <v>0</v>
      </c>
      <c r="K24" s="686">
        <f>+landbouw!J8</f>
        <v>821.10724950289136</v>
      </c>
      <c r="L24" s="686">
        <f>+landbouw!K8</f>
        <v>0</v>
      </c>
      <c r="M24" s="686">
        <f>+landbouw!L8</f>
        <v>0</v>
      </c>
      <c r="N24" s="686">
        <f>+landbouw!M8</f>
        <v>0</v>
      </c>
      <c r="O24" s="686">
        <f>+landbouw!N8</f>
        <v>0</v>
      </c>
      <c r="P24" s="686">
        <f>+landbouw!O8</f>
        <v>0</v>
      </c>
      <c r="Q24" s="687">
        <f>+landbouw!P8</f>
        <v>0</v>
      </c>
      <c r="R24" s="689">
        <f>SUM(C24:Q24)</f>
        <v>25477.325389005138</v>
      </c>
      <c r="S24" s="67"/>
    </row>
    <row r="25" spans="1:19" s="454" customFormat="1" ht="15" thickBot="1">
      <c r="A25" s="823" t="s">
        <v>856</v>
      </c>
      <c r="B25" s="991"/>
      <c r="C25" s="992">
        <f>IF(Onbekend_ele_kWh="---",0,Onbekend_ele_kWh)/1000+IF(REST_rest_ele_kWh="---",0,REST_rest_ele_kWh)/1000</f>
        <v>1552.86171353656</v>
      </c>
      <c r="D25" s="992"/>
      <c r="E25" s="992">
        <f>IF(onbekend_gas_kWh="---",0,onbekend_gas_kWh)/1000+IF(REST_rest_gas_kWh="---",0,REST_rest_gas_kWh)/1000</f>
        <v>3761.8598199156299</v>
      </c>
      <c r="F25" s="992"/>
      <c r="G25" s="992"/>
      <c r="H25" s="992"/>
      <c r="I25" s="992"/>
      <c r="J25" s="992"/>
      <c r="K25" s="992"/>
      <c r="L25" s="992"/>
      <c r="M25" s="992"/>
      <c r="N25" s="992"/>
      <c r="O25" s="992"/>
      <c r="P25" s="992"/>
      <c r="Q25" s="993"/>
      <c r="R25" s="689">
        <f>SUM(C25:Q25)</f>
        <v>5314.7215334521898</v>
      </c>
      <c r="S25" s="67"/>
    </row>
    <row r="26" spans="1:19" s="454" customFormat="1" ht="15.75" thickBot="1">
      <c r="A26" s="694" t="s">
        <v>857</v>
      </c>
      <c r="B26" s="809"/>
      <c r="C26" s="804">
        <f>SUM(C24:C25)</f>
        <v>7012.764077116668</v>
      </c>
      <c r="D26" s="804">
        <f t="shared" ref="D26:R26" si="2">SUM(D24:D25)</f>
        <v>57.160714285714278</v>
      </c>
      <c r="E26" s="804">
        <f t="shared" si="2"/>
        <v>3994.1821363644958</v>
      </c>
      <c r="F26" s="804">
        <f t="shared" si="2"/>
        <v>68.801803565466741</v>
      </c>
      <c r="G26" s="804">
        <f t="shared" si="2"/>
        <v>18838.030941622092</v>
      </c>
      <c r="H26" s="804">
        <f t="shared" si="2"/>
        <v>0</v>
      </c>
      <c r="I26" s="804">
        <f t="shared" si="2"/>
        <v>0</v>
      </c>
      <c r="J26" s="804">
        <f t="shared" si="2"/>
        <v>0</v>
      </c>
      <c r="K26" s="804">
        <f t="shared" si="2"/>
        <v>821.10724950289136</v>
      </c>
      <c r="L26" s="804">
        <f t="shared" si="2"/>
        <v>0</v>
      </c>
      <c r="M26" s="804">
        <f t="shared" si="2"/>
        <v>0</v>
      </c>
      <c r="N26" s="804">
        <f t="shared" si="2"/>
        <v>0</v>
      </c>
      <c r="O26" s="804">
        <f t="shared" si="2"/>
        <v>0</v>
      </c>
      <c r="P26" s="804">
        <f t="shared" si="2"/>
        <v>0</v>
      </c>
      <c r="Q26" s="804">
        <f t="shared" si="2"/>
        <v>0</v>
      </c>
      <c r="R26" s="804">
        <f t="shared" si="2"/>
        <v>30792.046922457328</v>
      </c>
      <c r="S26" s="67"/>
    </row>
    <row r="27" spans="1:19" s="454" customFormat="1" ht="17.25" thickTop="1" thickBot="1">
      <c r="A27" s="695" t="s">
        <v>115</v>
      </c>
      <c r="B27" s="796"/>
      <c r="C27" s="696">
        <f ca="1">C22+C16+C26</f>
        <v>110802.36645900033</v>
      </c>
      <c r="D27" s="696">
        <f t="shared" ref="D27:R27" ca="1" si="3">D22+D16+D26</f>
        <v>57.160714285714278</v>
      </c>
      <c r="E27" s="696">
        <f t="shared" ca="1" si="3"/>
        <v>148418.27422077744</v>
      </c>
      <c r="F27" s="696">
        <f t="shared" si="3"/>
        <v>15813.576764654021</v>
      </c>
      <c r="G27" s="696">
        <f t="shared" ca="1" si="3"/>
        <v>64392.550995419027</v>
      </c>
      <c r="H27" s="696">
        <f t="shared" si="3"/>
        <v>179822.48931081954</v>
      </c>
      <c r="I27" s="696">
        <f t="shared" si="3"/>
        <v>30108.529323143277</v>
      </c>
      <c r="J27" s="696">
        <f t="shared" si="3"/>
        <v>0</v>
      </c>
      <c r="K27" s="696">
        <f t="shared" si="3"/>
        <v>5519.4633279900581</v>
      </c>
      <c r="L27" s="696">
        <f t="shared" si="3"/>
        <v>0</v>
      </c>
      <c r="M27" s="696">
        <f t="shared" ca="1" si="3"/>
        <v>0</v>
      </c>
      <c r="N27" s="696">
        <f t="shared" si="3"/>
        <v>9490.7175031599309</v>
      </c>
      <c r="O27" s="696">
        <f t="shared" ca="1" si="3"/>
        <v>43072.605554498172</v>
      </c>
      <c r="P27" s="696">
        <f t="shared" si="3"/>
        <v>323.61</v>
      </c>
      <c r="Q27" s="696">
        <f t="shared" si="3"/>
        <v>991.4666666666667</v>
      </c>
      <c r="R27" s="696">
        <f t="shared" ca="1" si="3"/>
        <v>608812.81084041414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3653.682148009706</v>
      </c>
      <c r="D40" s="686">
        <f ca="1">tertiair!C20</f>
        <v>0</v>
      </c>
      <c r="E40" s="686">
        <f ca="1">tertiair!D20</f>
        <v>6349.0337328139331</v>
      </c>
      <c r="F40" s="686">
        <f>tertiair!E20</f>
        <v>85.468501220187136</v>
      </c>
      <c r="G40" s="686">
        <f ca="1">tertiair!F20</f>
        <v>1286.5685138325314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11374.752895876358</v>
      </c>
    </row>
    <row r="41" spans="1:18">
      <c r="A41" s="814" t="s">
        <v>224</v>
      </c>
      <c r="B41" s="821"/>
      <c r="C41" s="686">
        <f ca="1">huishoudens!B12</f>
        <v>6746.5595834860433</v>
      </c>
      <c r="D41" s="686">
        <f ca="1">huishoudens!C12</f>
        <v>0</v>
      </c>
      <c r="E41" s="686">
        <f>huishoudens!D12</f>
        <v>19615.997519613382</v>
      </c>
      <c r="F41" s="686">
        <f>huishoudens!E12</f>
        <v>2680.5947267145752</v>
      </c>
      <c r="G41" s="686">
        <f>huishoudens!F12</f>
        <v>5980.8431670891023</v>
      </c>
      <c r="H41" s="686">
        <f>huishoudens!G12</f>
        <v>0</v>
      </c>
      <c r="I41" s="686">
        <f>huishoudens!H12</f>
        <v>0</v>
      </c>
      <c r="J41" s="686">
        <f>huishoudens!I12</f>
        <v>0</v>
      </c>
      <c r="K41" s="686">
        <f>huishoudens!J12</f>
        <v>1645.1278192458194</v>
      </c>
      <c r="L41" s="686">
        <f>huishoudens!K12</f>
        <v>0</v>
      </c>
      <c r="M41" s="686">
        <f>huishoudens!L12</f>
        <v>0</v>
      </c>
      <c r="N41" s="686">
        <f>huishoudens!M12</f>
        <v>0</v>
      </c>
      <c r="O41" s="686">
        <f>huishoudens!N12</f>
        <v>0</v>
      </c>
      <c r="P41" s="686">
        <f>huishoudens!O12</f>
        <v>0</v>
      </c>
      <c r="Q41" s="763">
        <f>huishoudens!P12</f>
        <v>0</v>
      </c>
      <c r="R41" s="842">
        <f t="shared" ca="1" si="4"/>
        <v>36669.12281614892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4978.0548437462276</v>
      </c>
      <c r="D43" s="686">
        <f ca="1">industrie!C22</f>
        <v>0</v>
      </c>
      <c r="E43" s="686">
        <f>industrie!D22</f>
        <v>3205.3014523145735</v>
      </c>
      <c r="F43" s="686">
        <f>industrie!E22</f>
        <v>674.52498723732572</v>
      </c>
      <c r="G43" s="686">
        <f>industrie!F22</f>
        <v>4895.6451734421498</v>
      </c>
      <c r="H43" s="686">
        <f>industrie!G22</f>
        <v>0</v>
      </c>
      <c r="I43" s="686">
        <f>industrie!H22</f>
        <v>0</v>
      </c>
      <c r="J43" s="686">
        <f>industrie!I22</f>
        <v>0</v>
      </c>
      <c r="K43" s="686">
        <f>industrie!J22</f>
        <v>18.090232538637512</v>
      </c>
      <c r="L43" s="686">
        <f>industrie!K22</f>
        <v>0</v>
      </c>
      <c r="M43" s="686">
        <f>industrie!L22</f>
        <v>0</v>
      </c>
      <c r="N43" s="686">
        <f>industrie!M22</f>
        <v>0</v>
      </c>
      <c r="O43" s="686">
        <f>industrie!N22</f>
        <v>0</v>
      </c>
      <c r="P43" s="686">
        <f>industrie!O22</f>
        <v>0</v>
      </c>
      <c r="Q43" s="763">
        <f>industrie!P22</f>
        <v>0</v>
      </c>
      <c r="R43" s="841">
        <f t="shared" ca="1" si="4"/>
        <v>13771.616689278915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15378.296575241977</v>
      </c>
      <c r="D46" s="721">
        <f t="shared" ref="D46:Q46" ca="1" si="5">SUM(D39:D45)</f>
        <v>0</v>
      </c>
      <c r="E46" s="721">
        <f t="shared" ca="1" si="5"/>
        <v>29170.332704741886</v>
      </c>
      <c r="F46" s="721">
        <f t="shared" si="5"/>
        <v>3440.588215172088</v>
      </c>
      <c r="G46" s="721">
        <f t="shared" ca="1" si="5"/>
        <v>12163.056854363784</v>
      </c>
      <c r="H46" s="721">
        <f t="shared" si="5"/>
        <v>0</v>
      </c>
      <c r="I46" s="721">
        <f t="shared" si="5"/>
        <v>0</v>
      </c>
      <c r="J46" s="721">
        <f t="shared" si="5"/>
        <v>0</v>
      </c>
      <c r="K46" s="721">
        <f t="shared" si="5"/>
        <v>1663.218051784457</v>
      </c>
      <c r="L46" s="721">
        <f t="shared" si="5"/>
        <v>0</v>
      </c>
      <c r="M46" s="721">
        <f t="shared" ca="1" si="5"/>
        <v>0</v>
      </c>
      <c r="N46" s="721">
        <f t="shared" si="5"/>
        <v>0</v>
      </c>
      <c r="O46" s="721">
        <f t="shared" ca="1" si="5"/>
        <v>0</v>
      </c>
      <c r="P46" s="721">
        <f t="shared" si="5"/>
        <v>0</v>
      </c>
      <c r="Q46" s="721">
        <f t="shared" si="5"/>
        <v>0</v>
      </c>
      <c r="R46" s="721">
        <f ca="1">SUM(R39:R45)</f>
        <v>61815.492401304189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389.97753746734384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389.97753746734384</v>
      </c>
    </row>
    <row r="50" spans="1:18">
      <c r="A50" s="817" t="s">
        <v>306</v>
      </c>
      <c r="B50" s="827"/>
      <c r="C50" s="692">
        <f ca="1">transport!B18</f>
        <v>1.4528337191694967</v>
      </c>
      <c r="D50" s="692">
        <f>transport!C18</f>
        <v>0</v>
      </c>
      <c r="E50" s="692">
        <f>transport!D18</f>
        <v>3.3338963095299037</v>
      </c>
      <c r="F50" s="692">
        <f>transport!E18</f>
        <v>133.4757009950136</v>
      </c>
      <c r="G50" s="692">
        <f>transport!F18</f>
        <v>0</v>
      </c>
      <c r="H50" s="692">
        <f>transport!G18</f>
        <v>47622.627108521476</v>
      </c>
      <c r="I50" s="692">
        <f>transport!H18</f>
        <v>7497.0238014626757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55257.913341007865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1.4528337191694967</v>
      </c>
      <c r="D52" s="721">
        <f t="shared" ref="D52:Q52" ca="1" si="6">SUM(D48:D51)</f>
        <v>0</v>
      </c>
      <c r="E52" s="721">
        <f t="shared" si="6"/>
        <v>3.3338963095299037</v>
      </c>
      <c r="F52" s="721">
        <f t="shared" si="6"/>
        <v>133.4757009950136</v>
      </c>
      <c r="G52" s="721">
        <f t="shared" si="6"/>
        <v>0</v>
      </c>
      <c r="H52" s="721">
        <f t="shared" si="6"/>
        <v>48012.604645988817</v>
      </c>
      <c r="I52" s="721">
        <f t="shared" si="6"/>
        <v>7497.0238014626757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55647.890878475206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809.05917569941403</v>
      </c>
      <c r="D54" s="692">
        <f ca="1">+landbouw!C12</f>
        <v>0</v>
      </c>
      <c r="E54" s="692">
        <f>+landbouw!D12</f>
        <v>46.929107922670887</v>
      </c>
      <c r="F54" s="692">
        <f>+landbouw!E12</f>
        <v>15.618009409360951</v>
      </c>
      <c r="G54" s="692">
        <f>+landbouw!F12</f>
        <v>5029.7542614130989</v>
      </c>
      <c r="H54" s="692">
        <f>+landbouw!G12</f>
        <v>0</v>
      </c>
      <c r="I54" s="692">
        <f>+landbouw!H12</f>
        <v>0</v>
      </c>
      <c r="J54" s="692">
        <f>+landbouw!I12</f>
        <v>0</v>
      </c>
      <c r="K54" s="692">
        <f>+landbouw!J12</f>
        <v>290.67196632402351</v>
      </c>
      <c r="L54" s="692">
        <f>+landbouw!K12</f>
        <v>0</v>
      </c>
      <c r="M54" s="692">
        <f>+landbouw!L12</f>
        <v>0</v>
      </c>
      <c r="N54" s="692">
        <f>+landbouw!M12</f>
        <v>0</v>
      </c>
      <c r="O54" s="692">
        <f>+landbouw!N12</f>
        <v>0</v>
      </c>
      <c r="P54" s="692">
        <f>+landbouw!O12</f>
        <v>0</v>
      </c>
      <c r="Q54" s="693">
        <f>+landbouw!P12</f>
        <v>0</v>
      </c>
      <c r="R54" s="720">
        <f ca="1">SUM(C54:Q54)</f>
        <v>6192.0325207685682</v>
      </c>
    </row>
    <row r="55" spans="1:18" ht="15" thickBot="1">
      <c r="A55" s="817" t="s">
        <v>856</v>
      </c>
      <c r="B55" s="827"/>
      <c r="C55" s="692">
        <f ca="1">C25*'EF ele_warmte'!B12</f>
        <v>230.10613272308851</v>
      </c>
      <c r="D55" s="692"/>
      <c r="E55" s="692">
        <f>E25*EF_CO2_aardgas</f>
        <v>759.89568362295734</v>
      </c>
      <c r="F55" s="692"/>
      <c r="G55" s="692"/>
      <c r="H55" s="692"/>
      <c r="I55" s="692"/>
      <c r="J55" s="692"/>
      <c r="K55" s="692"/>
      <c r="L55" s="692"/>
      <c r="M55" s="692"/>
      <c r="N55" s="692"/>
      <c r="O55" s="692"/>
      <c r="P55" s="692"/>
      <c r="Q55" s="693"/>
      <c r="R55" s="720">
        <f ca="1">SUM(C55:Q55)</f>
        <v>990.00181634604587</v>
      </c>
    </row>
    <row r="56" spans="1:18" ht="15.75" thickBot="1">
      <c r="A56" s="815" t="s">
        <v>857</v>
      </c>
      <c r="B56" s="828"/>
      <c r="C56" s="721">
        <f ca="1">SUM(C54:C55)</f>
        <v>1039.1653084225024</v>
      </c>
      <c r="D56" s="721">
        <f t="shared" ref="D56:Q56" ca="1" si="7">SUM(D54:D55)</f>
        <v>0</v>
      </c>
      <c r="E56" s="721">
        <f t="shared" si="7"/>
        <v>806.82479154562827</v>
      </c>
      <c r="F56" s="721">
        <f t="shared" si="7"/>
        <v>15.618009409360951</v>
      </c>
      <c r="G56" s="721">
        <f t="shared" si="7"/>
        <v>5029.7542614130989</v>
      </c>
      <c r="H56" s="721">
        <f t="shared" si="7"/>
        <v>0</v>
      </c>
      <c r="I56" s="721">
        <f t="shared" si="7"/>
        <v>0</v>
      </c>
      <c r="J56" s="721">
        <f t="shared" si="7"/>
        <v>0</v>
      </c>
      <c r="K56" s="721">
        <f t="shared" si="7"/>
        <v>290.67196632402351</v>
      </c>
      <c r="L56" s="721">
        <f t="shared" si="7"/>
        <v>0</v>
      </c>
      <c r="M56" s="721">
        <f t="shared" si="7"/>
        <v>0</v>
      </c>
      <c r="N56" s="721">
        <f t="shared" si="7"/>
        <v>0</v>
      </c>
      <c r="O56" s="721">
        <f t="shared" si="7"/>
        <v>0</v>
      </c>
      <c r="P56" s="721">
        <f t="shared" si="7"/>
        <v>0</v>
      </c>
      <c r="Q56" s="722">
        <f t="shared" si="7"/>
        <v>0</v>
      </c>
      <c r="R56" s="723">
        <f ca="1">SUM(R54:R55)</f>
        <v>7182.0343371146137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16418.91471738365</v>
      </c>
      <c r="D61" s="729">
        <f t="shared" ref="D61:Q61" ca="1" si="8">D46+D52+D56</f>
        <v>0</v>
      </c>
      <c r="E61" s="729">
        <f t="shared" ca="1" si="8"/>
        <v>29980.491392597043</v>
      </c>
      <c r="F61" s="729">
        <f t="shared" si="8"/>
        <v>3589.6819255764626</v>
      </c>
      <c r="G61" s="729">
        <f t="shared" ca="1" si="8"/>
        <v>17192.811115776884</v>
      </c>
      <c r="H61" s="729">
        <f t="shared" si="8"/>
        <v>48012.604645988817</v>
      </c>
      <c r="I61" s="729">
        <f t="shared" si="8"/>
        <v>7497.0238014626757</v>
      </c>
      <c r="J61" s="729">
        <f t="shared" si="8"/>
        <v>0</v>
      </c>
      <c r="K61" s="729">
        <f t="shared" si="8"/>
        <v>1953.8900181084805</v>
      </c>
      <c r="L61" s="729">
        <f t="shared" si="8"/>
        <v>0</v>
      </c>
      <c r="M61" s="729">
        <f t="shared" ca="1" si="8"/>
        <v>0</v>
      </c>
      <c r="N61" s="729">
        <f t="shared" si="8"/>
        <v>0</v>
      </c>
      <c r="O61" s="729">
        <f t="shared" ca="1" si="8"/>
        <v>0</v>
      </c>
      <c r="P61" s="729">
        <f t="shared" si="8"/>
        <v>0</v>
      </c>
      <c r="Q61" s="729">
        <f t="shared" si="8"/>
        <v>0</v>
      </c>
      <c r="R61" s="729">
        <f ca="1">R46+R52+R56</f>
        <v>124645.41761689402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0.14818198601795263</v>
      </c>
      <c r="D63" s="772">
        <f t="shared" ca="1" si="9"/>
        <v>0</v>
      </c>
      <c r="E63" s="998">
        <f t="shared" ca="1" si="9"/>
        <v>0.20199999999999999</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29626.488300000001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6842.1339061331364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40.012499999999996</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47.07352941176471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36508.634706133133</v>
      </c>
      <c r="C78" s="744">
        <f>SUM(C72:C77)</f>
        <v>0</v>
      </c>
      <c r="D78" s="745">
        <f t="shared" ref="D78:H78" si="10">SUM(D76:D77)</f>
        <v>0</v>
      </c>
      <c r="E78" s="745">
        <f t="shared" si="10"/>
        <v>0</v>
      </c>
      <c r="F78" s="745">
        <f t="shared" si="10"/>
        <v>0</v>
      </c>
      <c r="G78" s="745">
        <f t="shared" si="10"/>
        <v>0</v>
      </c>
      <c r="H78" s="745">
        <f t="shared" si="10"/>
        <v>0</v>
      </c>
      <c r="I78" s="745">
        <f>SUM(I76:I77)</f>
        <v>0</v>
      </c>
      <c r="J78" s="745">
        <f>SUM(J76:J77)</f>
        <v>47.07352941176471</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57.160714285714278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67.247899159663874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57.160714285714278</v>
      </c>
      <c r="C90" s="744">
        <f>SUM(C87:C89)</f>
        <v>0</v>
      </c>
      <c r="D90" s="744">
        <f t="shared" ref="D90:H90" si="12">SUM(D87:D89)</f>
        <v>0</v>
      </c>
      <c r="E90" s="744">
        <f t="shared" si="12"/>
        <v>0</v>
      </c>
      <c r="F90" s="744">
        <f t="shared" si="12"/>
        <v>0</v>
      </c>
      <c r="G90" s="744">
        <f t="shared" si="12"/>
        <v>0</v>
      </c>
      <c r="H90" s="744">
        <f t="shared" si="12"/>
        <v>0</v>
      </c>
      <c r="I90" s="744">
        <f>SUM(I87:I89)</f>
        <v>0</v>
      </c>
      <c r="J90" s="744">
        <f>SUM(J87:J89)</f>
        <v>67.247899159663874</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29626.488300000001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6842.1339061331364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40.012499999999996</v>
      </c>
      <c r="C8" s="556">
        <f>B48</f>
        <v>0</v>
      </c>
      <c r="D8" s="1015"/>
      <c r="E8" s="1015">
        <f>E48</f>
        <v>0</v>
      </c>
      <c r="F8" s="1016"/>
      <c r="G8" s="557"/>
      <c r="H8" s="1015">
        <f>I48</f>
        <v>0</v>
      </c>
      <c r="I8" s="1015">
        <f>G48+F48</f>
        <v>0</v>
      </c>
      <c r="J8" s="1015">
        <f>H48+D48+C48</f>
        <v>47.07352941176471</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36508.634706133133</v>
      </c>
      <c r="C10" s="569">
        <f t="shared" ref="C10:L10" si="0">SUM(C8:C9)</f>
        <v>0</v>
      </c>
      <c r="D10" s="569">
        <f t="shared" si="0"/>
        <v>0</v>
      </c>
      <c r="E10" s="569">
        <f t="shared" si="0"/>
        <v>0</v>
      </c>
      <c r="F10" s="569">
        <f t="shared" si="0"/>
        <v>0</v>
      </c>
      <c r="G10" s="569">
        <f t="shared" si="0"/>
        <v>0</v>
      </c>
      <c r="H10" s="569">
        <f t="shared" si="0"/>
        <v>0</v>
      </c>
      <c r="I10" s="569">
        <f t="shared" si="0"/>
        <v>0</v>
      </c>
      <c r="J10" s="569">
        <f t="shared" si="0"/>
        <v>47.07352941176471</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57.160714285714278</v>
      </c>
      <c r="C17" s="581">
        <f>B49</f>
        <v>0</v>
      </c>
      <c r="D17" s="582"/>
      <c r="E17" s="582">
        <f>E49</f>
        <v>0</v>
      </c>
      <c r="F17" s="1021"/>
      <c r="G17" s="583"/>
      <c r="H17" s="581">
        <f>I49</f>
        <v>0</v>
      </c>
      <c r="I17" s="582">
        <f>G49+F49</f>
        <v>0</v>
      </c>
      <c r="J17" s="582">
        <f>H49+D49+C49</f>
        <v>67.247899159663874</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57.160714285714278</v>
      </c>
      <c r="C20" s="568">
        <f>SUM(C17:C19)</f>
        <v>0</v>
      </c>
      <c r="D20" s="568">
        <f t="shared" ref="D20:L20" si="1">SUM(D17:D19)</f>
        <v>0</v>
      </c>
      <c r="E20" s="568">
        <f t="shared" si="1"/>
        <v>0</v>
      </c>
      <c r="F20" s="568">
        <f t="shared" si="1"/>
        <v>0</v>
      </c>
      <c r="G20" s="568">
        <f t="shared" si="1"/>
        <v>0</v>
      </c>
      <c r="H20" s="568">
        <f t="shared" si="1"/>
        <v>0</v>
      </c>
      <c r="I20" s="568">
        <f t="shared" si="1"/>
        <v>0</v>
      </c>
      <c r="J20" s="568">
        <f t="shared" si="1"/>
        <v>67.247899159663874</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43010</v>
      </c>
      <c r="C28" s="787">
        <v>9991</v>
      </c>
      <c r="D28" s="640" t="s">
        <v>920</v>
      </c>
      <c r="E28" s="639" t="s">
        <v>921</v>
      </c>
      <c r="F28" s="639" t="s">
        <v>922</v>
      </c>
      <c r="G28" s="639" t="s">
        <v>923</v>
      </c>
      <c r="H28" s="639" t="s">
        <v>924</v>
      </c>
      <c r="I28" s="639" t="s">
        <v>921</v>
      </c>
      <c r="J28" s="786">
        <v>41174</v>
      </c>
      <c r="K28" s="786">
        <v>41275</v>
      </c>
      <c r="L28" s="639" t="s">
        <v>925</v>
      </c>
      <c r="M28" s="639">
        <v>9.6999999999999993</v>
      </c>
      <c r="N28" s="639">
        <v>40.012499999999996</v>
      </c>
      <c r="O28" s="639">
        <v>57.160714285714278</v>
      </c>
      <c r="P28" s="639">
        <v>0</v>
      </c>
      <c r="Q28" s="639">
        <v>114.32142857142857</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40.012499999999996</v>
      </c>
      <c r="O29" s="597">
        <f>SUM(O28:O28)</f>
        <v>57.160714285714278</v>
      </c>
      <c r="P29" s="597">
        <f>SUM(P28:P28)</f>
        <v>0</v>
      </c>
      <c r="Q29" s="597">
        <f>SUM(Q28:Q28)</f>
        <v>114.32142857142857</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40.012499999999996</v>
      </c>
      <c r="O32" s="602">
        <f>SUMIF($Z$28:$Z$28,"landbouw",O28:O28)</f>
        <v>57.160714285714278</v>
      </c>
      <c r="P32" s="602">
        <f>SUMIF($Z$28:$Z$28,"landbouw",P28:P28)</f>
        <v>0</v>
      </c>
      <c r="Q32" s="602">
        <f>SUMIF($Z$28:$Z$28,"landbouw",Q28:Q28)</f>
        <v>114.32142857142857</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47.07352941176471</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67.247899159663874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45528.878136838306</v>
      </c>
      <c r="C4" s="458">
        <f>huishoudens!C8</f>
        <v>0</v>
      </c>
      <c r="D4" s="458">
        <f>huishoudens!D8</f>
        <v>97108.898611947428</v>
      </c>
      <c r="E4" s="458">
        <f>huishoudens!E8</f>
        <v>11808.787342354957</v>
      </c>
      <c r="F4" s="458">
        <f>huishoudens!F8</f>
        <v>22400.161674491017</v>
      </c>
      <c r="G4" s="458">
        <f>huishoudens!G8</f>
        <v>0</v>
      </c>
      <c r="H4" s="458">
        <f>huishoudens!H8</f>
        <v>0</v>
      </c>
      <c r="I4" s="458">
        <f>huishoudens!I8</f>
        <v>0</v>
      </c>
      <c r="J4" s="458">
        <f>huishoudens!J8</f>
        <v>4647.2537266831059</v>
      </c>
      <c r="K4" s="458">
        <f>huishoudens!K8</f>
        <v>0</v>
      </c>
      <c r="L4" s="458">
        <f>huishoudens!L8</f>
        <v>0</v>
      </c>
      <c r="M4" s="458">
        <f>huishoudens!M8</f>
        <v>0</v>
      </c>
      <c r="N4" s="458">
        <f>huishoudens!N8</f>
        <v>37163.805013514531</v>
      </c>
      <c r="O4" s="458">
        <f>huishoudens!O8</f>
        <v>312.66666666666669</v>
      </c>
      <c r="P4" s="459">
        <f>huishoudens!P8</f>
        <v>934.26666666666665</v>
      </c>
      <c r="Q4" s="460">
        <f>SUM(B4:P4)</f>
        <v>219904.71783916265</v>
      </c>
    </row>
    <row r="5" spans="1:17">
      <c r="A5" s="457" t="s">
        <v>155</v>
      </c>
      <c r="B5" s="458">
        <f ca="1">tertiair!B16</f>
        <v>23070.63776498611</v>
      </c>
      <c r="C5" s="458">
        <f ca="1">tertiair!C16</f>
        <v>0</v>
      </c>
      <c r="D5" s="458">
        <f ca="1">tertiair!D16</f>
        <v>31430.86006343531</v>
      </c>
      <c r="E5" s="458">
        <f>tertiair!E16</f>
        <v>376.51322123430458</v>
      </c>
      <c r="F5" s="458">
        <f ca="1">tertiair!F16</f>
        <v>4818.6086660394431</v>
      </c>
      <c r="G5" s="458">
        <f>tertiair!G16</f>
        <v>0</v>
      </c>
      <c r="H5" s="458">
        <f>tertiair!H16</f>
        <v>0</v>
      </c>
      <c r="I5" s="458">
        <f>tertiair!I16</f>
        <v>0</v>
      </c>
      <c r="J5" s="458">
        <f>tertiair!J16</f>
        <v>0</v>
      </c>
      <c r="K5" s="458">
        <f>tertiair!K16</f>
        <v>0</v>
      </c>
      <c r="L5" s="458">
        <f ca="1">tertiair!L16</f>
        <v>0</v>
      </c>
      <c r="M5" s="458">
        <f>tertiair!M16</f>
        <v>0</v>
      </c>
      <c r="N5" s="458">
        <f ca="1">tertiair!N16</f>
        <v>2319.001249122568</v>
      </c>
      <c r="O5" s="458">
        <f>tertiair!O16</f>
        <v>10.943333333333335</v>
      </c>
      <c r="P5" s="459">
        <f>tertiair!P16</f>
        <v>57.2</v>
      </c>
      <c r="Q5" s="457">
        <f t="shared" ref="Q5:Q14" ca="1" si="0">SUM(B5:P5)</f>
        <v>62083.764298151065</v>
      </c>
    </row>
    <row r="6" spans="1:17">
      <c r="A6" s="457" t="s">
        <v>193</v>
      </c>
      <c r="B6" s="458">
        <f>'openbare verlichting'!B8</f>
        <v>1586.085</v>
      </c>
      <c r="C6" s="458"/>
      <c r="D6" s="458"/>
      <c r="E6" s="458"/>
      <c r="F6" s="458"/>
      <c r="G6" s="458"/>
      <c r="H6" s="458"/>
      <c r="I6" s="458"/>
      <c r="J6" s="458"/>
      <c r="K6" s="458"/>
      <c r="L6" s="458"/>
      <c r="M6" s="458"/>
      <c r="N6" s="458"/>
      <c r="O6" s="458"/>
      <c r="P6" s="459"/>
      <c r="Q6" s="457">
        <f t="shared" si="0"/>
        <v>1586.085</v>
      </c>
    </row>
    <row r="7" spans="1:17">
      <c r="A7" s="457" t="s">
        <v>111</v>
      </c>
      <c r="B7" s="458">
        <f>landbouw!B8</f>
        <v>5459.9023635801077</v>
      </c>
      <c r="C7" s="458">
        <f>landbouw!C8</f>
        <v>57.160714285714278</v>
      </c>
      <c r="D7" s="458">
        <f>landbouw!D8</f>
        <v>232.32231644886576</v>
      </c>
      <c r="E7" s="458">
        <f>landbouw!E8</f>
        <v>68.801803565466741</v>
      </c>
      <c r="F7" s="458">
        <f>landbouw!F8</f>
        <v>18838.030941622092</v>
      </c>
      <c r="G7" s="458">
        <f>landbouw!G8</f>
        <v>0</v>
      </c>
      <c r="H7" s="458">
        <f>landbouw!H8</f>
        <v>0</v>
      </c>
      <c r="I7" s="458">
        <f>landbouw!I8</f>
        <v>0</v>
      </c>
      <c r="J7" s="458">
        <f>landbouw!J8</f>
        <v>821.10724950289136</v>
      </c>
      <c r="K7" s="458">
        <f>landbouw!K8</f>
        <v>0</v>
      </c>
      <c r="L7" s="458">
        <f>landbouw!L8</f>
        <v>0</v>
      </c>
      <c r="M7" s="458">
        <f>landbouw!M8</f>
        <v>0</v>
      </c>
      <c r="N7" s="458">
        <f>landbouw!N8</f>
        <v>0</v>
      </c>
      <c r="O7" s="458">
        <f>landbouw!O8</f>
        <v>0</v>
      </c>
      <c r="P7" s="459">
        <f>landbouw!P8</f>
        <v>0</v>
      </c>
      <c r="Q7" s="457">
        <f t="shared" si="0"/>
        <v>25477.325389005138</v>
      </c>
    </row>
    <row r="8" spans="1:17">
      <c r="A8" s="457" t="s">
        <v>655</v>
      </c>
      <c r="B8" s="458">
        <f>industrie!B18</f>
        <v>33594.197091832226</v>
      </c>
      <c r="C8" s="458">
        <f>industrie!C18</f>
        <v>0</v>
      </c>
      <c r="D8" s="458">
        <f>industrie!D18</f>
        <v>15867.828971854324</v>
      </c>
      <c r="E8" s="458">
        <f>industrie!E18</f>
        <v>2971.4757147018754</v>
      </c>
      <c r="F8" s="458">
        <f>industrie!F18</f>
        <v>18335.749713266479</v>
      </c>
      <c r="G8" s="458">
        <f>industrie!G18</f>
        <v>0</v>
      </c>
      <c r="H8" s="458">
        <f>industrie!H18</f>
        <v>0</v>
      </c>
      <c r="I8" s="458">
        <f>industrie!I18</f>
        <v>0</v>
      </c>
      <c r="J8" s="458">
        <f>industrie!J18</f>
        <v>51.102351804060774</v>
      </c>
      <c r="K8" s="458">
        <f>industrie!K18</f>
        <v>0</v>
      </c>
      <c r="L8" s="458">
        <f>industrie!L18</f>
        <v>0</v>
      </c>
      <c r="M8" s="458">
        <f>industrie!M18</f>
        <v>0</v>
      </c>
      <c r="N8" s="458">
        <f>industrie!N18</f>
        <v>3589.7992918610794</v>
      </c>
      <c r="O8" s="458">
        <f>industrie!O18</f>
        <v>0</v>
      </c>
      <c r="P8" s="459">
        <f>industrie!P18</f>
        <v>0</v>
      </c>
      <c r="Q8" s="457">
        <f t="shared" si="0"/>
        <v>74410.153135320041</v>
      </c>
    </row>
    <row r="9" spans="1:17" s="463" customFormat="1">
      <c r="A9" s="461" t="s">
        <v>573</v>
      </c>
      <c r="B9" s="462">
        <f>transport!B14</f>
        <v>9.8043882270108202</v>
      </c>
      <c r="C9" s="462">
        <f>transport!C14</f>
        <v>0</v>
      </c>
      <c r="D9" s="462">
        <f>transport!D14</f>
        <v>16.504437175890612</v>
      </c>
      <c r="E9" s="462">
        <f>transport!E14</f>
        <v>587.99868279741668</v>
      </c>
      <c r="F9" s="462">
        <f>transport!F14</f>
        <v>0</v>
      </c>
      <c r="G9" s="462">
        <f>transport!G14</f>
        <v>178361.89928285195</v>
      </c>
      <c r="H9" s="462">
        <f>transport!H14</f>
        <v>30108.529323143277</v>
      </c>
      <c r="I9" s="462">
        <f>transport!I14</f>
        <v>0</v>
      </c>
      <c r="J9" s="462">
        <f>transport!J14</f>
        <v>0</v>
      </c>
      <c r="K9" s="462">
        <f>transport!K14</f>
        <v>0</v>
      </c>
      <c r="L9" s="462">
        <f>transport!L14</f>
        <v>0</v>
      </c>
      <c r="M9" s="462">
        <f>transport!M14</f>
        <v>9425.7054326803791</v>
      </c>
      <c r="N9" s="462">
        <f>transport!N14</f>
        <v>0</v>
      </c>
      <c r="O9" s="462">
        <f>transport!O14</f>
        <v>0</v>
      </c>
      <c r="P9" s="462">
        <f>transport!P14</f>
        <v>0</v>
      </c>
      <c r="Q9" s="461">
        <f>SUM(B9:P9)</f>
        <v>218510.44154687593</v>
      </c>
    </row>
    <row r="10" spans="1:17">
      <c r="A10" s="457" t="s">
        <v>563</v>
      </c>
      <c r="B10" s="458">
        <f>transport!B54</f>
        <v>0</v>
      </c>
      <c r="C10" s="458">
        <f>transport!C54</f>
        <v>0</v>
      </c>
      <c r="D10" s="458">
        <f>transport!D54</f>
        <v>0</v>
      </c>
      <c r="E10" s="458">
        <f>transport!E54</f>
        <v>0</v>
      </c>
      <c r="F10" s="458">
        <f>transport!F54</f>
        <v>0</v>
      </c>
      <c r="G10" s="458">
        <f>transport!G54</f>
        <v>1460.5900279675798</v>
      </c>
      <c r="H10" s="458">
        <f>transport!H54</f>
        <v>0</v>
      </c>
      <c r="I10" s="458">
        <f>transport!I54</f>
        <v>0</v>
      </c>
      <c r="J10" s="458">
        <f>transport!J54</f>
        <v>0</v>
      </c>
      <c r="K10" s="458">
        <f>transport!K54</f>
        <v>0</v>
      </c>
      <c r="L10" s="458">
        <f>transport!L54</f>
        <v>0</v>
      </c>
      <c r="M10" s="458">
        <f>transport!M54</f>
        <v>65.01207047955117</v>
      </c>
      <c r="N10" s="458">
        <f>transport!N54</f>
        <v>0</v>
      </c>
      <c r="O10" s="458">
        <f>transport!O54</f>
        <v>0</v>
      </c>
      <c r="P10" s="459">
        <f>transport!P54</f>
        <v>0</v>
      </c>
      <c r="Q10" s="457">
        <f t="shared" si="0"/>
        <v>1525.6020984471309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1552.86171353656</v>
      </c>
      <c r="C14" s="465"/>
      <c r="D14" s="465">
        <f>'SEAP template'!E25</f>
        <v>3761.8598199156299</v>
      </c>
      <c r="E14" s="465"/>
      <c r="F14" s="465"/>
      <c r="G14" s="465"/>
      <c r="H14" s="465"/>
      <c r="I14" s="465"/>
      <c r="J14" s="465"/>
      <c r="K14" s="465"/>
      <c r="L14" s="465"/>
      <c r="M14" s="465"/>
      <c r="N14" s="465"/>
      <c r="O14" s="465"/>
      <c r="P14" s="466"/>
      <c r="Q14" s="457">
        <f t="shared" si="0"/>
        <v>5314.7215334521898</v>
      </c>
    </row>
    <row r="15" spans="1:17" s="470" customFormat="1">
      <c r="A15" s="467" t="s">
        <v>567</v>
      </c>
      <c r="B15" s="468">
        <f ca="1">SUM(B4:B14)</f>
        <v>110802.36645900033</v>
      </c>
      <c r="C15" s="468">
        <f t="shared" ref="C15:Q15" ca="1" si="1">SUM(C4:C14)</f>
        <v>57.160714285714278</v>
      </c>
      <c r="D15" s="468">
        <f t="shared" ca="1" si="1"/>
        <v>148418.27422077744</v>
      </c>
      <c r="E15" s="468">
        <f t="shared" si="1"/>
        <v>15813.576764654021</v>
      </c>
      <c r="F15" s="468">
        <f t="shared" ca="1" si="1"/>
        <v>64392.550995419027</v>
      </c>
      <c r="G15" s="468">
        <f t="shared" si="1"/>
        <v>179822.48931081954</v>
      </c>
      <c r="H15" s="468">
        <f t="shared" si="1"/>
        <v>30108.529323143277</v>
      </c>
      <c r="I15" s="468">
        <f t="shared" si="1"/>
        <v>0</v>
      </c>
      <c r="J15" s="468">
        <f t="shared" si="1"/>
        <v>5519.4633279900581</v>
      </c>
      <c r="K15" s="468">
        <f t="shared" si="1"/>
        <v>0</v>
      </c>
      <c r="L15" s="468">
        <f t="shared" ca="1" si="1"/>
        <v>0</v>
      </c>
      <c r="M15" s="468">
        <f t="shared" si="1"/>
        <v>9490.7175031599309</v>
      </c>
      <c r="N15" s="468">
        <f t="shared" ca="1" si="1"/>
        <v>43072.605554498172</v>
      </c>
      <c r="O15" s="468">
        <f t="shared" si="1"/>
        <v>323.61</v>
      </c>
      <c r="P15" s="468">
        <f t="shared" si="1"/>
        <v>991.4666666666667</v>
      </c>
      <c r="Q15" s="468">
        <f t="shared" ca="1" si="1"/>
        <v>608812.81084041414</v>
      </c>
    </row>
    <row r="17" spans="1:17">
      <c r="A17" s="471" t="s">
        <v>568</v>
      </c>
      <c r="B17" s="777">
        <f ca="1">huishoudens!B10</f>
        <v>0.14818198601795263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6746.5595834860433</v>
      </c>
      <c r="C22" s="458">
        <f t="shared" ref="C22:C32" ca="1" si="3">C4*$C$17</f>
        <v>0</v>
      </c>
      <c r="D22" s="458">
        <f t="shared" ref="D22:D32" si="4">D4*$D$17</f>
        <v>19615.997519613382</v>
      </c>
      <c r="E22" s="458">
        <f t="shared" ref="E22:E32" si="5">E4*$E$17</f>
        <v>2680.5947267145752</v>
      </c>
      <c r="F22" s="458">
        <f t="shared" ref="F22:F32" si="6">F4*$F$17</f>
        <v>5980.8431670891023</v>
      </c>
      <c r="G22" s="458">
        <f t="shared" ref="G22:G32" si="7">G4*$G$17</f>
        <v>0</v>
      </c>
      <c r="H22" s="458">
        <f t="shared" ref="H22:H32" si="8">H4*$H$17</f>
        <v>0</v>
      </c>
      <c r="I22" s="458">
        <f t="shared" ref="I22:I32" si="9">I4*$I$17</f>
        <v>0</v>
      </c>
      <c r="J22" s="458">
        <f t="shared" ref="J22:J32" si="10">J4*$J$17</f>
        <v>1645.1278192458194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36669.12281614892</v>
      </c>
    </row>
    <row r="23" spans="1:17">
      <c r="A23" s="457" t="s">
        <v>155</v>
      </c>
      <c r="B23" s="458">
        <f t="shared" ca="1" si="2"/>
        <v>3418.6529227164215</v>
      </c>
      <c r="C23" s="458">
        <f t="shared" ca="1" si="3"/>
        <v>0</v>
      </c>
      <c r="D23" s="458">
        <f t="shared" ca="1" si="4"/>
        <v>6349.0337328139331</v>
      </c>
      <c r="E23" s="458">
        <f t="shared" si="5"/>
        <v>85.468501220187136</v>
      </c>
      <c r="F23" s="458">
        <f t="shared" ca="1" si="6"/>
        <v>1286.5685138325314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11139.723670583073</v>
      </c>
    </row>
    <row r="24" spans="1:17">
      <c r="A24" s="457" t="s">
        <v>193</v>
      </c>
      <c r="B24" s="458">
        <f t="shared" ca="1" si="2"/>
        <v>235.02922529328441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235.02922529328441</v>
      </c>
    </row>
    <row r="25" spans="1:17">
      <c r="A25" s="457" t="s">
        <v>111</v>
      </c>
      <c r="B25" s="458">
        <f t="shared" ca="1" si="2"/>
        <v>809.05917569941403</v>
      </c>
      <c r="C25" s="458">
        <f t="shared" ca="1" si="3"/>
        <v>0</v>
      </c>
      <c r="D25" s="458">
        <f t="shared" si="4"/>
        <v>46.929107922670887</v>
      </c>
      <c r="E25" s="458">
        <f t="shared" si="5"/>
        <v>15.618009409360951</v>
      </c>
      <c r="F25" s="458">
        <f t="shared" si="6"/>
        <v>5029.7542614130989</v>
      </c>
      <c r="G25" s="458">
        <f t="shared" si="7"/>
        <v>0</v>
      </c>
      <c r="H25" s="458">
        <f t="shared" si="8"/>
        <v>0</v>
      </c>
      <c r="I25" s="458">
        <f t="shared" si="9"/>
        <v>0</v>
      </c>
      <c r="J25" s="458">
        <f t="shared" si="10"/>
        <v>290.67196632402351</v>
      </c>
      <c r="K25" s="458">
        <f t="shared" si="11"/>
        <v>0</v>
      </c>
      <c r="L25" s="458">
        <f t="shared" si="12"/>
        <v>0</v>
      </c>
      <c r="M25" s="458">
        <f t="shared" si="13"/>
        <v>0</v>
      </c>
      <c r="N25" s="458">
        <f t="shared" si="14"/>
        <v>0</v>
      </c>
      <c r="O25" s="458">
        <f t="shared" si="15"/>
        <v>0</v>
      </c>
      <c r="P25" s="459">
        <f t="shared" si="16"/>
        <v>0</v>
      </c>
      <c r="Q25" s="457">
        <f t="shared" ca="1" si="17"/>
        <v>6192.0325207685682</v>
      </c>
    </row>
    <row r="26" spans="1:17">
      <c r="A26" s="457" t="s">
        <v>655</v>
      </c>
      <c r="B26" s="458">
        <f t="shared" ca="1" si="2"/>
        <v>4978.0548437462276</v>
      </c>
      <c r="C26" s="458">
        <f t="shared" ca="1" si="3"/>
        <v>0</v>
      </c>
      <c r="D26" s="458">
        <f t="shared" si="4"/>
        <v>3205.3014523145735</v>
      </c>
      <c r="E26" s="458">
        <f t="shared" si="5"/>
        <v>674.52498723732572</v>
      </c>
      <c r="F26" s="458">
        <f t="shared" si="6"/>
        <v>4895.6451734421498</v>
      </c>
      <c r="G26" s="458">
        <f t="shared" si="7"/>
        <v>0</v>
      </c>
      <c r="H26" s="458">
        <f t="shared" si="8"/>
        <v>0</v>
      </c>
      <c r="I26" s="458">
        <f t="shared" si="9"/>
        <v>0</v>
      </c>
      <c r="J26" s="458">
        <f t="shared" si="10"/>
        <v>18.090232538637512</v>
      </c>
      <c r="K26" s="458">
        <f t="shared" si="11"/>
        <v>0</v>
      </c>
      <c r="L26" s="458">
        <f t="shared" si="12"/>
        <v>0</v>
      </c>
      <c r="M26" s="458">
        <f t="shared" si="13"/>
        <v>0</v>
      </c>
      <c r="N26" s="458">
        <f t="shared" si="14"/>
        <v>0</v>
      </c>
      <c r="O26" s="458">
        <f t="shared" si="15"/>
        <v>0</v>
      </c>
      <c r="P26" s="459">
        <f t="shared" si="16"/>
        <v>0</v>
      </c>
      <c r="Q26" s="457">
        <f t="shared" ca="1" si="17"/>
        <v>13771.616689278915</v>
      </c>
    </row>
    <row r="27" spans="1:17" s="463" customFormat="1">
      <c r="A27" s="461" t="s">
        <v>573</v>
      </c>
      <c r="B27" s="771">
        <f t="shared" ca="1" si="2"/>
        <v>1.4528337191694967</v>
      </c>
      <c r="C27" s="462">
        <f t="shared" ca="1" si="3"/>
        <v>0</v>
      </c>
      <c r="D27" s="462">
        <f t="shared" si="4"/>
        <v>3.3338963095299037</v>
      </c>
      <c r="E27" s="462">
        <f t="shared" si="5"/>
        <v>133.4757009950136</v>
      </c>
      <c r="F27" s="462">
        <f t="shared" si="6"/>
        <v>0</v>
      </c>
      <c r="G27" s="462">
        <f t="shared" si="7"/>
        <v>47622.627108521476</v>
      </c>
      <c r="H27" s="462">
        <f t="shared" si="8"/>
        <v>7497.0238014626757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55257.913341007865</v>
      </c>
    </row>
    <row r="28" spans="1:17">
      <c r="A28" s="457" t="s">
        <v>563</v>
      </c>
      <c r="B28" s="458">
        <f t="shared" ca="1" si="2"/>
        <v>0</v>
      </c>
      <c r="C28" s="458">
        <f t="shared" ca="1" si="3"/>
        <v>0</v>
      </c>
      <c r="D28" s="458">
        <f t="shared" si="4"/>
        <v>0</v>
      </c>
      <c r="E28" s="458">
        <f t="shared" si="5"/>
        <v>0</v>
      </c>
      <c r="F28" s="458">
        <f t="shared" si="6"/>
        <v>0</v>
      </c>
      <c r="G28" s="458">
        <f t="shared" si="7"/>
        <v>389.97753746734384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389.97753746734384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230.10613272308851</v>
      </c>
      <c r="C32" s="458">
        <f t="shared" ca="1" si="3"/>
        <v>0</v>
      </c>
      <c r="D32" s="458">
        <f t="shared" si="4"/>
        <v>759.89568362295734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990.00181634604587</v>
      </c>
    </row>
    <row r="33" spans="1:17" s="470" customFormat="1">
      <c r="A33" s="467" t="s">
        <v>567</v>
      </c>
      <c r="B33" s="468">
        <f ca="1">SUM(B22:B32)</f>
        <v>16418.91471738365</v>
      </c>
      <c r="C33" s="468">
        <f t="shared" ref="C33:Q33" ca="1" si="18">SUM(C22:C32)</f>
        <v>0</v>
      </c>
      <c r="D33" s="468">
        <f t="shared" ca="1" si="18"/>
        <v>29980.491392597047</v>
      </c>
      <c r="E33" s="468">
        <f t="shared" si="18"/>
        <v>3589.6819255764626</v>
      </c>
      <c r="F33" s="468">
        <f t="shared" ca="1" si="18"/>
        <v>17192.811115776884</v>
      </c>
      <c r="G33" s="468">
        <f t="shared" si="18"/>
        <v>48012.604645988817</v>
      </c>
      <c r="H33" s="468">
        <f t="shared" si="18"/>
        <v>7497.0238014626757</v>
      </c>
      <c r="I33" s="468">
        <f t="shared" si="18"/>
        <v>0</v>
      </c>
      <c r="J33" s="468">
        <f t="shared" si="18"/>
        <v>1953.8900181084805</v>
      </c>
      <c r="K33" s="468">
        <f t="shared" si="18"/>
        <v>0</v>
      </c>
      <c r="L33" s="468">
        <f t="shared" ca="1" si="18"/>
        <v>0</v>
      </c>
      <c r="M33" s="468">
        <f t="shared" si="18"/>
        <v>0</v>
      </c>
      <c r="N33" s="468">
        <f t="shared" ca="1" si="18"/>
        <v>0</v>
      </c>
      <c r="O33" s="468">
        <f t="shared" si="18"/>
        <v>0</v>
      </c>
      <c r="P33" s="468">
        <f t="shared" si="18"/>
        <v>0</v>
      </c>
      <c r="Q33" s="468">
        <f t="shared" ca="1" si="18"/>
        <v>124645.41761689402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29626.488300000001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6842.1339061331364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40.012499999999996</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47.07352941176471</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36508.634706133133</v>
      </c>
      <c r="C10" s="1038">
        <f>SUM(C4:C9)</f>
        <v>0</v>
      </c>
      <c r="D10" s="1038">
        <f t="shared" ref="D10:H10" si="0">SUM(D8:D9)</f>
        <v>0</v>
      </c>
      <c r="E10" s="1038">
        <f t="shared" si="0"/>
        <v>0</v>
      </c>
      <c r="F10" s="1038">
        <f t="shared" si="0"/>
        <v>0</v>
      </c>
      <c r="G10" s="1038">
        <f t="shared" si="0"/>
        <v>0</v>
      </c>
      <c r="H10" s="1038">
        <f t="shared" si="0"/>
        <v>0</v>
      </c>
      <c r="I10" s="1038">
        <f>SUM(I8:I9)</f>
        <v>0</v>
      </c>
      <c r="J10" s="1038">
        <f>SUM(J8:J9)</f>
        <v>47.07352941176471</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0.14818198601795263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57.160714285714278</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67.247899159663874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57.160714285714278</v>
      </c>
      <c r="C20" s="1038">
        <f>SUM(C17:C19)</f>
        <v>0</v>
      </c>
      <c r="D20" s="1038">
        <f t="shared" ref="D20:H20" si="2">SUM(D17:D19)</f>
        <v>0</v>
      </c>
      <c r="E20" s="1038">
        <f t="shared" si="2"/>
        <v>0</v>
      </c>
      <c r="F20" s="1038">
        <f t="shared" si="2"/>
        <v>0</v>
      </c>
      <c r="G20" s="1038">
        <f t="shared" si="2"/>
        <v>0</v>
      </c>
      <c r="H20" s="1038">
        <f t="shared" si="2"/>
        <v>0</v>
      </c>
      <c r="I20" s="1038">
        <f>SUM(I17:I19)</f>
        <v>0</v>
      </c>
      <c r="J20" s="1038">
        <f>SUM(J17:J19)</f>
        <v>67.247899159663874</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0.14818198601795263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2020-06-20T16:21:14Z</dcterms:modified>
</cp:coreProperties>
</file>