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E48" i="18"/>
  <c r="E8" i="18" s="1"/>
  <c r="E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N63" i="14"/>
  <c r="H63" i="14"/>
  <c r="F13" i="14"/>
  <c r="F16" i="14" s="1"/>
  <c r="F27" i="14" s="1"/>
  <c r="F63" i="14" s="1"/>
  <c r="E8" i="48"/>
  <c r="E26" i="48" s="1"/>
  <c r="Q5" i="48"/>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<sst xmlns="http://schemas.openxmlformats.org/spreadsheetml/2006/main" count="2447" uniqueCount="920">
  <si>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</si>
  <si>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</si>
  <si>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</si>
  <si>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</si>
  <si>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</si>
  <si>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</si>
  <si>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</si>
  <si>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</si>
  <si>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</si>
  <si>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</si>
  <si>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</si>
  <si>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</si>
  <si>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</si>
  <si>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</si>
  <si>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</si>
  <si>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</si>
  <si>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</si>
  <si>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</si>
  <si>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</si>
  <si>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</si>
  <si>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</si>
  <si>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</si>
  <si>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</si>
  <si>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</si>
  <si>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</si>
  <si>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</si>
  <si>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</si>
  <si>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</si>
  <si>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</si>
  <si>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</si>
  <si>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</si>
  <si>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</si>
  <si>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</si>
  <si>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</si>
  <si>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</si>
  <si>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</si>
  <si>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</si>
  <si>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</si>
  <si>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</si>
  <si>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</si>
  <si>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</si>
  <si>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</si>
  <si>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</si>
  <si>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</si>
  <si>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</si>
  <si>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</si>
  <si>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</si>
  <si>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</si>
  <si>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</si>
  <si>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</si>
  <si>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</si>
  <si>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</si>
  <si>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</si>
  <si>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</si>
  <si>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</si>
  <si>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</si>
  <si>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</si>
  <si>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</si>
  <si>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</si>
  <si>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</si>
  <si>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</si>
  <si>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</si>
  <si>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</si>
  <si>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</si>
  <si>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</si>
  <si>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</si>
  <si>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</si>
  <si>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</si>
  <si>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</si>
  <si>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</si>
  <si>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</si>
  <si>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</si>
  <si>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</si>
  <si>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</si>
  <si>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</si>
  <si>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</si>
  <si>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</si>
  <si>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</si>
  <si>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</si>
  <si>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</si>
  <si>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</si>
  <si>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</si>
  <si>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</si>
  <si>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</si>
  <si>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</si>
  <si>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</si>
  <si>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</si>
  <si>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</si>
  <si>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</si>
  <si>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</si>
  <si>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</si>
  <si>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</si>
  <si>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</si>
  <si>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</si>
  <si>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</si>
  <si>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</si>
  <si>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</si>
  <si>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</si>
  <si>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</si>
  <si>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</si>
  <si>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</si>
  <si>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</si>
  <si>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</si>
  <si>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</si>
  <si>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</si>
  <si>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</si>
  <si>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</si>
  <si>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</si>
  <si>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</si>
  <si>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</si>
  <si>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</si>
  <si>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</si>
  <si>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</si>
  <si>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</si>
  <si>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</si>
  <si>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</si>
  <si>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</si>
  <si>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</si>
  <si>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</si>
  <si>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</si>
  <si>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</si>
  <si>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</si>
  <si>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</si>
  <si>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</si>
  <si>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</si>
  <si>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</si>
  <si>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</si>
  <si>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</si>
  <si>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</si>
  <si>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</si>
  <si>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</si>
  <si>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</si>
  <si>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</si>
  <si>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</si>
  <si>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</si>
  <si>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</si>
  <si>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</si>
  <si>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</si>
  <si>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</si>
  <si>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</si>
  <si>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</si>
  <si>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</si>
  <si>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</si>
  <si>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</si>
  <si>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</si>
  <si>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</si>
  <si>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</si>
  <si>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</si>
  <si>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</si>
  <si>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</si>
  <si>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</si>
  <si>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</si>
  <si>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</si>
  <si>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</si>
  <si>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</si>
  <si>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</si>
  <si>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</si>
  <si>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</si>
  <si>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</si>
  <si>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</si>
  <si>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</si>
  <si>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</si>
  <si>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</si>
  <si>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</si>
  <si>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</si>
  <si>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</si>
  <si>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</si>
  <si>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</si>
  <si>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</si>
  <si>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</si>
  <si>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</si>
  <si>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</si>
  <si>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</si>
  <si>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</si>
  <si>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</si>
  <si>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</si>
  <si>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</si>
  <si>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</si>
  <si>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</si>
  <si>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</si>
  <si>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</si>
  <si>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</si>
  <si>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</si>
  <si>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</si>
  <si>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</si>
  <si>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</si>
  <si>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</si>
  <si>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</si>
  <si>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</si>
  <si>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</si>
  <si>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</si>
  <si>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</si>
  <si>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</si>
  <si>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</si>
  <si>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</si>
  <si>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</si>
  <si>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</si>
  <si>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</si>
  <si>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</si>
  <si>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</si>
  <si>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</si>
  <si>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</si>
  <si>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</si>
  <si>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</si>
  <si>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</si>
  <si>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</si>
  <si>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</si>
  <si>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</si>
  <si>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</si>
  <si>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</si>
  <si>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</si>
  <si>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</si>
  <si>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</si>
  <si>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</si>
  <si>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</si>
  <si>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</si>
  <si>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</si>
  <si>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</si>
  <si>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</si>
  <si>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</si>
  <si>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</si>
  <si>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</si>
  <si>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</si>
  <si>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</si>
  <si>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</si>
  <si>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</si>
  <si>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</si>
  <si>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</si>
  <si>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</si>
  <si>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</si>
  <si>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</si>
  <si>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</si>
  <si>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</si>
  <si>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</si>
  <si>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</si>
  <si>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</si>
  <si>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</si>
  <si>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</si>
  <si>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</si>
  <si>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</si>
  <si>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</si>
  <si>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</si>
  <si>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</si>
  <si>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</si>
  <si>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</si>
  <si>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</si>
  <si>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</si>
  <si>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</si>
  <si>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</si>
  <si>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</si>
  <si>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</si>
  <si>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</si>
  <si>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</si>
  <si>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</si>
  <si>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</si>
  <si>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</si>
  <si>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</si>
  <si>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</si>
  <si>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</si>
  <si>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</si>
  <si>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</si>
  <si>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</si>
  <si>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</si>
  <si>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</si>
  <si>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</si>
  <si>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</si>
  <si>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</si>
  <si>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</si>
  <si>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</si>
  <si>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</si>
  <si>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</si>
  <si>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</si>
  <si>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</si>
  <si>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</si>
  <si>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</si>
  <si>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</si>
  <si>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</si>
  <si>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</si>
  <si>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</si>
  <si>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</si>
  <si>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</si>
  <si>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</si>
  <si>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</si>
  <si>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</si>
  <si>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</si>
  <si>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</si>
  <si>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</si>
  <si>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</si>
  <si>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</si>
  <si>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</si>
  <si>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</si>
  <si>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</si>
  <si>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</si>
  <si>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</si>
  <si>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</si>
  <si>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</si>
  <si>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</si>
  <si>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</si>
  <si>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</si>
  <si>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</si>
  <si>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</si>
  <si>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</si>
  <si>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</si>
  <si>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</si>
  <si>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</si>
  <si>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</si>
  <si>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</si>
  <si>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</si>
  <si>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</si>
  <si>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</si>
  <si>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</si>
  <si>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</si>
  <si>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</si>
  <si>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</si>
  <si>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</si>
  <si>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</si>
  <si>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</si>
  <si>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</si>
  <si>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</si>
  <si>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</si>
  <si>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</si>
  <si>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</si>
  <si>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</si>
  <si>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</si>
  <si>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</si>
  <si>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</si>
  <si>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</si>
  <si>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</si>
  <si>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</si>
  <si>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</si>
  <si>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</si>
  <si>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</si>
  <si>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</si>
  <si>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</si>
  <si>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</si>
  <si>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</si>
  <si>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</si>
  <si>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</si>
  <si>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</si>
  <si>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</si>
  <si>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</si>
  <si>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</si>
  <si>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</si>
  <si>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</si>
  <si>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</si>
  <si>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</si>
  <si>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</si>
  <si>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</si>
  <si>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</si>
  <si>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</si>
  <si>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</si>
  <si>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</si>
  <si>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</si>
  <si>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</si>
  <si>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</si>
  <si>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</si>
  <si>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</si>
  <si>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</si>
  <si>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</si>
  <si>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</si>
  <si>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</si>
  <si>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</si>
  <si>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</si>
  <si>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</si>
  <si>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</si>
  <si>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</si>
  <si>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</si>
  <si>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</si>
  <si>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</si>
  <si>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</si>
  <si>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</si>
  <si>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</si>
  <si>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</si>
  <si>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</si>
  <si>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</si>
  <si>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</si>
  <si>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</si>
  <si>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</si>
  <si>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</si>
  <si>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</si>
  <si>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</si>
  <si>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</si>
  <si>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</si>
  <si>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</si>
  <si>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</si>
  <si>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</si>
  <si>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</si>
  <si>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</si>
  <si>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</si>
  <si>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</si>
  <si>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</si>
  <si>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</si>
  <si>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</si>
  <si>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</si>
  <si>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</si>
  <si>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</si>
  <si>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</si>
  <si>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</si>
  <si>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</si>
  <si>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</si>
  <si>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</si>
  <si>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</si>
  <si>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</si>
  <si>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</si>
  <si>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</si>
  <si>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</si>
  <si>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</si>
  <si>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</si>
  <si>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</si>
  <si>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</si>
  <si>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</si>
  <si>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</si>
  <si>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</si>
  <si>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</si>
  <si>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</si>
  <si>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</si>
  <si>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</si>
  <si>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</si>
  <si>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</si>
  <si>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</si>
  <si>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</si>
  <si>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</si>
  <si>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</si>
  <si>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</si>
  <si>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</si>
  <si>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</si>
  <si>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</si>
  <si>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</si>
  <si>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</si>
  <si>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</si>
  <si>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</si>
  <si>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</si>
  <si>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</si>
  <si>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</si>
  <si>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</si>
  <si>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</si>
  <si>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</si>
  <si>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</si>
  <si>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</si>
  <si>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</si>
  <si>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</si>
  <si>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</si>
  <si>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</si>
  <si>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</si>
  <si>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</si>
  <si>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</si>
  <si>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</si>
  <si>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</si>
  <si>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</si>
  <si>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</si>
  <si>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</si>
  <si>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</si>
  <si>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</si>
  <si>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</si>
  <si>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</si>
  <si>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</si>
  <si>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</si>
  <si>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</si>
  <si>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</si>
  <si>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</si>
  <si>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</si>
  <si>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</si>
  <si>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</si>
  <si>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</si>
  <si>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</si>
  <si>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</si>
  <si>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</si>
  <si>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</si>
  <si>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</si>
  <si>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</si>
  <si>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</si>
  <si>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</si>
  <si>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</si>
  <si>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</si>
  <si>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</si>
  <si>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</si>
  <si>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</si>
  <si>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</si>
  <si>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</si>
  <si>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</si>
  <si>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</si>
  <si>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</si>
  <si>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</si>
  <si>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</si>
  <si>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</si>
  <si>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</si>
  <si>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</si>
  <si>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</si>
  <si>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</si>
  <si>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</si>
  <si>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</si>
  <si>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</si>
  <si>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</si>
  <si>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</si>
  <si>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</si>
  <si>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</si>
  <si>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</si>
  <si>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</si>
  <si>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</si>
  <si>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</si>
  <si>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</si>
  <si>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</si>
  <si>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</si>
  <si>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</si>
  <si>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</si>
  <si>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</si>
  <si>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</si>
  <si>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</si>
  <si>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</si>
  <si>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</si>
  <si>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</si>
  <si>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</si>
  <si>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</si>
  <si>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</si>
  <si>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</si>
  <si>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</si>
  <si>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</si>
  <si>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</si>
  <si>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</si>
  <si>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</si>
  <si>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</si>
  <si>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</si>
  <si>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</si>
  <si>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</si>
  <si>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</si>
  <si>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</si>
  <si>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</si>
  <si>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</si>
  <si>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</si>
  <si>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</si>
  <si>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</si>
  <si>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</si>
  <si>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</si>
  <si>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</si>
  <si>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</si>
  <si>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</si>
  <si>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</si>
  <si>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</si>
  <si>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</si>
  <si>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</si>
  <si>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</si>
  <si>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</si>
  <si>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</si>
  <si>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</si>
  <si>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</si>
  <si>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</si>
  <si>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</si>
  <si>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</si>
  <si>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</si>
  <si>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</si>
  <si>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</si>
  <si>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</si>
  <si>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</si>
  <si>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</si>
  <si>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</si>
  <si>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</si>
  <si>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</si>
  <si>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</si>
  <si>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</si>
  <si>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</si>
  <si>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</si>
  <si>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</si>
  <si>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</si>
  <si>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</si>
  <si>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</si>
  <si>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</si>
  <si>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</si>
  <si>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</si>
  <si>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</si>
  <si>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</si>
  <si>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</si>
  <si>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</si>
  <si>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</si>
  <si>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</si>
  <si>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</si>
  <si>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</si>
  <si>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</si>
  <si>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</si>
  <si>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</si>
  <si>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</si>
  <si>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</si>
  <si>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</si>
  <si>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</si>
  <si>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</si>
  <si>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</si>
  <si>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</si>
  <si>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</si>
  <si>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</si>
  <si>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</si>
  <si>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</si>
  <si>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</si>
  <si>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</si>
  <si>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</si>
  <si>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</si>
  <si>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</si>
  <si>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</si>
  <si>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</si>
  <si>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</si>
  <si>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</si>
  <si>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</si>
  <si>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</si>
  <si>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</si>
  <si>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</si>
  <si>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</si>
  <si>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</si>
  <si>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</si>
  <si>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</si>
  <si>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</si>
  <si>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</si>
  <si>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</si>
  <si>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</si>
  <si>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</si>
  <si>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</si>
  <si>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</si>
  <si>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</si>
  <si>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</si>
  <si>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</si>
  <si>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</si>
  <si>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</si>
  <si>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</si>
  <si>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</si>
  <si>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</si>
  <si>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</si>
  <si>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</si>
  <si>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</si>
  <si>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</si>
  <si>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</si>
  <si>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</si>
  <si>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</si>
  <si>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</si>
  <si>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</si>
  <si>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</si>
  <si>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</si>
  <si>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</si>
  <si>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</si>
  <si>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</si>
  <si>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</si>
  <si>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</si>
  <si>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</si>
  <si>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</si>
  <si>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</si>
  <si>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</si>
  <si>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</si>
  <si>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</si>
  <si>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</si>
  <si>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</si>
  <si>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</si>
  <si>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</si>
  <si>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</si>
  <si>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</si>
  <si>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</si>
  <si>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</si>
  <si>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</si>
  <si>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</si>
  <si>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</si>
  <si>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</si>
  <si>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</si>
  <si>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</si>
  <si>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</si>
  <si>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</si>
  <si>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</si>
  <si>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</si>
  <si>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</si>
  <si>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</si>
  <si>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</si>
  <si>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</si>
  <si>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</si>
  <si>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</si>
  <si>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</si>
  <si>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</si>
  <si>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</si>
  <si>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</si>
  <si>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</si>
  <si>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</si>
  <si>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</si>
  <si>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</si>
  <si>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</si>
  <si>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</si>
  <si>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</si>
  <si>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</si>
  <si>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</si>
  <si>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</si>
  <si>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</si>
  <si>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</si>
  <si>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</si>
  <si>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</si>
  <si>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</si>
  <si>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</si>
  <si>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</si>
  <si>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</si>
  <si>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</si>
  <si>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</si>
  <si>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</si>
  <si>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</si>
  <si>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</si>
  <si>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</si>
  <si>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</si>
  <si>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</si>
  <si>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</si>
  <si>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</si>
  <si>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</si>
  <si>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</si>
  <si>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</si>
  <si>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</si>
  <si>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</si>
  <si>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</si>
  <si>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</si>
  <si>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</si>
  <si>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</si>
  <si>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</si>
  <si>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</si>
  <si>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</si>
  <si>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</si>
  <si>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</si>
  <si>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</si>
  <si>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</si>
  <si>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</si>
  <si>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</si>
  <si>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</si>
  <si>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</si>
  <si>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</si>
  <si>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</si>
  <si>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</si>
  <si>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</si>
  <si>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</si>
  <si>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</si>
  <si>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</si>
  <si>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</si>
  <si>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</si>
  <si>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</si>
  <si>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</si>
  <si>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</si>
  <si>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</si>
  <si>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</si>
  <si>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</si>
  <si>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</si>
  <si>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</si>
  <si>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</si>
  <si>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</si>
  <si>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</si>
  <si>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</si>
  <si>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</si>
  <si>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</si>
  <si>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</si>
  <si>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</si>
  <si>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</si>
  <si>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</si>
  <si>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</si>
  <si>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</si>
  <si>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</si>
  <si>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</si>
  <si>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</si>
  <si>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</si>
  <si>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</si>
  <si>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</si>
  <si>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</si>
  <si>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</si>
  <si>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</si>
  <si>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</si>
  <si>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</si>
  <si>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</si>
  <si>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</si>
  <si>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</si>
  <si>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</si>
  <si>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</si>
  <si>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</si>
  <si>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</si>
  <si>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</si>
  <si>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</si>
  <si>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</si>
  <si>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</si>
  <si>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</si>
  <si>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</si>
  <si>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</si>
  <si>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</si>
  <si>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</si>
  <si>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</si>
  <si>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</si>
  <si>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</si>
  <si>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</si>
  <si>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</si>
  <si>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</si>
  <si>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</si>
  <si>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</si>
  <si>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</si>
  <si>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</si>
  <si>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</si>
  <si>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</si>
  <si>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</si>
  <si>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</si>
  <si>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</si>
  <si>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</si>
  <si>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</si>
  <si>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</si>
  <si>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</si>
  <si>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</si>
  <si>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</si>
  <si>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</si>
  <si>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</si>
  <si>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</si>
  <si>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</si>
  <si>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</si>
  <si>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</si>
  <si>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</si>
  <si>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</si>
  <si>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</si>
  <si>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</si>
  <si>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</si>
  <si>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</si>
  <si>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</si>
  <si>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</si>
  <si>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</si>
  <si>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</si>
  <si>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</si>
  <si>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</si>
  <si>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</si>
  <si>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</si>
  <si>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</si>
  <si>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</si>
  <si>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</si>
  <si>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</si>
  <si>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</si>
  <si>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</si>
  <si>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</si>
  <si>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</si>
  <si>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</si>
  <si>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</si>
  <si>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</si>
  <si>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</si>
  <si>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</si>
  <si>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</si>
  <si>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</si>
  <si>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</si>
  <si>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</si>
  <si>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</si>
  <si>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</si>
  <si>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</si>
  <si>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</si>
  <si>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</si>
  <si>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</si>
  <si>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</si>
  <si>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</si>
  <si>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</si>
  <si>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</si>
  <si>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</si>
  <si>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</si>
  <si>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</si>
  <si>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</si>
  <si>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</si>
  <si>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</si>
  <si>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</si>
  <si>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</si>
  <si>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</si>
  <si>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</si>
  <si>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</si>
  <si>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</si>
  <si>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</si>
  <si>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</si>
  <si>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</si>
  <si>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</si>
  <si>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</si>
  <si>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</si>
  <si>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</si>
  <si>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</si>
  <si>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</si>
  <si>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</si>
  <si>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</si>
  <si>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</si>
  <si>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</si>
  <si>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</si>
  <si>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</si>
  <si>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</si>
  <si>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</si>
  <si>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</si>
  <si>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</si>
  <si>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</si>
  <si>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</si>
  <si>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</si>
  <si>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</si>
  <si>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</si>
  <si>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</si>
  <si>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</si>
  <si>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</si>
  <si>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</si>
  <si>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</si>
  <si>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</si>
  <si>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</si>
  <si>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</si>
  <si>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</si>
  <si>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</si>
  <si>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</si>
  <si>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</si>
  <si>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</si>
  <si>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</si>
  <si>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</si>
  <si>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</si>
  <si>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</si>
  <si>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</si>
  <si>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</si>
  <si>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</si>
  <si>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</si>
  <si>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</si>
  <si>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</si>
  <si>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</si>
  <si>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</si>
  <si>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</si>
  <si>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</si>
  <si>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</si>
  <si>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</si>
  <si>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</si>
  <si>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</si>
  <si>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</si>
  <si>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</si>
  <si>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42026</t>
  </si>
  <si>
    <t>WICHELEN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</si>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</sst>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103072.44381803319</c:v>
                </c:pt>
                <c:pt idx="1">
                  <c:v>17349.114590674712</c:v>
                </c:pt>
                <c:pt idx="2">
                  <c:v>826.47900000000004</c:v>
                </c:pt>
                <c:pt idx="3">
                  <c:v>3184.4601453258556</c:v>
                </c:pt>
                <c:pt idx="4">
                  <c:v>10660.743647017471</c:v>
                </c:pt>
                <c:pt idx="5">
                  <c:v>36427.790926293907</c:v>
                </c:pt>
                <c:pt idx="6">
                  <c:v>501.75345403343391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103072.44381803319</c:v>
                </c:pt>
                <c:pt idx="1">
                  <c:v>17349.114590674712</c:v>
                </c:pt>
                <c:pt idx="2">
                  <c:v>826.47900000000004</c:v>
                </c:pt>
                <c:pt idx="3">
                  <c:v>3184.4601453258556</c:v>
                </c:pt>
                <c:pt idx="4">
                  <c:v>10660.743647017471</c:v>
                </c:pt>
                <c:pt idx="5">
                  <c:v>36427.790926293907</c:v>
                </c:pt>
                <c:pt idx="6">
                  <c:v>501.75345403343391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21227.484400922651</c:v>
                </c:pt>
                <c:pt idx="2">
                  <c:v>3390.3260016408549</c:v>
                </c:pt>
                <c:pt idx="3">
                  <c:v>170.30006459414821</c:v>
                </c:pt>
                <c:pt idx="4">
                  <c:v>802.36671430986735</c:v>
                </c:pt>
                <c:pt idx="5">
                  <c:v>2231.6017198510976</c:v>
                </c:pt>
                <c:pt idx="6">
                  <c:v>9205.1139034301086</c:v>
                </c:pt>
                <c:pt idx="7">
                  <c:v>128.25924703358919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21227.484400922651</c:v>
                </c:pt>
                <c:pt idx="2">
                  <c:v>3390.3260016408549</c:v>
                </c:pt>
                <c:pt idx="3">
                  <c:v>170.30006459414821</c:v>
                </c:pt>
                <c:pt idx="4">
                  <c:v>802.36671430986735</c:v>
                </c:pt>
                <c:pt idx="5">
                  <c:v>2231.6017198510976</c:v>
                </c:pt>
                <c:pt idx="6">
                  <c:v>9205.1139034301086</c:v>
                </c:pt>
                <c:pt idx="7">
                  <c:v>128.25924703358919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42026</v>
      </c>
      <c r="B6" s="395"/>
      <c r="C6" s="396"/>
    </row>
    <row r="7" spans="1:7" s="393" customFormat="1" ht="15.75" customHeight="1">
      <c r="A7" s="397" t="str">
        <f>txtMunicipality</f>
        <v>WICHELEN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8404.4587893484149</v>
      </c>
      <c r="D10" s="686">
        <f ca="1">tertiair!C16</f>
        <v>0</v>
      </c>
      <c r="E10" s="686">
        <f ca="1">tertiair!D16</f>
        <v>6821.272109857905</v>
      </c>
      <c r="F10" s="686">
        <f>tertiair!E16</f>
        <v>95.149796110206722</v>
      </c>
      <c r="G10" s="686">
        <f ca="1">tertiair!F16</f>
        <v>1608.0524685671262</v>
      </c>
      <c r="H10" s="686">
        <f>tertiair!G16</f>
        <v>0</v>
      </c>
      <c r="I10" s="686">
        <f>tertiair!H16</f>
        <v>0</v>
      </c>
      <c r="J10" s="686">
        <f>tertiair!I16</f>
        <v>0</v>
      </c>
      <c r="K10" s="686">
        <f>tertiair!J16</f>
        <v>0</v>
      </c>
      <c r="L10" s="686">
        <f>tertiair!K16</f>
        <v>0</v>
      </c>
      <c r="M10" s="686">
        <f ca="1">tertiair!L16</f>
        <v>0</v>
      </c>
      <c r="N10" s="686">
        <f>tertiair!M16</f>
        <v>0</v>
      </c>
      <c r="O10" s="686">
        <f ca="1">tertiair!N16</f>
        <v>1245.0970934577272</v>
      </c>
      <c r="P10" s="686">
        <f>tertiair!O16</f>
        <v>1.5633333333333335</v>
      </c>
      <c r="Q10" s="687">
        <f>tertiair!P16</f>
        <v>0</v>
      </c>
      <c r="R10" s="689">
        <f ca="1">SUM(C10:Q10)</f>
        <v>18175.593590674711</v>
      </c>
      <c r="S10" s="67"/>
    </row>
    <row r="11" spans="1:19" s="454" customFormat="1">
      <c r="A11" s="801" t="s">
        <v>224</v>
      </c>
      <c r="B11" s="806"/>
      <c r="C11" s="686">
        <f>huishoudens!B8</f>
        <v>25601.247865270052</v>
      </c>
      <c r="D11" s="686">
        <f>huishoudens!C8</f>
        <v>0</v>
      </c>
      <c r="E11" s="686">
        <f>huishoudens!D8</f>
        <v>39939.024459187967</v>
      </c>
      <c r="F11" s="686">
        <f>huishoudens!E8</f>
        <v>3668.4930075485959</v>
      </c>
      <c r="G11" s="686">
        <f>huishoudens!F8</f>
        <v>21541.15148209879</v>
      </c>
      <c r="H11" s="686">
        <f>huishoudens!G8</f>
        <v>0</v>
      </c>
      <c r="I11" s="686">
        <f>huishoudens!H8</f>
        <v>0</v>
      </c>
      <c r="J11" s="686">
        <f>huishoudens!I8</f>
        <v>0</v>
      </c>
      <c r="K11" s="686">
        <f>huishoudens!J8</f>
        <v>3673.172343422546</v>
      </c>
      <c r="L11" s="686">
        <f>huishoudens!K8</f>
        <v>0</v>
      </c>
      <c r="M11" s="686">
        <f>huishoudens!L8</f>
        <v>0</v>
      </c>
      <c r="N11" s="686">
        <f>huishoudens!M8</f>
        <v>0</v>
      </c>
      <c r="O11" s="686">
        <f>huishoudens!N8</f>
        <v>8236.417993838586</v>
      </c>
      <c r="P11" s="686">
        <f>huishoudens!O8</f>
        <v>107.87</v>
      </c>
      <c r="Q11" s="687">
        <f>huishoudens!P8</f>
        <v>305.06666666666666</v>
      </c>
      <c r="R11" s="689">
        <f>SUM(C11:Q11)</f>
        <v>103072.44381803319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5402.3898695761109</v>
      </c>
      <c r="D13" s="686">
        <f>industrie!C18</f>
        <v>0</v>
      </c>
      <c r="E13" s="686">
        <f>industrie!D18</f>
        <v>3236.6198323156905</v>
      </c>
      <c r="F13" s="686">
        <f>industrie!E18</f>
        <v>377.34136953520095</v>
      </c>
      <c r="G13" s="686">
        <f>industrie!F18</f>
        <v>1414.1804066888644</v>
      </c>
      <c r="H13" s="686">
        <f>industrie!G18</f>
        <v>0</v>
      </c>
      <c r="I13" s="686">
        <f>industrie!H18</f>
        <v>0</v>
      </c>
      <c r="J13" s="686">
        <f>industrie!I18</f>
        <v>0</v>
      </c>
      <c r="K13" s="686">
        <f>industrie!J18</f>
        <v>3.8780775892368582</v>
      </c>
      <c r="L13" s="686">
        <f>industrie!K18</f>
        <v>0</v>
      </c>
      <c r="M13" s="686">
        <f>industrie!L18</f>
        <v>0</v>
      </c>
      <c r="N13" s="686">
        <f>industrie!M18</f>
        <v>0</v>
      </c>
      <c r="O13" s="686">
        <f>industrie!N18</f>
        <v>226.33409131236743</v>
      </c>
      <c r="P13" s="686">
        <f>industrie!O18</f>
        <v>0</v>
      </c>
      <c r="Q13" s="687">
        <f>industrie!P18</f>
        <v>0</v>
      </c>
      <c r="R13" s="689">
        <f>SUM(C13:Q13)</f>
        <v>10660.743647017471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39408.096524194574</v>
      </c>
      <c r="D16" s="721">
        <f t="shared" ref="D16:R16" ca="1" si="0">SUM(D9:D15)</f>
        <v>0</v>
      </c>
      <c r="E16" s="721">
        <f t="shared" ca="1" si="0"/>
        <v>49996.916401361566</v>
      </c>
      <c r="F16" s="721">
        <f t="shared" si="0"/>
        <v>4140.9841731940032</v>
      </c>
      <c r="G16" s="721">
        <f t="shared" ca="1" si="0"/>
        <v>24563.384357354782</v>
      </c>
      <c r="H16" s="721">
        <f t="shared" si="0"/>
        <v>0</v>
      </c>
      <c r="I16" s="721">
        <f t="shared" si="0"/>
        <v>0</v>
      </c>
      <c r="J16" s="721">
        <f t="shared" si="0"/>
        <v>0</v>
      </c>
      <c r="K16" s="721">
        <f t="shared" si="0"/>
        <v>3677.0504210117829</v>
      </c>
      <c r="L16" s="721">
        <f t="shared" si="0"/>
        <v>0</v>
      </c>
      <c r="M16" s="721">
        <f t="shared" ca="1" si="0"/>
        <v>0</v>
      </c>
      <c r="N16" s="721">
        <f t="shared" si="0"/>
        <v>0</v>
      </c>
      <c r="O16" s="721">
        <f t="shared" ca="1" si="0"/>
        <v>9707.8491786086797</v>
      </c>
      <c r="P16" s="721">
        <f t="shared" si="0"/>
        <v>109.43333333333334</v>
      </c>
      <c r="Q16" s="721">
        <f t="shared" si="0"/>
        <v>305.06666666666666</v>
      </c>
      <c r="R16" s="721">
        <f t="shared" ca="1" si="0"/>
        <v>131908.78105572535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480.37171173628911</v>
      </c>
      <c r="I19" s="686">
        <f>transport!H54</f>
        <v>0</v>
      </c>
      <c r="J19" s="686">
        <f>transport!I54</f>
        <v>0</v>
      </c>
      <c r="K19" s="686">
        <f>transport!J54</f>
        <v>0</v>
      </c>
      <c r="L19" s="686">
        <f>transport!K54</f>
        <v>0</v>
      </c>
      <c r="M19" s="686">
        <f>transport!L54</f>
        <v>0</v>
      </c>
      <c r="N19" s="686">
        <f>transport!M54</f>
        <v>21.381742297144779</v>
      </c>
      <c r="O19" s="686">
        <f>transport!N54</f>
        <v>0</v>
      </c>
      <c r="P19" s="686">
        <f>transport!O54</f>
        <v>0</v>
      </c>
      <c r="Q19" s="687">
        <f>transport!P54</f>
        <v>0</v>
      </c>
      <c r="R19" s="689">
        <f>SUM(C19:Q19)</f>
        <v>501.75345403343391</v>
      </c>
      <c r="S19" s="67"/>
    </row>
    <row r="20" spans="1:19" s="454" customFormat="1">
      <c r="A20" s="801" t="s">
        <v>306</v>
      </c>
      <c r="B20" s="806"/>
      <c r="C20" s="686">
        <f>transport!B14</f>
        <v>1.6703285489493194</v>
      </c>
      <c r="D20" s="686">
        <f>transport!C14</f>
        <v>0</v>
      </c>
      <c r="E20" s="686">
        <f>transport!D14</f>
        <v>2.9778394011755269</v>
      </c>
      <c r="F20" s="686">
        <f>transport!E14</f>
        <v>104.27017362578326</v>
      </c>
      <c r="G20" s="686">
        <f>transport!F14</f>
        <v>0</v>
      </c>
      <c r="H20" s="686">
        <f>transport!G14</f>
        <v>29352.019383800256</v>
      </c>
      <c r="I20" s="686">
        <f>transport!H14</f>
        <v>5395.6212673376658</v>
      </c>
      <c r="J20" s="686">
        <f>transport!I14</f>
        <v>0</v>
      </c>
      <c r="K20" s="686">
        <f>transport!J14</f>
        <v>0</v>
      </c>
      <c r="L20" s="686">
        <f>transport!K14</f>
        <v>0</v>
      </c>
      <c r="M20" s="686">
        <f>transport!L14</f>
        <v>0</v>
      </c>
      <c r="N20" s="686">
        <f>transport!M14</f>
        <v>1571.2319335800757</v>
      </c>
      <c r="O20" s="686">
        <f>transport!N14</f>
        <v>0</v>
      </c>
      <c r="P20" s="686">
        <f>transport!O14</f>
        <v>0</v>
      </c>
      <c r="Q20" s="687">
        <f>transport!P14</f>
        <v>0</v>
      </c>
      <c r="R20" s="689">
        <f>SUM(C20:Q20)</f>
        <v>36427.790926293907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1.6703285489493194</v>
      </c>
      <c r="D22" s="804">
        <f t="shared" ref="D22:R22" si="1">SUM(D18:D21)</f>
        <v>0</v>
      </c>
      <c r="E22" s="804">
        <f t="shared" si="1"/>
        <v>2.9778394011755269</v>
      </c>
      <c r="F22" s="804">
        <f t="shared" si="1"/>
        <v>104.27017362578326</v>
      </c>
      <c r="G22" s="804">
        <f t="shared" si="1"/>
        <v>0</v>
      </c>
      <c r="H22" s="804">
        <f t="shared" si="1"/>
        <v>29832.391095536546</v>
      </c>
      <c r="I22" s="804">
        <f t="shared" si="1"/>
        <v>5395.6212673376658</v>
      </c>
      <c r="J22" s="804">
        <f t="shared" si="1"/>
        <v>0</v>
      </c>
      <c r="K22" s="804">
        <f t="shared" si="1"/>
        <v>0</v>
      </c>
      <c r="L22" s="804">
        <f t="shared" si="1"/>
        <v>0</v>
      </c>
      <c r="M22" s="804">
        <f t="shared" si="1"/>
        <v>0</v>
      </c>
      <c r="N22" s="804">
        <f t="shared" si="1"/>
        <v>1592.6136758772204</v>
      </c>
      <c r="O22" s="804">
        <f t="shared" si="1"/>
        <v>0</v>
      </c>
      <c r="P22" s="804">
        <f t="shared" si="1"/>
        <v>0</v>
      </c>
      <c r="Q22" s="804">
        <f t="shared" si="1"/>
        <v>0</v>
      </c>
      <c r="R22" s="804">
        <f t="shared" si="1"/>
        <v>36929.544380327337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632.63909796852806</v>
      </c>
      <c r="D24" s="686">
        <f>+landbouw!C8</f>
        <v>0</v>
      </c>
      <c r="E24" s="686">
        <f>+landbouw!D8</f>
        <v>265.94387741567908</v>
      </c>
      <c r="F24" s="686">
        <f>+landbouw!E8</f>
        <v>7.9720676392688965</v>
      </c>
      <c r="G24" s="686">
        <f>+landbouw!F8</f>
        <v>2182.7633735553636</v>
      </c>
      <c r="H24" s="686">
        <f>+landbouw!G8</f>
        <v>0</v>
      </c>
      <c r="I24" s="686">
        <f>+landbouw!H8</f>
        <v>0</v>
      </c>
      <c r="J24" s="686">
        <f>+landbouw!I8</f>
        <v>0</v>
      </c>
      <c r="K24" s="686">
        <f>+landbouw!J8</f>
        <v>95.141728747015662</v>
      </c>
      <c r="L24" s="686">
        <f>+landbouw!K8</f>
        <v>0</v>
      </c>
      <c r="M24" s="686">
        <f>+landbouw!L8</f>
        <v>0</v>
      </c>
      <c r="N24" s="686">
        <f>+landbouw!M8</f>
        <v>0</v>
      </c>
      <c r="O24" s="686">
        <f>+landbouw!N8</f>
        <v>0</v>
      </c>
      <c r="P24" s="686">
        <f>+landbouw!O8</f>
        <v>0</v>
      </c>
      <c r="Q24" s="687">
        <f>+landbouw!P8</f>
        <v>0</v>
      </c>
      <c r="R24" s="689">
        <f>SUM(C24:Q24)</f>
        <v>3184.4601453258556</v>
      </c>
      <c r="S24" s="67"/>
    </row>
    <row r="25" spans="1:19" s="454" customFormat="1" ht="15" thickBot="1">
      <c r="A25" s="823" t="s">
        <v>856</v>
      </c>
      <c r="B25" s="991"/>
      <c r="C25" s="992">
        <f>IF(Onbekend_ele_kWh="---",0,Onbekend_ele_kWh)/1000+IF(REST_rest_ele_kWh="---",0,REST_rest_ele_kWh)/1000</f>
        <v>530.64937287181999</v>
      </c>
      <c r="D25" s="992"/>
      <c r="E25" s="992">
        <f>IF(onbekend_gas_kWh="---",0,onbekend_gas_kWh)/1000+IF(REST_rest_gas_kWh="---",0,REST_rest_gas_kWh)/1000</f>
        <v>819.75264114298102</v>
      </c>
      <c r="F25" s="992"/>
      <c r="G25" s="992"/>
      <c r="H25" s="992"/>
      <c r="I25" s="992"/>
      <c r="J25" s="992"/>
      <c r="K25" s="992"/>
      <c r="L25" s="992"/>
      <c r="M25" s="992"/>
      <c r="N25" s="992"/>
      <c r="O25" s="992"/>
      <c r="P25" s="992"/>
      <c r="Q25" s="993"/>
      <c r="R25" s="689">
        <f>SUM(C25:Q25)</f>
        <v>1350.4020140148009</v>
      </c>
      <c r="S25" s="67"/>
    </row>
    <row r="26" spans="1:19" s="454" customFormat="1" ht="15.75" thickBot="1">
      <c r="A26" s="694" t="s">
        <v>857</v>
      </c>
      <c r="B26" s="809"/>
      <c r="C26" s="804">
        <f>SUM(C24:C25)</f>
        <v>1163.2884708403481</v>
      </c>
      <c r="D26" s="804">
        <f t="shared" ref="D26:R26" si="2">SUM(D24:D25)</f>
        <v>0</v>
      </c>
      <c r="E26" s="804">
        <f t="shared" si="2"/>
        <v>1085.69651855866</v>
      </c>
      <c r="F26" s="804">
        <f t="shared" si="2"/>
        <v>7.9720676392688965</v>
      </c>
      <c r="G26" s="804">
        <f t="shared" si="2"/>
        <v>2182.7633735553636</v>
      </c>
      <c r="H26" s="804">
        <f t="shared" si="2"/>
        <v>0</v>
      </c>
      <c r="I26" s="804">
        <f t="shared" si="2"/>
        <v>0</v>
      </c>
      <c r="J26" s="804">
        <f t="shared" si="2"/>
        <v>0</v>
      </c>
      <c r="K26" s="804">
        <f t="shared" si="2"/>
        <v>95.141728747015662</v>
      </c>
      <c r="L26" s="804">
        <f t="shared" si="2"/>
        <v>0</v>
      </c>
      <c r="M26" s="804">
        <f t="shared" si="2"/>
        <v>0</v>
      </c>
      <c r="N26" s="804">
        <f t="shared" si="2"/>
        <v>0</v>
      </c>
      <c r="O26" s="804">
        <f t="shared" si="2"/>
        <v>0</v>
      </c>
      <c r="P26" s="804">
        <f t="shared" si="2"/>
        <v>0</v>
      </c>
      <c r="Q26" s="804">
        <f t="shared" si="2"/>
        <v>0</v>
      </c>
      <c r="R26" s="804">
        <f t="shared" si="2"/>
        <v>4534.8621593406569</v>
      </c>
      <c r="S26" s="67"/>
    </row>
    <row r="27" spans="1:19" s="454" customFormat="1" ht="17.25" thickTop="1" thickBot="1">
      <c r="A27" s="695" t="s">
        <v>115</v>
      </c>
      <c r="B27" s="796"/>
      <c r="C27" s="696">
        <f ca="1">C22+C16+C26</f>
        <v>40573.055323583874</v>
      </c>
      <c r="D27" s="696">
        <f t="shared" ref="D27:R27" ca="1" si="3">D22+D16+D26</f>
        <v>0</v>
      </c>
      <c r="E27" s="696">
        <f t="shared" ca="1" si="3"/>
        <v>51085.5907593214</v>
      </c>
      <c r="F27" s="696">
        <f t="shared" si="3"/>
        <v>4253.2264144590554</v>
      </c>
      <c r="G27" s="696">
        <f t="shared" ca="1" si="3"/>
        <v>26746.147730910146</v>
      </c>
      <c r="H27" s="696">
        <f t="shared" si="3"/>
        <v>29832.391095536546</v>
      </c>
      <c r="I27" s="696">
        <f t="shared" si="3"/>
        <v>5395.6212673376658</v>
      </c>
      <c r="J27" s="696">
        <f t="shared" si="3"/>
        <v>0</v>
      </c>
      <c r="K27" s="696">
        <f t="shared" si="3"/>
        <v>3772.1921497587987</v>
      </c>
      <c r="L27" s="696">
        <f t="shared" si="3"/>
        <v>0</v>
      </c>
      <c r="M27" s="696">
        <f t="shared" ca="1" si="3"/>
        <v>0</v>
      </c>
      <c r="N27" s="696">
        <f t="shared" si="3"/>
        <v>1592.6136758772204</v>
      </c>
      <c r="O27" s="696">
        <f t="shared" ca="1" si="3"/>
        <v>9707.8491786086797</v>
      </c>
      <c r="P27" s="696">
        <f t="shared" si="3"/>
        <v>109.43333333333334</v>
      </c>
      <c r="Q27" s="696">
        <f t="shared" si="3"/>
        <v>305.06666666666666</v>
      </c>
      <c r="R27" s="696">
        <f t="shared" ca="1" si="3"/>
        <v>173373.18759539333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1731.7800872192661</v>
      </c>
      <c r="D40" s="686">
        <f ca="1">tertiair!C20</f>
        <v>0</v>
      </c>
      <c r="E40" s="686">
        <f ca="1">tertiair!D20</f>
        <v>1377.896966191297</v>
      </c>
      <c r="F40" s="686">
        <f>tertiair!E20</f>
        <v>21.599003717016927</v>
      </c>
      <c r="G40" s="686">
        <f ca="1">tertiair!F20</f>
        <v>429.35000910742269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3560.6260662350023</v>
      </c>
    </row>
    <row r="41" spans="1:18">
      <c r="A41" s="814" t="s">
        <v>224</v>
      </c>
      <c r="B41" s="821"/>
      <c r="C41" s="686">
        <f ca="1">huishoudens!B12</f>
        <v>5275.2630921611908</v>
      </c>
      <c r="D41" s="686">
        <f ca="1">huishoudens!C12</f>
        <v>0</v>
      </c>
      <c r="E41" s="686">
        <f>huishoudens!D12</f>
        <v>8067.6829407559699</v>
      </c>
      <c r="F41" s="686">
        <f>huishoudens!E12</f>
        <v>832.74791271353126</v>
      </c>
      <c r="G41" s="686">
        <f>huishoudens!F12</f>
        <v>5751.4874457203778</v>
      </c>
      <c r="H41" s="686">
        <f>huishoudens!G12</f>
        <v>0</v>
      </c>
      <c r="I41" s="686">
        <f>huishoudens!H12</f>
        <v>0</v>
      </c>
      <c r="J41" s="686">
        <f>huishoudens!I12</f>
        <v>0</v>
      </c>
      <c r="K41" s="686">
        <f>huishoudens!J12</f>
        <v>1300.3030095715812</v>
      </c>
      <c r="L41" s="686">
        <f>huishoudens!K12</f>
        <v>0</v>
      </c>
      <c r="M41" s="686">
        <f>huishoudens!L12</f>
        <v>0</v>
      </c>
      <c r="N41" s="686">
        <f>huishoudens!M12</f>
        <v>0</v>
      </c>
      <c r="O41" s="686">
        <f>huishoudens!N12</f>
        <v>0</v>
      </c>
      <c r="P41" s="686">
        <f>huishoudens!O12</f>
        <v>0</v>
      </c>
      <c r="Q41" s="763">
        <f>huishoudens!P12</f>
        <v>0</v>
      </c>
      <c r="R41" s="842">
        <f t="shared" ca="1" si="4"/>
        <v>21227.484400922651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1113.1890147863207</v>
      </c>
      <c r="D43" s="686">
        <f ca="1">industrie!C22</f>
        <v>0</v>
      </c>
      <c r="E43" s="686">
        <f>industrie!D22</f>
        <v>653.79720612776953</v>
      </c>
      <c r="F43" s="686">
        <f>industrie!E22</f>
        <v>85.656490884490623</v>
      </c>
      <c r="G43" s="686">
        <f>industrie!F22</f>
        <v>377.58616858592683</v>
      </c>
      <c r="H43" s="686">
        <f>industrie!G22</f>
        <v>0</v>
      </c>
      <c r="I43" s="686">
        <f>industrie!H22</f>
        <v>0</v>
      </c>
      <c r="J43" s="686">
        <f>industrie!I22</f>
        <v>0</v>
      </c>
      <c r="K43" s="686">
        <f>industrie!J22</f>
        <v>1.3728394665898478</v>
      </c>
      <c r="L43" s="686">
        <f>industrie!K22</f>
        <v>0</v>
      </c>
      <c r="M43" s="686">
        <f>industrie!L22</f>
        <v>0</v>
      </c>
      <c r="N43" s="686">
        <f>industrie!M22</f>
        <v>0</v>
      </c>
      <c r="O43" s="686">
        <f>industrie!N22</f>
        <v>0</v>
      </c>
      <c r="P43" s="686">
        <f>industrie!O22</f>
        <v>0</v>
      </c>
      <c r="Q43" s="763">
        <f>industrie!P22</f>
        <v>0</v>
      </c>
      <c r="R43" s="841">
        <f t="shared" ca="1" si="4"/>
        <v>2231.6017198510976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8120.2321941667769</v>
      </c>
      <c r="D46" s="721">
        <f t="shared" ref="D46:Q46" ca="1" si="5">SUM(D39:D45)</f>
        <v>0</v>
      </c>
      <c r="E46" s="721">
        <f t="shared" ca="1" si="5"/>
        <v>10099.377113075036</v>
      </c>
      <c r="F46" s="721">
        <f t="shared" si="5"/>
        <v>940.00340731503877</v>
      </c>
      <c r="G46" s="721">
        <f t="shared" ca="1" si="5"/>
        <v>6558.4236234137279</v>
      </c>
      <c r="H46" s="721">
        <f t="shared" si="5"/>
        <v>0</v>
      </c>
      <c r="I46" s="721">
        <f t="shared" si="5"/>
        <v>0</v>
      </c>
      <c r="J46" s="721">
        <f t="shared" si="5"/>
        <v>0</v>
      </c>
      <c r="K46" s="721">
        <f t="shared" si="5"/>
        <v>1301.675849038171</v>
      </c>
      <c r="L46" s="721">
        <f t="shared" si="5"/>
        <v>0</v>
      </c>
      <c r="M46" s="721">
        <f t="shared" ca="1" si="5"/>
        <v>0</v>
      </c>
      <c r="N46" s="721">
        <f t="shared" si="5"/>
        <v>0</v>
      </c>
      <c r="O46" s="721">
        <f t="shared" ca="1" si="5"/>
        <v>0</v>
      </c>
      <c r="P46" s="721">
        <f t="shared" si="5"/>
        <v>0</v>
      </c>
      <c r="Q46" s="721">
        <f t="shared" si="5"/>
        <v>0</v>
      </c>
      <c r="R46" s="721">
        <f ca="1">SUM(R39:R45)</f>
        <v>27019.71218700875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128.25924703358919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128.25924703358919</v>
      </c>
    </row>
    <row r="50" spans="1:18">
      <c r="A50" s="817" t="s">
        <v>306</v>
      </c>
      <c r="B50" s="827"/>
      <c r="C50" s="692">
        <f ca="1">transport!B18</f>
        <v>0.34417941627012777</v>
      </c>
      <c r="D50" s="692">
        <f>transport!C18</f>
        <v>0</v>
      </c>
      <c r="E50" s="692">
        <f>transport!D18</f>
        <v>0.60152355903745647</v>
      </c>
      <c r="F50" s="692">
        <f>transport!E18</f>
        <v>23.6693294130528</v>
      </c>
      <c r="G50" s="692">
        <f>transport!F18</f>
        <v>0</v>
      </c>
      <c r="H50" s="692">
        <f>transport!G18</f>
        <v>7836.9891754746686</v>
      </c>
      <c r="I50" s="692">
        <f>transport!H18</f>
        <v>1343.5096955670788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9205.1139034301086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0.34417941627012777</v>
      </c>
      <c r="D52" s="721">
        <f t="shared" ref="D52:Q52" ca="1" si="6">SUM(D48:D51)</f>
        <v>0</v>
      </c>
      <c r="E52" s="721">
        <f t="shared" si="6"/>
        <v>0.60152355903745647</v>
      </c>
      <c r="F52" s="721">
        <f t="shared" si="6"/>
        <v>23.6693294130528</v>
      </c>
      <c r="G52" s="721">
        <f t="shared" si="6"/>
        <v>0</v>
      </c>
      <c r="H52" s="721">
        <f t="shared" si="6"/>
        <v>7965.248422508258</v>
      </c>
      <c r="I52" s="721">
        <f t="shared" si="6"/>
        <v>1343.5096955670788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9333.373150463698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130.35839900206054</v>
      </c>
      <c r="D54" s="692">
        <f ca="1">+landbouw!C12</f>
        <v>0</v>
      </c>
      <c r="E54" s="692">
        <f>+landbouw!D12</f>
        <v>53.72066323796718</v>
      </c>
      <c r="F54" s="692">
        <f>+landbouw!E12</f>
        <v>1.8096593541140396</v>
      </c>
      <c r="G54" s="692">
        <f>+landbouw!F12</f>
        <v>582.79782073928209</v>
      </c>
      <c r="H54" s="692">
        <f>+landbouw!G12</f>
        <v>0</v>
      </c>
      <c r="I54" s="692">
        <f>+landbouw!H12</f>
        <v>0</v>
      </c>
      <c r="J54" s="692">
        <f>+landbouw!I12</f>
        <v>0</v>
      </c>
      <c r="K54" s="692">
        <f>+landbouw!J12</f>
        <v>33.680171976443546</v>
      </c>
      <c r="L54" s="692">
        <f>+landbouw!K12</f>
        <v>0</v>
      </c>
      <c r="M54" s="692">
        <f>+landbouw!L12</f>
        <v>0</v>
      </c>
      <c r="N54" s="692">
        <f>+landbouw!M12</f>
        <v>0</v>
      </c>
      <c r="O54" s="692">
        <f>+landbouw!N12</f>
        <v>0</v>
      </c>
      <c r="P54" s="692">
        <f>+landbouw!O12</f>
        <v>0</v>
      </c>
      <c r="Q54" s="693">
        <f>+landbouw!P12</f>
        <v>0</v>
      </c>
      <c r="R54" s="720">
        <f ca="1">SUM(C54:Q54)</f>
        <v>802.36671430986735</v>
      </c>
    </row>
    <row r="55" spans="1:18" ht="15" thickBot="1">
      <c r="A55" s="817" t="s">
        <v>856</v>
      </c>
      <c r="B55" s="827"/>
      <c r="C55" s="692">
        <f ca="1">C25*'EF ele_warmte'!B12</f>
        <v>109.3429143110898</v>
      </c>
      <c r="D55" s="692"/>
      <c r="E55" s="692">
        <f>E25*EF_CO2_aardgas</f>
        <v>165.59003351088217</v>
      </c>
      <c r="F55" s="692"/>
      <c r="G55" s="692"/>
      <c r="H55" s="692"/>
      <c r="I55" s="692"/>
      <c r="J55" s="692"/>
      <c r="K55" s="692"/>
      <c r="L55" s="692"/>
      <c r="M55" s="692"/>
      <c r="N55" s="692"/>
      <c r="O55" s="692"/>
      <c r="P55" s="692"/>
      <c r="Q55" s="693"/>
      <c r="R55" s="720">
        <f ca="1">SUM(C55:Q55)</f>
        <v>274.93294782197199</v>
      </c>
    </row>
    <row r="56" spans="1:18" ht="15.75" thickBot="1">
      <c r="A56" s="815" t="s">
        <v>857</v>
      </c>
      <c r="B56" s="828"/>
      <c r="C56" s="721">
        <f ca="1">SUM(C54:C55)</f>
        <v>239.70131331315034</v>
      </c>
      <c r="D56" s="721">
        <f t="shared" ref="D56:Q56" ca="1" si="7">SUM(D54:D55)</f>
        <v>0</v>
      </c>
      <c r="E56" s="721">
        <f t="shared" si="7"/>
        <v>219.31069674884935</v>
      </c>
      <c r="F56" s="721">
        <f t="shared" si="7"/>
        <v>1.8096593541140396</v>
      </c>
      <c r="G56" s="721">
        <f t="shared" si="7"/>
        <v>582.79782073928209</v>
      </c>
      <c r="H56" s="721">
        <f t="shared" si="7"/>
        <v>0</v>
      </c>
      <c r="I56" s="721">
        <f t="shared" si="7"/>
        <v>0</v>
      </c>
      <c r="J56" s="721">
        <f t="shared" si="7"/>
        <v>0</v>
      </c>
      <c r="K56" s="721">
        <f t="shared" si="7"/>
        <v>33.680171976443546</v>
      </c>
      <c r="L56" s="721">
        <f t="shared" si="7"/>
        <v>0</v>
      </c>
      <c r="M56" s="721">
        <f t="shared" si="7"/>
        <v>0</v>
      </c>
      <c r="N56" s="721">
        <f t="shared" si="7"/>
        <v>0</v>
      </c>
      <c r="O56" s="721">
        <f t="shared" si="7"/>
        <v>0</v>
      </c>
      <c r="P56" s="721">
        <f t="shared" si="7"/>
        <v>0</v>
      </c>
      <c r="Q56" s="722">
        <f t="shared" si="7"/>
        <v>0</v>
      </c>
      <c r="R56" s="723">
        <f ca="1">SUM(R54:R55)</f>
        <v>1077.2996621318393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8360.2776868961973</v>
      </c>
      <c r="D61" s="729">
        <f t="shared" ref="D61:Q61" ca="1" si="8">D46+D52+D56</f>
        <v>0</v>
      </c>
      <c r="E61" s="729">
        <f t="shared" ca="1" si="8"/>
        <v>10319.289333382922</v>
      </c>
      <c r="F61" s="729">
        <f t="shared" si="8"/>
        <v>965.48239608220558</v>
      </c>
      <c r="G61" s="729">
        <f t="shared" ca="1" si="8"/>
        <v>7141.2214441530105</v>
      </c>
      <c r="H61" s="729">
        <f t="shared" si="8"/>
        <v>7965.248422508258</v>
      </c>
      <c r="I61" s="729">
        <f t="shared" si="8"/>
        <v>1343.5096955670788</v>
      </c>
      <c r="J61" s="729">
        <f t="shared" si="8"/>
        <v>0</v>
      </c>
      <c r="K61" s="729">
        <f t="shared" si="8"/>
        <v>1335.3560210146145</v>
      </c>
      <c r="L61" s="729">
        <f t="shared" si="8"/>
        <v>0</v>
      </c>
      <c r="M61" s="729">
        <f t="shared" ca="1" si="8"/>
        <v>0</v>
      </c>
      <c r="N61" s="729">
        <f t="shared" si="8"/>
        <v>0</v>
      </c>
      <c r="O61" s="729">
        <f t="shared" ca="1" si="8"/>
        <v>0</v>
      </c>
      <c r="P61" s="729">
        <f t="shared" si="8"/>
        <v>0</v>
      </c>
      <c r="Q61" s="729">
        <f t="shared" si="8"/>
        <v>0</v>
      </c>
      <c r="R61" s="729">
        <f ca="1">R46+R52+R56</f>
        <v>37430.384999604285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0.20605492044461893</v>
      </c>
      <c r="D63" s="772">
        <f t="shared" ca="1" si="9"/>
        <v>0</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2743.7445231485872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2743.7445231485872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25601.247865270052</v>
      </c>
      <c r="C4" s="458">
        <f>huishoudens!C8</f>
        <v>0</v>
      </c>
      <c r="D4" s="458">
        <f>huishoudens!D8</f>
        <v>39939.024459187967</v>
      </c>
      <c r="E4" s="458">
        <f>huishoudens!E8</f>
        <v>3668.4930075485959</v>
      </c>
      <c r="F4" s="458">
        <f>huishoudens!F8</f>
        <v>21541.15148209879</v>
      </c>
      <c r="G4" s="458">
        <f>huishoudens!G8</f>
        <v>0</v>
      </c>
      <c r="H4" s="458">
        <f>huishoudens!H8</f>
        <v>0</v>
      </c>
      <c r="I4" s="458">
        <f>huishoudens!I8</f>
        <v>0</v>
      </c>
      <c r="J4" s="458">
        <f>huishoudens!J8</f>
        <v>3673.172343422546</v>
      </c>
      <c r="K4" s="458">
        <f>huishoudens!K8</f>
        <v>0</v>
      </c>
      <c r="L4" s="458">
        <f>huishoudens!L8</f>
        <v>0</v>
      </c>
      <c r="M4" s="458">
        <f>huishoudens!M8</f>
        <v>0</v>
      </c>
      <c r="N4" s="458">
        <f>huishoudens!N8</f>
        <v>8236.417993838586</v>
      </c>
      <c r="O4" s="458">
        <f>huishoudens!O8</f>
        <v>107.87</v>
      </c>
      <c r="P4" s="459">
        <f>huishoudens!P8</f>
        <v>305.06666666666666</v>
      </c>
      <c r="Q4" s="460">
        <f>SUM(B4:P4)</f>
        <v>103072.44381803319</v>
      </c>
    </row>
    <row r="5" spans="1:17">
      <c r="A5" s="457" t="s">
        <v>155</v>
      </c>
      <c r="B5" s="458">
        <f ca="1">tertiair!B16</f>
        <v>7577.9797893484156</v>
      </c>
      <c r="C5" s="458">
        <f ca="1">tertiair!C16</f>
        <v>0</v>
      </c>
      <c r="D5" s="458">
        <f ca="1">tertiair!D16</f>
        <v>6821.272109857905</v>
      </c>
      <c r="E5" s="458">
        <f>tertiair!E16</f>
        <v>95.149796110206722</v>
      </c>
      <c r="F5" s="458">
        <f ca="1">tertiair!F16</f>
        <v>1608.0524685671262</v>
      </c>
      <c r="G5" s="458">
        <f>tertiair!G16</f>
        <v>0</v>
      </c>
      <c r="H5" s="458">
        <f>tertiair!H16</f>
        <v>0</v>
      </c>
      <c r="I5" s="458">
        <f>tertiair!I16</f>
        <v>0</v>
      </c>
      <c r="J5" s="458">
        <f>tertiair!J16</f>
        <v>0</v>
      </c>
      <c r="K5" s="458">
        <f>tertiair!K16</f>
        <v>0</v>
      </c>
      <c r="L5" s="458">
        <f ca="1">tertiair!L16</f>
        <v>0</v>
      </c>
      <c r="M5" s="458">
        <f>tertiair!M16</f>
        <v>0</v>
      </c>
      <c r="N5" s="458">
        <f ca="1">tertiair!N16</f>
        <v>1245.0970934577272</v>
      </c>
      <c r="O5" s="458">
        <f>tertiair!O16</f>
        <v>1.5633333333333335</v>
      </c>
      <c r="P5" s="459">
        <f>tertiair!P16</f>
        <v>0</v>
      </c>
      <c r="Q5" s="457">
        <f t="shared" ref="Q5:Q14" ca="1" si="0">SUM(B5:P5)</f>
        <v>17349.114590674712</v>
      </c>
    </row>
    <row r="6" spans="1:17">
      <c r="A6" s="457" t="s">
        <v>193</v>
      </c>
      <c r="B6" s="458">
        <f>'openbare verlichting'!B8</f>
        <v>826.47900000000004</v>
      </c>
      <c r="C6" s="458"/>
      <c r="D6" s="458"/>
      <c r="E6" s="458"/>
      <c r="F6" s="458"/>
      <c r="G6" s="458"/>
      <c r="H6" s="458"/>
      <c r="I6" s="458"/>
      <c r="J6" s="458"/>
      <c r="K6" s="458"/>
      <c r="L6" s="458"/>
      <c r="M6" s="458"/>
      <c r="N6" s="458"/>
      <c r="O6" s="458"/>
      <c r="P6" s="459"/>
      <c r="Q6" s="457">
        <f t="shared" si="0"/>
        <v>826.47900000000004</v>
      </c>
    </row>
    <row r="7" spans="1:17">
      <c r="A7" s="457" t="s">
        <v>111</v>
      </c>
      <c r="B7" s="458">
        <f>landbouw!B8</f>
        <v>632.63909796852806</v>
      </c>
      <c r="C7" s="458">
        <f>landbouw!C8</f>
        <v>0</v>
      </c>
      <c r="D7" s="458">
        <f>landbouw!D8</f>
        <v>265.94387741567908</v>
      </c>
      <c r="E7" s="458">
        <f>landbouw!E8</f>
        <v>7.9720676392688965</v>
      </c>
      <c r="F7" s="458">
        <f>landbouw!F8</f>
        <v>2182.7633735553636</v>
      </c>
      <c r="G7" s="458">
        <f>landbouw!G8</f>
        <v>0</v>
      </c>
      <c r="H7" s="458">
        <f>landbouw!H8</f>
        <v>0</v>
      </c>
      <c r="I7" s="458">
        <f>landbouw!I8</f>
        <v>0</v>
      </c>
      <c r="J7" s="458">
        <f>landbouw!J8</f>
        <v>95.141728747015662</v>
      </c>
      <c r="K7" s="458">
        <f>landbouw!K8</f>
        <v>0</v>
      </c>
      <c r="L7" s="458">
        <f>landbouw!L8</f>
        <v>0</v>
      </c>
      <c r="M7" s="458">
        <f>landbouw!M8</f>
        <v>0</v>
      </c>
      <c r="N7" s="458">
        <f>landbouw!N8</f>
        <v>0</v>
      </c>
      <c r="O7" s="458">
        <f>landbouw!O8</f>
        <v>0</v>
      </c>
      <c r="P7" s="459">
        <f>landbouw!P8</f>
        <v>0</v>
      </c>
      <c r="Q7" s="457">
        <f t="shared" si="0"/>
        <v>3184.4601453258556</v>
      </c>
    </row>
    <row r="8" spans="1:17">
      <c r="A8" s="457" t="s">
        <v>655</v>
      </c>
      <c r="B8" s="458">
        <f>industrie!B18</f>
        <v>5402.3898695761109</v>
      </c>
      <c r="C8" s="458">
        <f>industrie!C18</f>
        <v>0</v>
      </c>
      <c r="D8" s="458">
        <f>industrie!D18</f>
        <v>3236.6198323156905</v>
      </c>
      <c r="E8" s="458">
        <f>industrie!E18</f>
        <v>377.34136953520095</v>
      </c>
      <c r="F8" s="458">
        <f>industrie!F18</f>
        <v>1414.1804066888644</v>
      </c>
      <c r="G8" s="458">
        <f>industrie!G18</f>
        <v>0</v>
      </c>
      <c r="H8" s="458">
        <f>industrie!H18</f>
        <v>0</v>
      </c>
      <c r="I8" s="458">
        <f>industrie!I18</f>
        <v>0</v>
      </c>
      <c r="J8" s="458">
        <f>industrie!J18</f>
        <v>3.8780775892368582</v>
      </c>
      <c r="K8" s="458">
        <f>industrie!K18</f>
        <v>0</v>
      </c>
      <c r="L8" s="458">
        <f>industrie!L18</f>
        <v>0</v>
      </c>
      <c r="M8" s="458">
        <f>industrie!M18</f>
        <v>0</v>
      </c>
      <c r="N8" s="458">
        <f>industrie!N18</f>
        <v>226.33409131236743</v>
      </c>
      <c r="O8" s="458">
        <f>industrie!O18</f>
        <v>0</v>
      </c>
      <c r="P8" s="459">
        <f>industrie!P18</f>
        <v>0</v>
      </c>
      <c r="Q8" s="457">
        <f t="shared" si="0"/>
        <v>10660.743647017471</v>
      </c>
    </row>
    <row r="9" spans="1:17" s="463" customFormat="1">
      <c r="A9" s="461" t="s">
        <v>573</v>
      </c>
      <c r="B9" s="462">
        <f>transport!B14</f>
        <v>1.6703285489493194</v>
      </c>
      <c r="C9" s="462">
        <f>transport!C14</f>
        <v>0</v>
      </c>
      <c r="D9" s="462">
        <f>transport!D14</f>
        <v>2.9778394011755269</v>
      </c>
      <c r="E9" s="462">
        <f>transport!E14</f>
        <v>104.27017362578326</v>
      </c>
      <c r="F9" s="462">
        <f>transport!F14</f>
        <v>0</v>
      </c>
      <c r="G9" s="462">
        <f>transport!G14</f>
        <v>29352.019383800256</v>
      </c>
      <c r="H9" s="462">
        <f>transport!H14</f>
        <v>5395.6212673376658</v>
      </c>
      <c r="I9" s="462">
        <f>transport!I14</f>
        <v>0</v>
      </c>
      <c r="J9" s="462">
        <f>transport!J14</f>
        <v>0</v>
      </c>
      <c r="K9" s="462">
        <f>transport!K14</f>
        <v>0</v>
      </c>
      <c r="L9" s="462">
        <f>transport!L14</f>
        <v>0</v>
      </c>
      <c r="M9" s="462">
        <f>transport!M14</f>
        <v>1571.2319335800757</v>
      </c>
      <c r="N9" s="462">
        <f>transport!N14</f>
        <v>0</v>
      </c>
      <c r="O9" s="462">
        <f>transport!O14</f>
        <v>0</v>
      </c>
      <c r="P9" s="462">
        <f>transport!P14</f>
        <v>0</v>
      </c>
      <c r="Q9" s="461">
        <f>SUM(B9:P9)</f>
        <v>36427.790926293907</v>
      </c>
    </row>
    <row r="10" spans="1:17">
      <c r="A10" s="457" t="s">
        <v>563</v>
      </c>
      <c r="B10" s="458">
        <f>transport!B54</f>
        <v>0</v>
      </c>
      <c r="C10" s="458">
        <f>transport!C54</f>
        <v>0</v>
      </c>
      <c r="D10" s="458">
        <f>transport!D54</f>
        <v>0</v>
      </c>
      <c r="E10" s="458">
        <f>transport!E54</f>
        <v>0</v>
      </c>
      <c r="F10" s="458">
        <f>transport!F54</f>
        <v>0</v>
      </c>
      <c r="G10" s="458">
        <f>transport!G54</f>
        <v>480.37171173628911</v>
      </c>
      <c r="H10" s="458">
        <f>transport!H54</f>
        <v>0</v>
      </c>
      <c r="I10" s="458">
        <f>transport!I54</f>
        <v>0</v>
      </c>
      <c r="J10" s="458">
        <f>transport!J54</f>
        <v>0</v>
      </c>
      <c r="K10" s="458">
        <f>transport!K54</f>
        <v>0</v>
      </c>
      <c r="L10" s="458">
        <f>transport!L54</f>
        <v>0</v>
      </c>
      <c r="M10" s="458">
        <f>transport!M54</f>
        <v>21.381742297144779</v>
      </c>
      <c r="N10" s="458">
        <f>transport!N54</f>
        <v>0</v>
      </c>
      <c r="O10" s="458">
        <f>transport!O54</f>
        <v>0</v>
      </c>
      <c r="P10" s="459">
        <f>transport!P54</f>
        <v>0</v>
      </c>
      <c r="Q10" s="457">
        <f t="shared" si="0"/>
        <v>501.75345403343391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530.64937287181999</v>
      </c>
      <c r="C14" s="465"/>
      <c r="D14" s="465">
        <f>'SEAP template'!E25</f>
        <v>819.75264114298102</v>
      </c>
      <c r="E14" s="465"/>
      <c r="F14" s="465"/>
      <c r="G14" s="465"/>
      <c r="H14" s="465"/>
      <c r="I14" s="465"/>
      <c r="J14" s="465"/>
      <c r="K14" s="465"/>
      <c r="L14" s="465"/>
      <c r="M14" s="465"/>
      <c r="N14" s="465"/>
      <c r="O14" s="465"/>
      <c r="P14" s="466"/>
      <c r="Q14" s="457">
        <f t="shared" si="0"/>
        <v>1350.4020140148009</v>
      </c>
    </row>
    <row r="15" spans="1:17" s="470" customFormat="1">
      <c r="A15" s="467" t="s">
        <v>567</v>
      </c>
      <c r="B15" s="468">
        <f ca="1">SUM(B4:B14)</f>
        <v>40573.055323583874</v>
      </c>
      <c r="C15" s="468">
        <f t="shared" ref="C15:Q15" ca="1" si="1">SUM(C4:C14)</f>
        <v>0</v>
      </c>
      <c r="D15" s="468">
        <f t="shared" ca="1" si="1"/>
        <v>51085.5907593214</v>
      </c>
      <c r="E15" s="468">
        <f t="shared" si="1"/>
        <v>4253.2264144590554</v>
      </c>
      <c r="F15" s="468">
        <f t="shared" ca="1" si="1"/>
        <v>26746.147730910146</v>
      </c>
      <c r="G15" s="468">
        <f t="shared" si="1"/>
        <v>29832.391095536546</v>
      </c>
      <c r="H15" s="468">
        <f t="shared" si="1"/>
        <v>5395.6212673376658</v>
      </c>
      <c r="I15" s="468">
        <f t="shared" si="1"/>
        <v>0</v>
      </c>
      <c r="J15" s="468">
        <f t="shared" si="1"/>
        <v>3772.1921497587987</v>
      </c>
      <c r="K15" s="468">
        <f t="shared" si="1"/>
        <v>0</v>
      </c>
      <c r="L15" s="468">
        <f t="shared" ca="1" si="1"/>
        <v>0</v>
      </c>
      <c r="M15" s="468">
        <f t="shared" si="1"/>
        <v>1592.6136758772204</v>
      </c>
      <c r="N15" s="468">
        <f t="shared" ca="1" si="1"/>
        <v>9707.8491786086797</v>
      </c>
      <c r="O15" s="468">
        <f t="shared" si="1"/>
        <v>109.43333333333334</v>
      </c>
      <c r="P15" s="468">
        <f t="shared" si="1"/>
        <v>305.06666666666666</v>
      </c>
      <c r="Q15" s="468">
        <f t="shared" ca="1" si="1"/>
        <v>173373.18759539336</v>
      </c>
    </row>
    <row r="17" spans="1:17">
      <c r="A17" s="471" t="s">
        <v>568</v>
      </c>
      <c r="B17" s="777">
        <f ca="1">huishoudens!B10</f>
        <v>0.20605492044461893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5275.2630921611908</v>
      </c>
      <c r="C22" s="458">
        <f t="shared" ref="C22:C32" ca="1" si="3">C4*$C$17</f>
        <v>0</v>
      </c>
      <c r="D22" s="458">
        <f t="shared" ref="D22:D32" si="4">D4*$D$17</f>
        <v>8067.6829407559699</v>
      </c>
      <c r="E22" s="458">
        <f t="shared" ref="E22:E32" si="5">E4*$E$17</f>
        <v>832.74791271353126</v>
      </c>
      <c r="F22" s="458">
        <f t="shared" ref="F22:F32" si="6">F4*$F$17</f>
        <v>5751.4874457203778</v>
      </c>
      <c r="G22" s="458">
        <f t="shared" ref="G22:G32" si="7">G4*$G$17</f>
        <v>0</v>
      </c>
      <c r="H22" s="458">
        <f t="shared" ref="H22:H32" si="8">H4*$H$17</f>
        <v>0</v>
      </c>
      <c r="I22" s="458">
        <f t="shared" ref="I22:I32" si="9">I4*$I$17</f>
        <v>0</v>
      </c>
      <c r="J22" s="458">
        <f t="shared" ref="J22:J32" si="10">J4*$J$17</f>
        <v>1300.3030095715812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21227.484400922651</v>
      </c>
    </row>
    <row r="23" spans="1:17">
      <c r="A23" s="457" t="s">
        <v>155</v>
      </c>
      <c r="B23" s="458">
        <f t="shared" ca="1" si="2"/>
        <v>1561.480022625118</v>
      </c>
      <c r="C23" s="458">
        <f t="shared" ca="1" si="3"/>
        <v>0</v>
      </c>
      <c r="D23" s="458">
        <f t="shared" ca="1" si="4"/>
        <v>1377.896966191297</v>
      </c>
      <c r="E23" s="458">
        <f t="shared" si="5"/>
        <v>21.599003717016927</v>
      </c>
      <c r="F23" s="458">
        <f t="shared" ca="1" si="6"/>
        <v>429.35000910742269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3390.3260016408549</v>
      </c>
    </row>
    <row r="24" spans="1:17">
      <c r="A24" s="457" t="s">
        <v>193</v>
      </c>
      <c r="B24" s="458">
        <f t="shared" ca="1" si="2"/>
        <v>170.30006459414821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170.30006459414821</v>
      </c>
    </row>
    <row r="25" spans="1:17">
      <c r="A25" s="457" t="s">
        <v>111</v>
      </c>
      <c r="B25" s="458">
        <f t="shared" ca="1" si="2"/>
        <v>130.35839900206054</v>
      </c>
      <c r="C25" s="458">
        <f t="shared" ca="1" si="3"/>
        <v>0</v>
      </c>
      <c r="D25" s="458">
        <f t="shared" si="4"/>
        <v>53.72066323796718</v>
      </c>
      <c r="E25" s="458">
        <f t="shared" si="5"/>
        <v>1.8096593541140396</v>
      </c>
      <c r="F25" s="458">
        <f t="shared" si="6"/>
        <v>582.79782073928209</v>
      </c>
      <c r="G25" s="458">
        <f t="shared" si="7"/>
        <v>0</v>
      </c>
      <c r="H25" s="458">
        <f t="shared" si="8"/>
        <v>0</v>
      </c>
      <c r="I25" s="458">
        <f t="shared" si="9"/>
        <v>0</v>
      </c>
      <c r="J25" s="458">
        <f t="shared" si="10"/>
        <v>33.680171976443546</v>
      </c>
      <c r="K25" s="458">
        <f t="shared" si="11"/>
        <v>0</v>
      </c>
      <c r="L25" s="458">
        <f t="shared" si="12"/>
        <v>0</v>
      </c>
      <c r="M25" s="458">
        <f t="shared" si="13"/>
        <v>0</v>
      </c>
      <c r="N25" s="458">
        <f t="shared" si="14"/>
        <v>0</v>
      </c>
      <c r="O25" s="458">
        <f t="shared" si="15"/>
        <v>0</v>
      </c>
      <c r="P25" s="459">
        <f t="shared" si="16"/>
        <v>0</v>
      </c>
      <c r="Q25" s="457">
        <f t="shared" ca="1" si="17"/>
        <v>802.36671430986735</v>
      </c>
    </row>
    <row r="26" spans="1:17">
      <c r="A26" s="457" t="s">
        <v>655</v>
      </c>
      <c r="B26" s="458">
        <f t="shared" ca="1" si="2"/>
        <v>1113.1890147863207</v>
      </c>
      <c r="C26" s="458">
        <f t="shared" ca="1" si="3"/>
        <v>0</v>
      </c>
      <c r="D26" s="458">
        <f t="shared" si="4"/>
        <v>653.79720612776953</v>
      </c>
      <c r="E26" s="458">
        <f t="shared" si="5"/>
        <v>85.656490884490623</v>
      </c>
      <c r="F26" s="458">
        <f t="shared" si="6"/>
        <v>377.58616858592683</v>
      </c>
      <c r="G26" s="458">
        <f t="shared" si="7"/>
        <v>0</v>
      </c>
      <c r="H26" s="458">
        <f t="shared" si="8"/>
        <v>0</v>
      </c>
      <c r="I26" s="458">
        <f t="shared" si="9"/>
        <v>0</v>
      </c>
      <c r="J26" s="458">
        <f t="shared" si="10"/>
        <v>1.3728394665898478</v>
      </c>
      <c r="K26" s="458">
        <f t="shared" si="11"/>
        <v>0</v>
      </c>
      <c r="L26" s="458">
        <f t="shared" si="12"/>
        <v>0</v>
      </c>
      <c r="M26" s="458">
        <f t="shared" si="13"/>
        <v>0</v>
      </c>
      <c r="N26" s="458">
        <f t="shared" si="14"/>
        <v>0</v>
      </c>
      <c r="O26" s="458">
        <f t="shared" si="15"/>
        <v>0</v>
      </c>
      <c r="P26" s="459">
        <f t="shared" si="16"/>
        <v>0</v>
      </c>
      <c r="Q26" s="457">
        <f t="shared" ca="1" si="17"/>
        <v>2231.6017198510976</v>
      </c>
    </row>
    <row r="27" spans="1:17" s="463" customFormat="1">
      <c r="A27" s="461" t="s">
        <v>573</v>
      </c>
      <c r="B27" s="771">
        <f t="shared" ca="1" si="2"/>
        <v>0.34417941627012777</v>
      </c>
      <c r="C27" s="462">
        <f t="shared" ca="1" si="3"/>
        <v>0</v>
      </c>
      <c r="D27" s="462">
        <f t="shared" si="4"/>
        <v>0.60152355903745647</v>
      </c>
      <c r="E27" s="462">
        <f t="shared" si="5"/>
        <v>23.6693294130528</v>
      </c>
      <c r="F27" s="462">
        <f t="shared" si="6"/>
        <v>0</v>
      </c>
      <c r="G27" s="462">
        <f t="shared" si="7"/>
        <v>7836.9891754746686</v>
      </c>
      <c r="H27" s="462">
        <f t="shared" si="8"/>
        <v>1343.5096955670788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9205.1139034301086</v>
      </c>
    </row>
    <row r="28" spans="1:17">
      <c r="A28" s="457" t="s">
        <v>563</v>
      </c>
      <c r="B28" s="458">
        <f t="shared" ca="1" si="2"/>
        <v>0</v>
      </c>
      <c r="C28" s="458">
        <f t="shared" ca="1" si="3"/>
        <v>0</v>
      </c>
      <c r="D28" s="458">
        <f t="shared" si="4"/>
        <v>0</v>
      </c>
      <c r="E28" s="458">
        <f t="shared" si="5"/>
        <v>0</v>
      </c>
      <c r="F28" s="458">
        <f t="shared" si="6"/>
        <v>0</v>
      </c>
      <c r="G28" s="458">
        <f t="shared" si="7"/>
        <v>128.25924703358919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128.25924703358919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109.3429143110898</v>
      </c>
      <c r="C32" s="458">
        <f t="shared" ca="1" si="3"/>
        <v>0</v>
      </c>
      <c r="D32" s="458">
        <f t="shared" si="4"/>
        <v>165.59003351088217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274.93294782197199</v>
      </c>
    </row>
    <row r="33" spans="1:17" s="470" customFormat="1">
      <c r="A33" s="467" t="s">
        <v>567</v>
      </c>
      <c r="B33" s="468">
        <f ca="1">SUM(B22:B32)</f>
        <v>8360.2776868961992</v>
      </c>
      <c r="C33" s="468">
        <f t="shared" ref="C33:Q33" ca="1" si="18">SUM(C22:C32)</f>
        <v>0</v>
      </c>
      <c r="D33" s="468">
        <f t="shared" ca="1" si="18"/>
        <v>10319.289333382922</v>
      </c>
      <c r="E33" s="468">
        <f t="shared" si="18"/>
        <v>965.48239608220558</v>
      </c>
      <c r="F33" s="468">
        <f t="shared" ca="1" si="18"/>
        <v>7141.2214441530105</v>
      </c>
      <c r="G33" s="468">
        <f t="shared" si="18"/>
        <v>7965.248422508258</v>
      </c>
      <c r="H33" s="468">
        <f t="shared" si="18"/>
        <v>1343.5096955670788</v>
      </c>
      <c r="I33" s="468">
        <f t="shared" si="18"/>
        <v>0</v>
      </c>
      <c r="J33" s="468">
        <f t="shared" si="18"/>
        <v>1335.3560210146145</v>
      </c>
      <c r="K33" s="468">
        <f t="shared" si="18"/>
        <v>0</v>
      </c>
      <c r="L33" s="468">
        <f t="shared" ca="1" si="18"/>
        <v>0</v>
      </c>
      <c r="M33" s="468">
        <f t="shared" si="18"/>
        <v>0</v>
      </c>
      <c r="N33" s="468">
        <f t="shared" ca="1" si="18"/>
        <v>0</v>
      </c>
      <c r="O33" s="468">
        <f t="shared" si="18"/>
        <v>0</v>
      </c>
      <c r="P33" s="468">
        <f t="shared" si="18"/>
        <v>0</v>
      </c>
      <c r="Q33" s="468">
        <f t="shared" ca="1" si="18"/>
        <v>37430.384999604285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2743.7445231485872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2743.7445231485872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0.20605492044461893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0.20605492044461893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0.20605492044461893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0.20605492044461893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4905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1086</v>
      </c>
      <c r="C14" s="332"/>
      <c r="D14" s="332"/>
      <c r="E14" s="332"/>
      <c r="F14" s="332"/>
    </row>
    <row r="15" spans="1:6">
      <c r="A15" s="1306" t="s">
        <v>183</v>
      </c>
      <c r="B15" s="1307">
        <v>4</v>
      </c>
      <c r="C15" s="332"/>
      <c r="D15" s="332"/>
      <c r="E15" s="332"/>
      <c r="F15" s="332"/>
    </row>
    <row r="16" spans="1:6">
      <c r="A16" s="1306" t="s">
        <v>6</v>
      </c>
      <c r="B16" s="1307">
        <v>329</v>
      </c>
      <c r="C16" s="332"/>
      <c r="D16" s="332"/>
      <c r="E16" s="332"/>
      <c r="F16" s="332"/>
    </row>
    <row r="17" spans="1:6">
      <c r="A17" s="1306" t="s">
        <v>7</v>
      </c>
      <c r="B17" s="1307">
        <v>179</v>
      </c>
      <c r="C17" s="332"/>
      <c r="D17" s="332"/>
      <c r="E17" s="332"/>
      <c r="F17" s="332"/>
    </row>
    <row r="18" spans="1:6">
      <c r="A18" s="1306" t="s">
        <v>8</v>
      </c>
      <c r="B18" s="1307">
        <v>312</v>
      </c>
      <c r="C18" s="332"/>
      <c r="D18" s="332"/>
      <c r="E18" s="332"/>
      <c r="F18" s="332"/>
    </row>
    <row r="19" spans="1:6">
      <c r="A19" s="1306" t="s">
        <v>9</v>
      </c>
      <c r="B19" s="1307">
        <v>340</v>
      </c>
      <c r="C19" s="332"/>
      <c r="D19" s="332"/>
      <c r="E19" s="332"/>
      <c r="F19" s="332"/>
    </row>
    <row r="20" spans="1:6">
      <c r="A20" s="1306" t="s">
        <v>10</v>
      </c>
      <c r="B20" s="1307">
        <v>312</v>
      </c>
      <c r="C20" s="332"/>
      <c r="D20" s="332"/>
      <c r="E20" s="332"/>
      <c r="F20" s="332"/>
    </row>
    <row r="21" spans="1:6">
      <c r="A21" s="1306" t="s">
        <v>11</v>
      </c>
      <c r="B21" s="1307">
        <v>891</v>
      </c>
      <c r="C21" s="332"/>
      <c r="D21" s="332"/>
      <c r="E21" s="332"/>
      <c r="F21" s="332"/>
    </row>
    <row r="22" spans="1:6">
      <c r="A22" s="1306" t="s">
        <v>12</v>
      </c>
      <c r="B22" s="1307">
        <v>1792</v>
      </c>
      <c r="C22" s="332"/>
      <c r="D22" s="332"/>
      <c r="E22" s="332"/>
      <c r="F22" s="332"/>
    </row>
    <row r="23" spans="1:6">
      <c r="A23" s="1306" t="s">
        <v>13</v>
      </c>
      <c r="B23" s="1307">
        <v>60</v>
      </c>
      <c r="C23" s="332"/>
      <c r="D23" s="332"/>
      <c r="E23" s="332"/>
      <c r="F23" s="332"/>
    </row>
    <row r="24" spans="1:6">
      <c r="A24" s="1306" t="s">
        <v>14</v>
      </c>
      <c r="B24" s="1307">
        <v>5</v>
      </c>
      <c r="C24" s="332"/>
      <c r="D24" s="332"/>
      <c r="E24" s="332"/>
      <c r="F24" s="332"/>
    </row>
    <row r="25" spans="1:6">
      <c r="A25" s="1306" t="s">
        <v>15</v>
      </c>
      <c r="B25" s="1307">
        <v>309</v>
      </c>
      <c r="C25" s="332"/>
      <c r="D25" s="332"/>
      <c r="E25" s="332"/>
      <c r="F25" s="332"/>
    </row>
    <row r="26" spans="1:6">
      <c r="A26" s="1306" t="s">
        <v>16</v>
      </c>
      <c r="B26" s="1307">
        <v>164</v>
      </c>
      <c r="C26" s="332"/>
      <c r="D26" s="332"/>
      <c r="E26" s="332"/>
      <c r="F26" s="332"/>
    </row>
    <row r="27" spans="1:6">
      <c r="A27" s="1306" t="s">
        <v>17</v>
      </c>
      <c r="B27" s="1307">
        <v>0</v>
      </c>
      <c r="C27" s="332"/>
      <c r="D27" s="332"/>
      <c r="E27" s="332"/>
      <c r="F27" s="332"/>
    </row>
    <row r="28" spans="1:6" s="43" customFormat="1">
      <c r="A28" s="1308" t="s">
        <v>18</v>
      </c>
      <c r="B28" s="1309">
        <v>7477</v>
      </c>
      <c r="C28" s="338"/>
      <c r="D28" s="338"/>
      <c r="E28" s="338"/>
      <c r="F28" s="338"/>
    </row>
    <row r="29" spans="1:6">
      <c r="A29" s="1308" t="s">
        <v>916</v>
      </c>
      <c r="B29" s="1309">
        <v>32</v>
      </c>
      <c r="C29" s="338"/>
      <c r="D29" s="338"/>
      <c r="E29" s="338"/>
      <c r="F29" s="338"/>
    </row>
    <row r="30" spans="1:6">
      <c r="A30" s="1301" t="s">
        <v>917</v>
      </c>
      <c r="B30" s="1310">
        <v>26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2413</v>
      </c>
      <c r="D39" s="1307">
        <v>44278297.626594201</v>
      </c>
      <c r="E39" s="1307">
        <v>4773</v>
      </c>
      <c r="F39" s="1307">
        <v>23565114.510926701</v>
      </c>
    </row>
    <row r="40" spans="1:6">
      <c r="A40" s="1306" t="s">
        <v>29</v>
      </c>
      <c r="B40" s="1306" t="s">
        <v>28</v>
      </c>
      <c r="C40" s="1307">
        <v>0</v>
      </c>
      <c r="D40" s="1307">
        <v>0</v>
      </c>
      <c r="E40" s="1307">
        <v>0</v>
      </c>
      <c r="F40" s="1307">
        <v>0</v>
      </c>
    </row>
    <row r="41" spans="1:6">
      <c r="A41" s="1306" t="s">
        <v>31</v>
      </c>
      <c r="B41" s="1306" t="s">
        <v>32</v>
      </c>
      <c r="C41" s="1307">
        <v>44</v>
      </c>
      <c r="D41" s="1307">
        <v>1056973.6941615201</v>
      </c>
      <c r="E41" s="1307">
        <v>116</v>
      </c>
      <c r="F41" s="1307">
        <v>1016957.45556195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115919.323393714</v>
      </c>
      <c r="E44" s="1307">
        <v>10</v>
      </c>
      <c r="F44" s="1307">
        <v>94896.988532623698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23564.669609892699</v>
      </c>
    </row>
    <row r="48" spans="1:6">
      <c r="A48" s="1306" t="s">
        <v>31</v>
      </c>
      <c r="B48" s="1306" t="s">
        <v>28</v>
      </c>
      <c r="C48" s="1307">
        <v>20</v>
      </c>
      <c r="D48" s="1307">
        <v>663581.20225587103</v>
      </c>
      <c r="E48" s="1307">
        <v>28</v>
      </c>
      <c r="F48" s="1307">
        <v>1512163.2191522799</v>
      </c>
    </row>
    <row r="49" spans="1:6">
      <c r="A49" s="1306" t="s">
        <v>31</v>
      </c>
      <c r="B49" s="1306" t="s">
        <v>39</v>
      </c>
      <c r="C49" s="1307">
        <v>4</v>
      </c>
      <c r="D49" s="1307">
        <v>1664279.42642424</v>
      </c>
      <c r="E49" s="1307">
        <v>11</v>
      </c>
      <c r="F49" s="1307">
        <v>2580327.1059740102</v>
      </c>
    </row>
    <row r="50" spans="1:6">
      <c r="A50" s="1306" t="s">
        <v>31</v>
      </c>
      <c r="B50" s="1306" t="s">
        <v>40</v>
      </c>
      <c r="C50" s="1307">
        <v>4</v>
      </c>
      <c r="D50" s="1307">
        <v>87516.677839699507</v>
      </c>
      <c r="E50" s="1307">
        <v>7</v>
      </c>
      <c r="F50" s="1307">
        <v>174480.43074535401</v>
      </c>
    </row>
    <row r="51" spans="1:6">
      <c r="A51" s="1306" t="s">
        <v>41</v>
      </c>
      <c r="B51" s="1306" t="s">
        <v>42</v>
      </c>
      <c r="C51" s="1307">
        <v>4</v>
      </c>
      <c r="D51" s="1307">
        <v>128259.750422514</v>
      </c>
      <c r="E51" s="1307">
        <v>51</v>
      </c>
      <c r="F51" s="1307">
        <v>455338.64822706301</v>
      </c>
    </row>
    <row r="52" spans="1:6">
      <c r="A52" s="1306" t="s">
        <v>41</v>
      </c>
      <c r="B52" s="1306" t="s">
        <v>28</v>
      </c>
      <c r="C52" s="1307">
        <v>3</v>
      </c>
      <c r="D52" s="1307">
        <v>166578.251146975</v>
      </c>
      <c r="E52" s="1307">
        <v>11</v>
      </c>
      <c r="F52" s="1307">
        <v>177300.44974146501</v>
      </c>
    </row>
    <row r="53" spans="1:6">
      <c r="A53" s="1306" t="s">
        <v>43</v>
      </c>
      <c r="B53" s="1306" t="s">
        <v>44</v>
      </c>
      <c r="C53" s="1307">
        <v>39</v>
      </c>
      <c r="D53" s="1307">
        <v>819752.64114298101</v>
      </c>
      <c r="E53" s="1307">
        <v>116</v>
      </c>
      <c r="F53" s="1307">
        <v>530649.37287182</v>
      </c>
    </row>
    <row r="54" spans="1:6">
      <c r="A54" s="1306" t="s">
        <v>45</v>
      </c>
      <c r="B54" s="1306" t="s">
        <v>46</v>
      </c>
      <c r="C54" s="1307">
        <v>0</v>
      </c>
      <c r="D54" s="1307">
        <v>0</v>
      </c>
      <c r="E54" s="1307">
        <v>3</v>
      </c>
      <c r="F54" s="1307">
        <v>826479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v>
      </c>
      <c r="D57" s="1307">
        <v>166077.96775832001</v>
      </c>
      <c r="E57" s="1307">
        <v>35</v>
      </c>
      <c r="F57" s="1307">
        <v>1663930.33051833</v>
      </c>
    </row>
    <row r="58" spans="1:6">
      <c r="A58" s="1306" t="s">
        <v>48</v>
      </c>
      <c r="B58" s="1306" t="s">
        <v>50</v>
      </c>
      <c r="C58" s="1307">
        <v>3</v>
      </c>
      <c r="D58" s="1307">
        <v>105999.27292569701</v>
      </c>
      <c r="E58" s="1307">
        <v>9</v>
      </c>
      <c r="F58" s="1307">
        <v>66555.911795064603</v>
      </c>
    </row>
    <row r="59" spans="1:6">
      <c r="A59" s="1306" t="s">
        <v>48</v>
      </c>
      <c r="B59" s="1306" t="s">
        <v>51</v>
      </c>
      <c r="C59" s="1307">
        <v>13</v>
      </c>
      <c r="D59" s="1307">
        <v>396603.47566740803</v>
      </c>
      <c r="E59" s="1307">
        <v>93</v>
      </c>
      <c r="F59" s="1307">
        <v>1525038.2456318899</v>
      </c>
    </row>
    <row r="60" spans="1:6">
      <c r="A60" s="1306" t="s">
        <v>48</v>
      </c>
      <c r="B60" s="1306" t="s">
        <v>52</v>
      </c>
      <c r="C60" s="1307">
        <v>29</v>
      </c>
      <c r="D60" s="1307">
        <v>1265965.20030045</v>
      </c>
      <c r="E60" s="1307">
        <v>46</v>
      </c>
      <c r="F60" s="1307">
        <v>775918.74137861398</v>
      </c>
    </row>
    <row r="61" spans="1:6">
      <c r="A61" s="1306" t="s">
        <v>48</v>
      </c>
      <c r="B61" s="1306" t="s">
        <v>53</v>
      </c>
      <c r="C61" s="1307">
        <v>50</v>
      </c>
      <c r="D61" s="1307">
        <v>2668396.09374467</v>
      </c>
      <c r="E61" s="1307">
        <v>173</v>
      </c>
      <c r="F61" s="1307">
        <v>2416065.9929424101</v>
      </c>
    </row>
    <row r="62" spans="1:6">
      <c r="A62" s="1306" t="s">
        <v>48</v>
      </c>
      <c r="B62" s="1306" t="s">
        <v>54</v>
      </c>
      <c r="C62" s="1307">
        <v>5</v>
      </c>
      <c r="D62" s="1307">
        <v>339459.09763003798</v>
      </c>
      <c r="E62" s="1307">
        <v>6</v>
      </c>
      <c r="F62" s="1307">
        <v>121508.663304708</v>
      </c>
    </row>
    <row r="63" spans="1:6">
      <c r="A63" s="1306" t="s">
        <v>48</v>
      </c>
      <c r="B63" s="1306" t="s">
        <v>28</v>
      </c>
      <c r="C63" s="1307">
        <v>69</v>
      </c>
      <c r="D63" s="1307">
        <v>2619884.8230797402</v>
      </c>
      <c r="E63" s="1307">
        <v>83</v>
      </c>
      <c r="F63" s="1307">
        <v>1008961.9037774</v>
      </c>
    </row>
    <row r="64" spans="1:6">
      <c r="A64" s="1306" t="s">
        <v>55</v>
      </c>
      <c r="B64" s="1306" t="s">
        <v>56</v>
      </c>
      <c r="C64" s="1307">
        <v>0</v>
      </c>
      <c r="D64" s="1307">
        <v>0</v>
      </c>
      <c r="E64" s="1307">
        <v>0</v>
      </c>
      <c r="F64" s="1307">
        <v>0</v>
      </c>
    </row>
    <row r="65" spans="1:6">
      <c r="A65" s="1306" t="s">
        <v>55</v>
      </c>
      <c r="B65" s="1306" t="s">
        <v>28</v>
      </c>
      <c r="C65" s="1307">
        <v>0</v>
      </c>
      <c r="D65" s="1307">
        <v>0</v>
      </c>
      <c r="E65" s="1307">
        <v>4</v>
      </c>
      <c r="F65" s="1307">
        <v>42764.618925754301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27424326</v>
      </c>
      <c r="E73" s="456"/>
      <c r="F73" s="332"/>
    </row>
    <row r="74" spans="1:6">
      <c r="A74" s="1306" t="s">
        <v>63</v>
      </c>
      <c r="B74" s="1306" t="s">
        <v>724</v>
      </c>
      <c r="C74" s="1320" t="s">
        <v>725</v>
      </c>
      <c r="D74" s="1321">
        <v>2817739.3144896599</v>
      </c>
      <c r="E74" s="456"/>
      <c r="F74" s="332"/>
    </row>
    <row r="75" spans="1:6">
      <c r="A75" s="1306" t="s">
        <v>64</v>
      </c>
      <c r="B75" s="1306" t="s">
        <v>722</v>
      </c>
      <c r="C75" s="1320" t="s">
        <v>726</v>
      </c>
      <c r="D75" s="1321">
        <v>11267693</v>
      </c>
      <c r="E75" s="456"/>
      <c r="F75" s="332"/>
    </row>
    <row r="76" spans="1:6">
      <c r="A76" s="1306" t="s">
        <v>64</v>
      </c>
      <c r="B76" s="1306" t="s">
        <v>724</v>
      </c>
      <c r="C76" s="1320" t="s">
        <v>727</v>
      </c>
      <c r="D76" s="1321">
        <v>404481.31448965974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132767.37102068056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2036.1333543433504</v>
      </c>
      <c r="C91" s="332"/>
      <c r="D91" s="332"/>
      <c r="E91" s="332"/>
      <c r="F91" s="332"/>
    </row>
    <row r="92" spans="1:6">
      <c r="A92" s="1301" t="s">
        <v>68</v>
      </c>
      <c r="B92" s="1302">
        <v>707.61116880523673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940</v>
      </c>
      <c r="C97" s="332"/>
      <c r="D97" s="332"/>
      <c r="E97" s="332"/>
      <c r="F97" s="332"/>
    </row>
    <row r="98" spans="1:6">
      <c r="A98" s="1306" t="s">
        <v>71</v>
      </c>
      <c r="B98" s="1307">
        <v>0</v>
      </c>
      <c r="C98" s="332"/>
      <c r="D98" s="332"/>
      <c r="E98" s="332"/>
      <c r="F98" s="332"/>
    </row>
    <row r="99" spans="1:6">
      <c r="A99" s="1306" t="s">
        <v>72</v>
      </c>
      <c r="B99" s="1307">
        <v>93</v>
      </c>
      <c r="C99" s="332"/>
      <c r="D99" s="332"/>
      <c r="E99" s="332"/>
      <c r="F99" s="332"/>
    </row>
    <row r="100" spans="1:6">
      <c r="A100" s="1306" t="s">
        <v>73</v>
      </c>
      <c r="B100" s="1307">
        <v>693</v>
      </c>
      <c r="C100" s="332"/>
      <c r="D100" s="332"/>
      <c r="E100" s="332"/>
      <c r="F100" s="332"/>
    </row>
    <row r="101" spans="1:6">
      <c r="A101" s="1306" t="s">
        <v>74</v>
      </c>
      <c r="B101" s="1307">
        <v>61</v>
      </c>
      <c r="C101" s="332"/>
      <c r="D101" s="332"/>
      <c r="E101" s="332"/>
      <c r="F101" s="332"/>
    </row>
    <row r="102" spans="1:6">
      <c r="A102" s="1306" t="s">
        <v>75</v>
      </c>
      <c r="B102" s="1307">
        <v>73</v>
      </c>
      <c r="C102" s="332"/>
      <c r="D102" s="332"/>
      <c r="E102" s="332"/>
      <c r="F102" s="332"/>
    </row>
    <row r="103" spans="1:6">
      <c r="A103" s="1306" t="s">
        <v>76</v>
      </c>
      <c r="B103" s="1307">
        <v>251</v>
      </c>
      <c r="C103" s="332"/>
      <c r="D103" s="332"/>
      <c r="E103" s="332"/>
      <c r="F103" s="332"/>
    </row>
    <row r="104" spans="1:6">
      <c r="A104" s="1306" t="s">
        <v>77</v>
      </c>
      <c r="B104" s="1307">
        <v>2241</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60</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40573.055323583874</v>
      </c>
      <c r="C3" s="43" t="s">
        <v>169</v>
      </c>
      <c r="D3" s="43"/>
      <c r="E3" s="156"/>
      <c r="F3" s="43"/>
      <c r="G3" s="43"/>
      <c r="H3" s="43"/>
      <c r="I3" s="43"/>
      <c r="J3" s="43"/>
      <c r="K3" s="96"/>
    </row>
    <row r="4" spans="1:11">
      <c r="A4" s="363" t="s">
        <v>170</v>
      </c>
      <c r="B4" s="49">
        <f>IF(ISERROR('SEAP template'!B78+'SEAP template'!C78),0,'SEAP template'!B78+'SEAP template'!C78)</f>
        <v>2743.7445231485872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0.20605492044461893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826.47900000000004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826.47900000000004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0.20605492044461893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170.30006459414821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23565.114510926702</v>
      </c>
      <c r="C5" s="17">
        <f>IF(ISERROR('Eigen informatie GS &amp; warmtenet'!B57),0,'Eigen informatie GS &amp; warmtenet'!B57)</f>
        <v>0</v>
      </c>
      <c r="D5" s="30">
        <f>(SUM(HH_hh_gas_kWh,HH_rest_gas_kWh)/1000)*0.902</f>
        <v>39939.024459187967</v>
      </c>
      <c r="E5" s="17">
        <f>B46*B57</f>
        <v>3668.4930075485959</v>
      </c>
      <c r="F5" s="17">
        <f>B51*B62</f>
        <v>21541.15148209879</v>
      </c>
      <c r="G5" s="18"/>
      <c r="H5" s="17"/>
      <c r="I5" s="17"/>
      <c r="J5" s="17">
        <f>B50*B61+C50*C61</f>
        <v>3673.172343422546</v>
      </c>
      <c r="K5" s="17"/>
      <c r="L5" s="17"/>
      <c r="M5" s="17"/>
      <c r="N5" s="17">
        <f>B48*B59+C48*C59</f>
        <v>8236.417993838586</v>
      </c>
      <c r="O5" s="17">
        <f>B69*B70*B71</f>
        <v>107.87</v>
      </c>
      <c r="P5" s="17">
        <f>B77*B78*B79/1000-B77*B78*B79/1000/B80</f>
        <v>305.06666666666666</v>
      </c>
    </row>
    <row r="6" spans="1:16">
      <c r="A6" s="16" t="s">
        <v>633</v>
      </c>
      <c r="B6" s="779">
        <f>kWh_PV_kleiner_dan_10kW</f>
        <v>2036.1333543433504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25601.247865270052</v>
      </c>
      <c r="C8" s="21">
        <f>C5</f>
        <v>0</v>
      </c>
      <c r="D8" s="21">
        <f>D5</f>
        <v>39939.024459187967</v>
      </c>
      <c r="E8" s="21">
        <f>E5</f>
        <v>3668.4930075485959</v>
      </c>
      <c r="F8" s="21">
        <f>F5</f>
        <v>21541.15148209879</v>
      </c>
      <c r="G8" s="21"/>
      <c r="H8" s="21"/>
      <c r="I8" s="21"/>
      <c r="J8" s="21">
        <f>J5</f>
        <v>3673.172343422546</v>
      </c>
      <c r="K8" s="21"/>
      <c r="L8" s="21">
        <f>L5</f>
        <v>0</v>
      </c>
      <c r="M8" s="21">
        <f>M5</f>
        <v>0</v>
      </c>
      <c r="N8" s="21">
        <f>N5</f>
        <v>8236.417993838586</v>
      </c>
      <c r="O8" s="21">
        <f>O5</f>
        <v>107.87</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0.20605492044461893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5275.2630921611908</v>
      </c>
      <c r="C12" s="23">
        <f ca="1">C10*C8</f>
        <v>0</v>
      </c>
      <c r="D12" s="23">
        <f>D8*D10</f>
        <v>8067.6829407559699</v>
      </c>
      <c r="E12" s="23">
        <f>E10*E8</f>
        <v>832.74791271353126</v>
      </c>
      <c r="F12" s="23">
        <f>F10*F8</f>
        <v>5751.4874457203778</v>
      </c>
      <c r="G12" s="23"/>
      <c r="H12" s="23"/>
      <c r="I12" s="23"/>
      <c r="J12" s="23">
        <f>J10*J8</f>
        <v>1300.3030095715812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940</v>
      </c>
      <c r="C18" s="168" t="s">
        <v>110</v>
      </c>
      <c r="D18" s="230"/>
      <c r="E18" s="15"/>
    </row>
    <row r="19" spans="1:7">
      <c r="A19" s="173" t="s">
        <v>71</v>
      </c>
      <c r="B19" s="37">
        <f>aantalw2001_ander</f>
        <v>0</v>
      </c>
      <c r="C19" s="168" t="s">
        <v>110</v>
      </c>
      <c r="D19" s="231"/>
      <c r="E19" s="15"/>
    </row>
    <row r="20" spans="1:7">
      <c r="A20" s="173" t="s">
        <v>72</v>
      </c>
      <c r="B20" s="37">
        <f>aantalw2001_propaan</f>
        <v>93</v>
      </c>
      <c r="C20" s="169">
        <f>IF(ISERROR(B20/SUM($B$20,$B$21,$B$22)*100),0,B20/SUM($B$20,$B$21,$B$22)*100)</f>
        <v>10.979929161747345</v>
      </c>
      <c r="D20" s="231"/>
      <c r="E20" s="15"/>
    </row>
    <row r="21" spans="1:7">
      <c r="A21" s="173" t="s">
        <v>73</v>
      </c>
      <c r="B21" s="37">
        <f>aantalw2001_elektriciteit</f>
        <v>693</v>
      </c>
      <c r="C21" s="169">
        <f>IF(ISERROR(B21/SUM($B$20,$B$21,$B$22)*100),0,B21/SUM($B$20,$B$21,$B$22)*100)</f>
        <v>81.818181818181827</v>
      </c>
      <c r="D21" s="231"/>
      <c r="E21" s="15"/>
    </row>
    <row r="22" spans="1:7">
      <c r="A22" s="173" t="s">
        <v>74</v>
      </c>
      <c r="B22" s="37">
        <f>aantalw2001_hout</f>
        <v>61</v>
      </c>
      <c r="C22" s="169">
        <f>IF(ISERROR(B22/SUM($B$20,$B$21,$B$22)*100),0,B22/SUM($B$20,$B$21,$B$22)*100)</f>
        <v>7.2018890200708379</v>
      </c>
      <c r="D22" s="231"/>
      <c r="E22" s="15"/>
    </row>
    <row r="23" spans="1:7">
      <c r="A23" s="173" t="s">
        <v>75</v>
      </c>
      <c r="B23" s="37">
        <f>aantalw2001_niet_gespec</f>
        <v>73</v>
      </c>
      <c r="C23" s="168" t="s">
        <v>110</v>
      </c>
      <c r="D23" s="230"/>
      <c r="E23" s="15"/>
    </row>
    <row r="24" spans="1:7">
      <c r="A24" s="173" t="s">
        <v>76</v>
      </c>
      <c r="B24" s="37">
        <f>aantalw2001_steenkool</f>
        <v>251</v>
      </c>
      <c r="C24" s="168" t="s">
        <v>110</v>
      </c>
      <c r="D24" s="231"/>
      <c r="E24" s="15"/>
    </row>
    <row r="25" spans="1:7">
      <c r="A25" s="173" t="s">
        <v>77</v>
      </c>
      <c r="B25" s="37">
        <f>aantalw2001_stookolie</f>
        <v>2241</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4905</v>
      </c>
      <c r="C28" s="36"/>
      <c r="D28" s="230"/>
    </row>
    <row r="29" spans="1:7" s="15" customFormat="1">
      <c r="A29" s="232" t="s">
        <v>743</v>
      </c>
      <c r="B29" s="37">
        <f>SUM(HH_hh_gas_aantal,HH_rest_gas_aantal)</f>
        <v>2413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2413</v>
      </c>
      <c r="C32" s="169">
        <f>IF(ISERROR(B32/SUM($B$32,$B$34,$B$35,$B$36,$B$38,$B$39)*100),0,B32/SUM($B$32,$B$34,$B$35,$B$36,$B$38,$B$39)*100)</f>
        <v>49.355696461444062</v>
      </c>
      <c r="D32" s="235"/>
      <c r="G32" s="15"/>
    </row>
    <row r="33" spans="1:7">
      <c r="A33" s="173" t="s">
        <v>71</v>
      </c>
      <c r="B33" s="34" t="s">
        <v>110</v>
      </c>
      <c r="C33" s="169"/>
      <c r="D33" s="235"/>
      <c r="G33" s="15"/>
    </row>
    <row r="34" spans="1:7">
      <c r="A34" s="173" t="s">
        <v>72</v>
      </c>
      <c r="B34" s="33">
        <f>IF((($B$28-$B$32-$B$39-$B$77-$B$38)*C20/100)&lt;0,0,($B$28-$B$32-$B$39-$B$77-$B$38)*C20/100)</f>
        <v>159.97756788665882</v>
      </c>
      <c r="C34" s="169">
        <f>IF(ISERROR(B34/SUM($B$32,$B$34,$B$35,$B$36,$B$38,$B$39)*100),0,B34/SUM($B$32,$B$34,$B$35,$B$36,$B$38,$B$39)*100)</f>
        <v>3.2721940659983391</v>
      </c>
      <c r="D34" s="235"/>
      <c r="G34" s="15"/>
    </row>
    <row r="35" spans="1:7">
      <c r="A35" s="173" t="s">
        <v>73</v>
      </c>
      <c r="B35" s="33">
        <f>IF((($B$28-$B$32-$B$39-$B$77-$B$38)*C21/100)&lt;0,0,($B$28-$B$32-$B$39-$B$77-$B$38)*C21/100)</f>
        <v>1192.0909090909092</v>
      </c>
      <c r="C35" s="169">
        <f>IF(ISERROR(B35/SUM($B$32,$B$34,$B$35,$B$36,$B$38,$B$39)*100),0,B35/SUM($B$32,$B$34,$B$35,$B$36,$B$38,$B$39)*100)</f>
        <v>24.383123524052142</v>
      </c>
      <c r="D35" s="235"/>
      <c r="G35" s="15"/>
    </row>
    <row r="36" spans="1:7">
      <c r="A36" s="173" t="s">
        <v>74</v>
      </c>
      <c r="B36" s="33">
        <f>IF((($B$28-$B$32-$B$39-$B$77-$B$38)*C22/100)&lt;0,0,($B$28-$B$32-$B$39-$B$77-$B$38)*C22/100)</f>
        <v>104.9315230224321</v>
      </c>
      <c r="C36" s="169">
        <f>IF(ISERROR(B36/SUM($B$32,$B$34,$B$35,$B$36,$B$38,$B$39)*100),0,B36/SUM($B$32,$B$34,$B$35,$B$36,$B$38,$B$39)*100)</f>
        <v>2.1462778282354695</v>
      </c>
      <c r="D36" s="235"/>
      <c r="G36" s="15"/>
    </row>
    <row r="37" spans="1:7">
      <c r="A37" s="173" t="s">
        <v>75</v>
      </c>
      <c r="B37" s="34" t="s">
        <v>110</v>
      </c>
      <c r="C37" s="169"/>
      <c r="D37" s="175"/>
      <c r="G37" s="15"/>
    </row>
    <row r="38" spans="1:7">
      <c r="A38" s="173" t="s">
        <v>76</v>
      </c>
      <c r="B38" s="33">
        <f>IF((B24-(B29-B18)*0.1)&lt;0,0,B24-(B29-B18)*0.1)</f>
        <v>103.69999999999999</v>
      </c>
      <c r="C38" s="169">
        <f>IF(ISERROR(B38/SUM($B$32,$B$34,$B$35,$B$36,$B$38,$B$39)*100),0,B38/SUM($B$32,$B$34,$B$35,$B$36,$B$38,$B$39)*100)</f>
        <v>2.1210881570873386</v>
      </c>
      <c r="D38" s="236"/>
      <c r="G38" s="15"/>
    </row>
    <row r="39" spans="1:7">
      <c r="A39" s="173" t="s">
        <v>77</v>
      </c>
      <c r="B39" s="33">
        <f>IF((B25-(B29-B18))&lt;0,0,B25-(B29-B18)*0.9)</f>
        <v>915.3</v>
      </c>
      <c r="C39" s="169">
        <f>IF(ISERROR(B39/SUM($B$32,$B$34,$B$35,$B$36,$B$38,$B$39)*100),0,B39/SUM($B$32,$B$34,$B$35,$B$36,$B$38,$B$39)*100)</f>
        <v>18.721619963182654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2413</v>
      </c>
      <c r="C44" s="34" t="s">
        <v>110</v>
      </c>
      <c r="D44" s="176"/>
    </row>
    <row r="45" spans="1:7">
      <c r="A45" s="173" t="s">
        <v>71</v>
      </c>
      <c r="B45" s="33" t="str">
        <f t="shared" si="0"/>
        <v>-</v>
      </c>
      <c r="C45" s="34" t="s">
        <v>110</v>
      </c>
      <c r="D45" s="176"/>
    </row>
    <row r="46" spans="1:7">
      <c r="A46" s="173" t="s">
        <v>72</v>
      </c>
      <c r="B46" s="33">
        <f t="shared" si="0"/>
        <v>159.97756788665882</v>
      </c>
      <c r="C46" s="34" t="s">
        <v>110</v>
      </c>
      <c r="D46" s="176"/>
    </row>
    <row r="47" spans="1:7">
      <c r="A47" s="173" t="s">
        <v>73</v>
      </c>
      <c r="B47" s="33">
        <f t="shared" si="0"/>
        <v>1192.0909090909092</v>
      </c>
      <c r="C47" s="34" t="s">
        <v>110</v>
      </c>
      <c r="D47" s="176"/>
    </row>
    <row r="48" spans="1:7">
      <c r="A48" s="173" t="s">
        <v>74</v>
      </c>
      <c r="B48" s="33">
        <f t="shared" si="0"/>
        <v>104.9315230224321</v>
      </c>
      <c r="C48" s="33">
        <f>B48*10</f>
        <v>1049.3152302243211</v>
      </c>
      <c r="D48" s="236"/>
    </row>
    <row r="49" spans="1:6">
      <c r="A49" s="173" t="s">
        <v>75</v>
      </c>
      <c r="B49" s="33" t="str">
        <f t="shared" si="0"/>
        <v>-</v>
      </c>
      <c r="C49" s="34" t="s">
        <v>110</v>
      </c>
      <c r="D49" s="236"/>
    </row>
    <row r="50" spans="1:6">
      <c r="A50" s="173" t="s">
        <v>76</v>
      </c>
      <c r="B50" s="33">
        <f t="shared" si="0"/>
        <v>103.69999999999999</v>
      </c>
      <c r="C50" s="33">
        <f>B50*2</f>
        <v>207.39999999999998</v>
      </c>
      <c r="D50" s="236"/>
    </row>
    <row r="51" spans="1:6">
      <c r="A51" s="173" t="s">
        <v>77</v>
      </c>
      <c r="B51" s="33">
        <f t="shared" si="0"/>
        <v>915.3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7577.9797893484156</v>
      </c>
      <c r="C5" s="17">
        <f>IF(ISERROR('Eigen informatie GS &amp; warmtenet'!B58),0,'Eigen informatie GS &amp; warmtenet'!B58)</f>
        <v>0</v>
      </c>
      <c r="D5" s="30">
        <f>SUM(D6:D12)</f>
        <v>6821.272109857905</v>
      </c>
      <c r="E5" s="17">
        <f>SUM(E6:E12)</f>
        <v>95.149796110206722</v>
      </c>
      <c r="F5" s="17">
        <f>SUM(F6:F12)</f>
        <v>1608.0524685671262</v>
      </c>
      <c r="G5" s="18"/>
      <c r="H5" s="17"/>
      <c r="I5" s="17"/>
      <c r="J5" s="17">
        <f>SUM(J6:J12)</f>
        <v>0</v>
      </c>
      <c r="K5" s="17"/>
      <c r="L5" s="17"/>
      <c r="M5" s="17"/>
      <c r="N5" s="17">
        <f>SUM(N6:N12)</f>
        <v>1245.0970934577272</v>
      </c>
      <c r="O5" s="17">
        <f>B38*B39*B40</f>
        <v>1.5633333333333335</v>
      </c>
      <c r="P5" s="17">
        <f>B46*B47*B48/1000-B46*B47*B48/1000/B49</f>
        <v>0</v>
      </c>
      <c r="R5" s="32"/>
    </row>
    <row r="6" spans="1:18">
      <c r="A6" s="32" t="s">
        <v>53</v>
      </c>
      <c r="B6" s="37">
        <f>B26</f>
        <v>2416.06599294241</v>
      </c>
      <c r="C6" s="33"/>
      <c r="D6" s="37">
        <f>IF(ISERROR(TER_kantoor_gas_kWh/1000),0,TER_kantoor_gas_kWh/1000)*0.902</f>
        <v>2406.8932765576924</v>
      </c>
      <c r="E6" s="33">
        <f>$C$26*'E Balans VL '!I12/100/3.6*1000000</f>
        <v>9.3869278935550753</v>
      </c>
      <c r="F6" s="33">
        <f>$C$26*('E Balans VL '!L12+'E Balans VL '!N12)/100/3.6*1000000</f>
        <v>367.46165307875702</v>
      </c>
      <c r="G6" s="34"/>
      <c r="H6" s="33"/>
      <c r="I6" s="33"/>
      <c r="J6" s="33">
        <f>$C$26*('E Balans VL '!D12+'E Balans VL '!E12)/100/3.6*1000000</f>
        <v>0</v>
      </c>
      <c r="K6" s="33"/>
      <c r="L6" s="33"/>
      <c r="M6" s="33"/>
      <c r="N6" s="33">
        <f>$C$26*'E Balans VL '!Y12/100/3.6*1000000</f>
        <v>1.33154179968926</v>
      </c>
      <c r="O6" s="33"/>
      <c r="P6" s="33"/>
      <c r="R6" s="32"/>
    </row>
    <row r="7" spans="1:18">
      <c r="A7" s="32" t="s">
        <v>52</v>
      </c>
      <c r="B7" s="37">
        <f t="shared" ref="B7:B12" si="0">B27</f>
        <v>775.91874137861396</v>
      </c>
      <c r="C7" s="33"/>
      <c r="D7" s="37">
        <f>IF(ISERROR(TER_horeca_gas_kWh/1000),0,TER_horeca_gas_kWh/1000)*0.902</f>
        <v>1141.900610671006</v>
      </c>
      <c r="E7" s="33">
        <f>$C$27*'E Balans VL '!I9/100/3.6*1000000</f>
        <v>43.707710148158554</v>
      </c>
      <c r="F7" s="33">
        <f>$C$27*('E Balans VL '!L9+'E Balans VL '!N9)/100/3.6*1000000</f>
        <v>223.72851170684362</v>
      </c>
      <c r="G7" s="34"/>
      <c r="H7" s="33"/>
      <c r="I7" s="33"/>
      <c r="J7" s="33">
        <f>$C$27*('E Balans VL '!D9+'E Balans VL '!E9)/100/3.6*1000000</f>
        <v>0</v>
      </c>
      <c r="K7" s="33"/>
      <c r="L7" s="33"/>
      <c r="M7" s="33"/>
      <c r="N7" s="33">
        <f>$C$27*'E Balans VL '!Y9/100/3.6*1000000</f>
        <v>0.21422713244149161</v>
      </c>
      <c r="O7" s="33"/>
      <c r="P7" s="33"/>
      <c r="R7" s="32"/>
    </row>
    <row r="8" spans="1:18">
      <c r="A8" s="6" t="s">
        <v>51</v>
      </c>
      <c r="B8" s="37">
        <f t="shared" si="0"/>
        <v>1525.0382456318898</v>
      </c>
      <c r="C8" s="33"/>
      <c r="D8" s="37">
        <f>IF(ISERROR(TER_handel_gas_kWh/1000),0,TER_handel_gas_kWh/1000)*0.902</f>
        <v>357.73633505200206</v>
      </c>
      <c r="E8" s="33">
        <f>$C$28*'E Balans VL '!I13/100/3.6*1000000</f>
        <v>21.980975059641775</v>
      </c>
      <c r="F8" s="33">
        <f>$C$28*('E Balans VL '!L13+'E Balans VL '!N13)/100/3.6*1000000</f>
        <v>264.93465901043839</v>
      </c>
      <c r="G8" s="34"/>
      <c r="H8" s="33"/>
      <c r="I8" s="33"/>
      <c r="J8" s="33">
        <f>$C$28*('E Balans VL '!D13+'E Balans VL '!E13)/100/3.6*1000000</f>
        <v>0</v>
      </c>
      <c r="K8" s="33"/>
      <c r="L8" s="33"/>
      <c r="M8" s="33"/>
      <c r="N8" s="33">
        <f>$C$28*'E Balans VL '!Y13/100/3.6*1000000</f>
        <v>4.5691843546679491</v>
      </c>
      <c r="O8" s="33"/>
      <c r="P8" s="33"/>
      <c r="R8" s="32"/>
    </row>
    <row r="9" spans="1:18">
      <c r="A9" s="32" t="s">
        <v>50</v>
      </c>
      <c r="B9" s="37">
        <f t="shared" si="0"/>
        <v>66.555911795064603</v>
      </c>
      <c r="C9" s="33"/>
      <c r="D9" s="37">
        <f>IF(ISERROR(TER_gezond_gas_kWh/1000),0,TER_gezond_gas_kWh/1000)*0.902</f>
        <v>95.611344178978698</v>
      </c>
      <c r="E9" s="33">
        <f>$C$29*'E Balans VL '!I10/100/3.6*1000000</f>
        <v>7.1098964455955913E-2</v>
      </c>
      <c r="F9" s="33">
        <f>$C$29*('E Balans VL '!L10+'E Balans VL '!N10)/100/3.6*1000000</f>
        <v>10.857291923837169</v>
      </c>
      <c r="G9" s="34"/>
      <c r="H9" s="33"/>
      <c r="I9" s="33"/>
      <c r="J9" s="33">
        <f>$C$29*('E Balans VL '!D10+'E Balans VL '!E10)/100/3.6*1000000</f>
        <v>0</v>
      </c>
      <c r="K9" s="33"/>
      <c r="L9" s="33"/>
      <c r="M9" s="33"/>
      <c r="N9" s="33">
        <f>$C$29*'E Balans VL '!Y10/100/3.6*1000000</f>
        <v>0.68515513588455368</v>
      </c>
      <c r="O9" s="33"/>
      <c r="P9" s="33"/>
      <c r="R9" s="32"/>
    </row>
    <row r="10" spans="1:18">
      <c r="A10" s="32" t="s">
        <v>49</v>
      </c>
      <c r="B10" s="37">
        <f t="shared" si="0"/>
        <v>1663.93033051833</v>
      </c>
      <c r="C10" s="33"/>
      <c r="D10" s="37">
        <f>IF(ISERROR(TER_ander_gas_kWh/1000),0,TER_ander_gas_kWh/1000)*0.902</f>
        <v>149.80232691800464</v>
      </c>
      <c r="E10" s="33">
        <f>$C$30*'E Balans VL '!I14/100/3.6*1000000</f>
        <v>7.6521624874618013</v>
      </c>
      <c r="F10" s="33">
        <f>$C$30*('E Balans VL '!L14+'E Balans VL '!N14)/100/3.6*1000000</f>
        <v>498.73240513623762</v>
      </c>
      <c r="G10" s="34"/>
      <c r="H10" s="33"/>
      <c r="I10" s="33"/>
      <c r="J10" s="33">
        <f>$C$30*('E Balans VL '!D14+'E Balans VL '!E14)/100/3.6*1000000</f>
        <v>0</v>
      </c>
      <c r="K10" s="33"/>
      <c r="L10" s="33"/>
      <c r="M10" s="33"/>
      <c r="N10" s="33">
        <f>$C$30*'E Balans VL '!Y14/100/3.6*1000000</f>
        <v>1158.2053473609142</v>
      </c>
      <c r="O10" s="33"/>
      <c r="P10" s="33"/>
      <c r="R10" s="32"/>
    </row>
    <row r="11" spans="1:18">
      <c r="A11" s="32" t="s">
        <v>54</v>
      </c>
      <c r="B11" s="37">
        <f t="shared" si="0"/>
        <v>121.50866330470799</v>
      </c>
      <c r="C11" s="33"/>
      <c r="D11" s="37">
        <f>IF(ISERROR(TER_onderwijs_gas_kWh/1000),0,TER_onderwijs_gas_kWh/1000)*0.902</f>
        <v>306.19210606229427</v>
      </c>
      <c r="E11" s="33">
        <f>$C$31*'E Balans VL '!I11/100/3.6*1000000</f>
        <v>0.11271526467097144</v>
      </c>
      <c r="F11" s="33">
        <f>$C$31*('E Balans VL '!L11+'E Balans VL '!N11)/100/3.6*1000000</f>
        <v>42.683200743100677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1008.9619037774</v>
      </c>
      <c r="C12" s="33"/>
      <c r="D12" s="37">
        <f>IF(ISERROR(TER_rest_gas_kWh/1000),0,TER_rest_gas_kWh/1000)*0.902</f>
        <v>2363.1361104179259</v>
      </c>
      <c r="E12" s="33">
        <f>$C$32*'E Balans VL '!I8/100/3.6*1000000</f>
        <v>12.238206292262603</v>
      </c>
      <c r="F12" s="33">
        <f>$C$32*('E Balans VL '!L8+'E Balans VL '!N8)/100/3.6*1000000</f>
        <v>199.65474696791159</v>
      </c>
      <c r="G12" s="34"/>
      <c r="H12" s="33"/>
      <c r="I12" s="33"/>
      <c r="J12" s="33">
        <f>$C$32*('E Balans VL '!D8+'E Balans VL '!E8)/100/3.6*1000000</f>
        <v>0</v>
      </c>
      <c r="K12" s="33"/>
      <c r="L12" s="33"/>
      <c r="M12" s="33"/>
      <c r="N12" s="33">
        <f>$C$32*'E Balans VL '!Y8/100/3.6*1000000</f>
        <v>80.091637674129814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7577.9797893484156</v>
      </c>
      <c r="C16" s="21">
        <f t="shared" ca="1" si="1"/>
        <v>0</v>
      </c>
      <c r="D16" s="21">
        <f t="shared" ca="1" si="1"/>
        <v>6821.272109857905</v>
      </c>
      <c r="E16" s="21">
        <f t="shared" si="1"/>
        <v>95.149796110206722</v>
      </c>
      <c r="F16" s="21">
        <f t="shared" ca="1" si="1"/>
        <v>1608.0524685671262</v>
      </c>
      <c r="G16" s="21">
        <f t="shared" si="1"/>
        <v>0</v>
      </c>
      <c r="H16" s="21">
        <f t="shared" si="1"/>
        <v>0</v>
      </c>
      <c r="I16" s="21">
        <f t="shared" si="1"/>
        <v>0</v>
      </c>
      <c r="J16" s="21">
        <f t="shared" si="1"/>
        <v>0</v>
      </c>
      <c r="K16" s="21">
        <f t="shared" si="1"/>
        <v>0</v>
      </c>
      <c r="L16" s="21">
        <f t="shared" ca="1" si="1"/>
        <v>0</v>
      </c>
      <c r="M16" s="21">
        <f t="shared" si="1"/>
        <v>0</v>
      </c>
      <c r="N16" s="21">
        <f t="shared" ca="1" si="1"/>
        <v>1245.0970934577272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0.20605492044461893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1561.480022625118</v>
      </c>
      <c r="C20" s="23">
        <f t="shared" ref="C20:P20" ca="1" si="2">C16*C18</f>
        <v>0</v>
      </c>
      <c r="D20" s="23">
        <f t="shared" ca="1" si="2"/>
        <v>1377.896966191297</v>
      </c>
      <c r="E20" s="23">
        <f t="shared" si="2"/>
        <v>21.599003717016927</v>
      </c>
      <c r="F20" s="23">
        <f t="shared" ca="1" si="2"/>
        <v>429.35000910742269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2416.06599294241</v>
      </c>
      <c r="C26" s="39">
        <f>IF(ISERROR(B26*3.6/1000000/'E Balans VL '!Z12*100),0,B26*3.6/1000000/'E Balans VL '!Z12*100)</f>
        <v>5.1318438453612565E-2</v>
      </c>
      <c r="D26" s="239" t="s">
        <v>689</v>
      </c>
      <c r="F26" s="6"/>
    </row>
    <row r="27" spans="1:18">
      <c r="A27" s="233" t="s">
        <v>52</v>
      </c>
      <c r="B27" s="33">
        <f>IF(ISERROR(TER_horeca_ele_kWh/1000),0,TER_horeca_ele_kWh/1000)</f>
        <v>775.91874137861396</v>
      </c>
      <c r="C27" s="39">
        <f>IF(ISERROR(B27*3.6/1000000/'E Balans VL '!Z9*100),0,B27*3.6/1000000/'E Balans VL '!Z9*100)</f>
        <v>6.0332407548073397E-2</v>
      </c>
      <c r="D27" s="239" t="s">
        <v>689</v>
      </c>
      <c r="F27" s="6"/>
    </row>
    <row r="28" spans="1:18">
      <c r="A28" s="173" t="s">
        <v>51</v>
      </c>
      <c r="B28" s="33">
        <f>IF(ISERROR(TER_handel_ele_kWh/1000),0,TER_handel_ele_kWh/1000)</f>
        <v>1525.0382456318898</v>
      </c>
      <c r="C28" s="39">
        <f>IF(ISERROR(B28*3.6/1000000/'E Balans VL '!Z13*100),0,B28*3.6/1000000/'E Balans VL '!Z13*100)</f>
        <v>4.3633138998001468E-2</v>
      </c>
      <c r="D28" s="239" t="s">
        <v>689</v>
      </c>
      <c r="F28" s="6"/>
    </row>
    <row r="29" spans="1:18">
      <c r="A29" s="233" t="s">
        <v>50</v>
      </c>
      <c r="B29" s="33">
        <f>IF(ISERROR(TER_gezond_ele_kWh/1000),0,TER_gezond_ele_kWh/1000)</f>
        <v>66.555911795064603</v>
      </c>
      <c r="C29" s="39">
        <f>IF(ISERROR(B29*3.6/1000000/'E Balans VL '!Z10*100),0,B29*3.6/1000000/'E Balans VL '!Z10*100)</f>
        <v>7.2561409595687269E-3</v>
      </c>
      <c r="D29" s="239" t="s">
        <v>689</v>
      </c>
      <c r="F29" s="6"/>
    </row>
    <row r="30" spans="1:18">
      <c r="A30" s="233" t="s">
        <v>49</v>
      </c>
      <c r="B30" s="33">
        <f>IF(ISERROR(TER_ander_ele_kWh/1000),0,TER_ander_ele_kWh/1000)</f>
        <v>1663.93033051833</v>
      </c>
      <c r="C30" s="39">
        <f>IF(ISERROR(B30*3.6/1000000/'E Balans VL '!Z14*100),0,B30*3.6/1000000/'E Balans VL '!Z14*100)</f>
        <v>0.12176264705085367</v>
      </c>
      <c r="D30" s="239" t="s">
        <v>689</v>
      </c>
      <c r="F30" s="6"/>
    </row>
    <row r="31" spans="1:18">
      <c r="A31" s="233" t="s">
        <v>54</v>
      </c>
      <c r="B31" s="33">
        <f>IF(ISERROR(TER_onderwijs_ele_kWh/1000),0,TER_onderwijs_ele_kWh/1000)</f>
        <v>121.50866330470799</v>
      </c>
      <c r="C31" s="39">
        <f>IF(ISERROR(B31*3.6/1000000/'E Balans VL '!Z11*100),0,B31*3.6/1000000/'E Balans VL '!Z11*100)</f>
        <v>2.4405105254595893E-2</v>
      </c>
      <c r="D31" s="239" t="s">
        <v>689</v>
      </c>
    </row>
    <row r="32" spans="1:18">
      <c r="A32" s="233" t="s">
        <v>259</v>
      </c>
      <c r="B32" s="33">
        <f>IF(ISERROR(TER_rest_ele_kWh/1000),0,TER_rest_ele_kWh/1000)</f>
        <v>1008.9619037774</v>
      </c>
      <c r="C32" s="39">
        <f>IF(ISERROR(B32*3.6/1000000/'E Balans VL '!Z8*100),0,B32*3.6/1000000/'E Balans VL '!Z8*100)</f>
        <v>8.2224272079172746E-3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5402.3898695761109</v>
      </c>
      <c r="C5" s="17">
        <f>IF(ISERROR('Eigen informatie GS &amp; warmtenet'!B59),0,'Eigen informatie GS &amp; warmtenet'!B59)</f>
        <v>0</v>
      </c>
      <c r="D5" s="30">
        <f>SUM(D6:D15)</f>
        <v>3236.6198323156905</v>
      </c>
      <c r="E5" s="17">
        <f>SUM(E6:E15)</f>
        <v>377.34136953520095</v>
      </c>
      <c r="F5" s="17">
        <f>SUM(F6:F15)</f>
        <v>1414.1804066888644</v>
      </c>
      <c r="G5" s="18"/>
      <c r="H5" s="17"/>
      <c r="I5" s="17"/>
      <c r="J5" s="17">
        <f>SUM(J6:J15)</f>
        <v>3.8780775892368582</v>
      </c>
      <c r="K5" s="17"/>
      <c r="L5" s="17"/>
      <c r="M5" s="17"/>
      <c r="N5" s="17">
        <f>SUM(N6:N15)</f>
        <v>226.33409131236743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94.896988532623695</v>
      </c>
      <c r="C8" s="33"/>
      <c r="D8" s="37">
        <f>IF( ISERROR(IND_metaal_Gas_kWH/1000),0,IND_metaal_Gas_kWH/1000)*0.902</f>
        <v>104.55922970113004</v>
      </c>
      <c r="E8" s="33">
        <f>C30*'E Balans VL '!I18/100/3.6*1000000</f>
        <v>2.7257977102538518</v>
      </c>
      <c r="F8" s="33">
        <f>C30*'E Balans VL '!L18/100/3.6*1000000+C30*'E Balans VL '!N18/100/3.6*1000000</f>
        <v>24.33925242723652</v>
      </c>
      <c r="G8" s="34"/>
      <c r="H8" s="33"/>
      <c r="I8" s="33"/>
      <c r="J8" s="40">
        <f>C30*'E Balans VL '!D18/100/3.6*1000000+C30*'E Balans VL '!E18/100/3.6*1000000</f>
        <v>0</v>
      </c>
      <c r="K8" s="33"/>
      <c r="L8" s="33"/>
      <c r="M8" s="33"/>
      <c r="N8" s="33">
        <f>C30*'E Balans VL '!Y18/100/3.6*1000000</f>
        <v>2.5766469508590313</v>
      </c>
      <c r="O8" s="33"/>
      <c r="P8" s="33"/>
      <c r="R8" s="32"/>
    </row>
    <row r="9" spans="1:18">
      <c r="A9" s="6" t="s">
        <v>32</v>
      </c>
      <c r="B9" s="37">
        <f t="shared" si="0"/>
        <v>1016.95745556195</v>
      </c>
      <c r="C9" s="33"/>
      <c r="D9" s="37">
        <f>IF( ISERROR(IND_andere_gas_kWh/1000),0,IND_andere_gas_kWh/1000)*0.902</f>
        <v>953.39027213369116</v>
      </c>
      <c r="E9" s="33">
        <f>C31*'E Balans VL '!I19/100/3.6*1000000</f>
        <v>275.26537924652843</v>
      </c>
      <c r="F9" s="33">
        <f>C31*'E Balans VL '!L19/100/3.6*1000000+C31*'E Balans VL '!N19/100/3.6*1000000</f>
        <v>677.4012819831114</v>
      </c>
      <c r="G9" s="34"/>
      <c r="H9" s="33"/>
      <c r="I9" s="33"/>
      <c r="J9" s="40">
        <f>C31*'E Balans VL '!D19/100/3.6*1000000+C31*'E Balans VL '!E19/100/3.6*1000000</f>
        <v>0</v>
      </c>
      <c r="K9" s="33"/>
      <c r="L9" s="33"/>
      <c r="M9" s="33"/>
      <c r="N9" s="33">
        <f>C31*'E Balans VL '!Y19/100/3.6*1000000</f>
        <v>85.977016293894579</v>
      </c>
      <c r="O9" s="33"/>
      <c r="P9" s="33"/>
      <c r="R9" s="32"/>
    </row>
    <row r="10" spans="1:18">
      <c r="A10" s="6" t="s">
        <v>40</v>
      </c>
      <c r="B10" s="37">
        <f t="shared" si="0"/>
        <v>174.480430745354</v>
      </c>
      <c r="C10" s="33"/>
      <c r="D10" s="37">
        <f>IF( ISERROR(IND_voed_gas_kWh/1000),0,IND_voed_gas_kWh/1000)*0.902</f>
        <v>78.940043411408965</v>
      </c>
      <c r="E10" s="33">
        <f>C32*'E Balans VL '!I20/100/3.6*1000000</f>
        <v>14.23102478994983</v>
      </c>
      <c r="F10" s="33">
        <f>C32*'E Balans VL '!L20/100/3.6*1000000+C32*'E Balans VL '!N20/100/3.6*1000000</f>
        <v>260.16615249306705</v>
      </c>
      <c r="G10" s="34"/>
      <c r="H10" s="33"/>
      <c r="I10" s="33"/>
      <c r="J10" s="40">
        <f>C32*'E Balans VL '!D20/100/3.6*1000000+C32*'E Balans VL '!E20/100/3.6*1000000</f>
        <v>2.3081643079299777E-3</v>
      </c>
      <c r="K10" s="33"/>
      <c r="L10" s="33"/>
      <c r="M10" s="33"/>
      <c r="N10" s="33">
        <f>C32*'E Balans VL '!Y20/100/3.6*1000000</f>
        <v>51.256193802453225</v>
      </c>
      <c r="O10" s="33"/>
      <c r="P10" s="33"/>
      <c r="R10" s="32"/>
    </row>
    <row r="11" spans="1:18">
      <c r="A11" s="6" t="s">
        <v>39</v>
      </c>
      <c r="B11" s="37">
        <f t="shared" si="0"/>
        <v>2580.32710597401</v>
      </c>
      <c r="C11" s="33"/>
      <c r="D11" s="37">
        <f>IF( ISERROR(IND_textiel_gas_kWh/1000),0,IND_textiel_gas_kWh/1000)*0.902</f>
        <v>1501.1800426346645</v>
      </c>
      <c r="E11" s="33">
        <f>C33*'E Balans VL '!I21/100/3.6*1000000</f>
        <v>0.51147362514768879</v>
      </c>
      <c r="F11" s="33">
        <f>C33*'E Balans VL '!L21/100/3.6*1000000+C33*'E Balans VL '!N21/100/3.6*1000000</f>
        <v>95.036560487614381</v>
      </c>
      <c r="G11" s="34"/>
      <c r="H11" s="33"/>
      <c r="I11" s="33"/>
      <c r="J11" s="40">
        <f>C33*'E Balans VL '!D21/100/3.6*1000000+C33*'E Balans VL '!E21/100/3.6*1000000</f>
        <v>0</v>
      </c>
      <c r="K11" s="33"/>
      <c r="L11" s="33"/>
      <c r="M11" s="33"/>
      <c r="N11" s="33">
        <f>C33*'E Balans VL '!Y21/100/3.6*1000000</f>
        <v>11.99786966023952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23.5646696098927</v>
      </c>
      <c r="C13" s="33"/>
      <c r="D13" s="37">
        <f>IF( ISERROR(IND_papier_gas_kWh/1000),0,IND_papier_gas_kWh/1000)*0.902</f>
        <v>0</v>
      </c>
      <c r="E13" s="33">
        <f>C35*'E Balans VL '!I23/100/3.6*1000000</f>
        <v>0.24688284375251734</v>
      </c>
      <c r="F13" s="33">
        <f>C35*'E Balans VL '!L23/100/3.6*1000000+C35*'E Balans VL '!N23/100/3.6*1000000</f>
        <v>1.7583998230344007</v>
      </c>
      <c r="G13" s="34"/>
      <c r="H13" s="33"/>
      <c r="I13" s="33"/>
      <c r="J13" s="40">
        <f>C35*'E Balans VL '!D23/100/3.6*1000000+C35*'E Balans VL '!E23/100/3.6*1000000</f>
        <v>0</v>
      </c>
      <c r="K13" s="33"/>
      <c r="L13" s="33"/>
      <c r="M13" s="33"/>
      <c r="N13" s="33">
        <f>C35*'E Balans VL '!Y23/100/3.6*1000000</f>
        <v>4.3471720163935164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1512.1632191522799</v>
      </c>
      <c r="C15" s="33"/>
      <c r="D15" s="37">
        <f>IF( ISERROR(IND_rest_gas_kWh/1000),0,IND_rest_gas_kWh/1000)*0.902</f>
        <v>598.55024443479567</v>
      </c>
      <c r="E15" s="33">
        <f>C37*'E Balans VL '!I15/100/3.6*1000000</f>
        <v>84.360811319568612</v>
      </c>
      <c r="F15" s="33">
        <f>C37*'E Balans VL '!L15/100/3.6*1000000+C37*'E Balans VL '!N15/100/3.6*1000000</f>
        <v>355.47875947480077</v>
      </c>
      <c r="G15" s="34"/>
      <c r="H15" s="33"/>
      <c r="I15" s="33"/>
      <c r="J15" s="40">
        <f>C37*'E Balans VL '!D15/100/3.6*1000000+C37*'E Balans VL '!E15/100/3.6*1000000</f>
        <v>3.8757694249289281</v>
      </c>
      <c r="K15" s="33"/>
      <c r="L15" s="33"/>
      <c r="M15" s="33"/>
      <c r="N15" s="33">
        <f>C37*'E Balans VL '!Y15/100/3.6*1000000</f>
        <v>70.179192588527542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5402.3898695761109</v>
      </c>
      <c r="C18" s="21">
        <f>C5+C16</f>
        <v>0</v>
      </c>
      <c r="D18" s="21">
        <f>MAX((D5+D16),0)</f>
        <v>3236.6198323156905</v>
      </c>
      <c r="E18" s="21">
        <f>MAX((E5+E16),0)</f>
        <v>377.34136953520095</v>
      </c>
      <c r="F18" s="21">
        <f>MAX((F5+F16),0)</f>
        <v>1414.1804066888644</v>
      </c>
      <c r="G18" s="21"/>
      <c r="H18" s="21"/>
      <c r="I18" s="21"/>
      <c r="J18" s="21">
        <f>MAX((J5+J16),0)</f>
        <v>3.8780775892368582</v>
      </c>
      <c r="K18" s="21"/>
      <c r="L18" s="21">
        <f>MAX((L5+L16),0)</f>
        <v>0</v>
      </c>
      <c r="M18" s="21"/>
      <c r="N18" s="21">
        <f>MAX((N5+N16),0)</f>
        <v>226.33409131236743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0.20605492044461893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1113.1890147863207</v>
      </c>
      <c r="C22" s="23">
        <f ca="1">C18*C20</f>
        <v>0</v>
      </c>
      <c r="D22" s="23">
        <f>D18*D20</f>
        <v>653.79720612776953</v>
      </c>
      <c r="E22" s="23">
        <f>E18*E20</f>
        <v>85.656490884490623</v>
      </c>
      <c r="F22" s="23">
        <f>F18*F20</f>
        <v>377.58616858592683</v>
      </c>
      <c r="G22" s="23"/>
      <c r="H22" s="23"/>
      <c r="I22" s="23"/>
      <c r="J22" s="23">
        <f>J18*J20</f>
        <v>1.3728394665898478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94.896988532623695</v>
      </c>
      <c r="C30" s="39">
        <f>IF(ISERROR(B30*3.6/1000000/'E Balans VL '!Z18*100),0,B30*3.6/1000000/'E Balans VL '!Z18*100)</f>
        <v>9.3376214254037391E-3</v>
      </c>
      <c r="D30" s="239" t="s">
        <v>689</v>
      </c>
    </row>
    <row r="31" spans="1:18">
      <c r="A31" s="6" t="s">
        <v>32</v>
      </c>
      <c r="B31" s="37">
        <f>IF( ISERROR(IND_ander_ele_kWh/1000),0,IND_ander_ele_kWh/1000)</f>
        <v>1016.95745556195</v>
      </c>
      <c r="C31" s="39">
        <f>IF(ISERROR(B31*3.6/1000000/'E Balans VL '!Z19*100),0,B31*3.6/1000000/'E Balans VL '!Z19*100)</f>
        <v>4.428768597075166E-2</v>
      </c>
      <c r="D31" s="239" t="s">
        <v>689</v>
      </c>
    </row>
    <row r="32" spans="1:18">
      <c r="A32" s="173" t="s">
        <v>40</v>
      </c>
      <c r="B32" s="37">
        <f>IF( ISERROR(IND_voed_ele_kWh/1000),0,IND_voed_ele_kWh/1000)</f>
        <v>174.480430745354</v>
      </c>
      <c r="C32" s="39">
        <f>IF(ISERROR(B32*3.6/1000000/'E Balans VL '!Z20*100),0,B32*3.6/1000000/'E Balans VL '!Z20*100)</f>
        <v>3.3105145452380844E-2</v>
      </c>
      <c r="D32" s="239" t="s">
        <v>689</v>
      </c>
    </row>
    <row r="33" spans="1:5">
      <c r="A33" s="173" t="s">
        <v>39</v>
      </c>
      <c r="B33" s="37">
        <f>IF( ISERROR(IND_textiel_ele_kWh/1000),0,IND_textiel_ele_kWh/1000)</f>
        <v>2580.32710597401</v>
      </c>
      <c r="C33" s="39">
        <f>IF(ISERROR(B33*3.6/1000000/'E Balans VL '!Z21*100),0,B33*3.6/1000000/'E Balans VL '!Z21*100)</f>
        <v>0.14732359225343569</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23.5646696098927</v>
      </c>
      <c r="C35" s="39">
        <f>IF(ISERROR(B35*3.6/1000000/'E Balans VL '!Z22*100),0,B35*3.6/1000000/'E Balans VL '!Z22*100)</f>
        <v>3.3134291761874966E-3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1512.1632191522799</v>
      </c>
      <c r="C37" s="39">
        <f>IF(ISERROR(B37*3.6/1000000/'E Balans VL '!Z15*100),0,B37*3.6/1000000/'E Balans VL '!Z15*100)</f>
        <v>1.1653074922847959E-2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632.63909796852806</v>
      </c>
      <c r="C5" s="17">
        <f>'Eigen informatie GS &amp; warmtenet'!B60</f>
        <v>0</v>
      </c>
      <c r="D5" s="30">
        <f>IF(ISERROR(SUM(LB_lb_gas_kWh,LB_rest_gas_kWh)/1000),0,SUM(LB_lb_gas_kWh,LB_rest_gas_kWh)/1000)*0.902</f>
        <v>265.94387741567908</v>
      </c>
      <c r="E5" s="17">
        <f>B17*'E Balans VL '!I25/3.6*1000000/100</f>
        <v>7.9720676392688965</v>
      </c>
      <c r="F5" s="17">
        <f>B17*('E Balans VL '!L25/3.6*1000000+'E Balans VL '!N25/3.6*1000000)/100</f>
        <v>2182.7633735553636</v>
      </c>
      <c r="G5" s="18"/>
      <c r="H5" s="17"/>
      <c r="I5" s="17"/>
      <c r="J5" s="17">
        <f>('E Balans VL '!D25+'E Balans VL '!E25)/3.6*1000000*landbouw!B17/100</f>
        <v>95.141728747015662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632.63909796852806</v>
      </c>
      <c r="C8" s="21">
        <f>C5+C6</f>
        <v>0</v>
      </c>
      <c r="D8" s="21">
        <f>MAX((D5+D6),0)</f>
        <v>265.94387741567908</v>
      </c>
      <c r="E8" s="21">
        <f>MAX((E5+E6),0)</f>
        <v>7.9720676392688965</v>
      </c>
      <c r="F8" s="21">
        <f>MAX((F5+F6),0)</f>
        <v>2182.7633735553636</v>
      </c>
      <c r="G8" s="21"/>
      <c r="H8" s="21"/>
      <c r="I8" s="21"/>
      <c r="J8" s="21">
        <f>MAX((J5+J6),0)</f>
        <v>95.141728747015662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0.20605492044461893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130.35839900206054</v>
      </c>
      <c r="C12" s="23">
        <f ca="1">C8*C10</f>
        <v>0</v>
      </c>
      <c r="D12" s="23">
        <f>D8*D10</f>
        <v>53.72066323796718</v>
      </c>
      <c r="E12" s="23">
        <f>E8*E10</f>
        <v>1.8096593541140396</v>
      </c>
      <c r="F12" s="23">
        <f>F8*F10</f>
        <v>582.79782073928209</v>
      </c>
      <c r="G12" s="23"/>
      <c r="H12" s="23"/>
      <c r="I12" s="23"/>
      <c r="J12" s="23">
        <f>J8*J10</f>
        <v>33.680171976443546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8.8233214539663263E-2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111.5780342593537</v>
      </c>
      <c r="C26" s="249">
        <f>B26*'GWP N2O_CH4'!B5</f>
        <v>2343.1387194464278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31.919507123757327</v>
      </c>
      <c r="C27" s="249">
        <f>B27*'GWP N2O_CH4'!B5</f>
        <v>670.30964959890389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1.4661647639397779</v>
      </c>
      <c r="C28" s="249">
        <f>B28*'GWP N2O_CH4'!B4</f>
        <v>454.51107682133113</v>
      </c>
      <c r="D28" s="50"/>
    </row>
    <row r="29" spans="1:4">
      <c r="A29" s="41" t="s">
        <v>276</v>
      </c>
      <c r="B29" s="249">
        <f>B34*'ha_N2O bodem landbouw'!B4</f>
        <v>6.4688938330668382</v>
      </c>
      <c r="C29" s="249">
        <f>B29*'GWP N2O_CH4'!B4</f>
        <v>2005.3570882507199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1.6152181511255215E-3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6.0131827762175499E-6</v>
      </c>
      <c r="C5" s="444" t="s">
        <v>210</v>
      </c>
      <c r="D5" s="429">
        <f>SUM(D6:D11)</f>
        <v>1.0720221844231898E-5</v>
      </c>
      <c r="E5" s="429">
        <f>SUM(E6:E11)</f>
        <v>3.7537262505281973E-4</v>
      </c>
      <c r="F5" s="442" t="s">
        <v>210</v>
      </c>
      <c r="G5" s="429">
        <f>SUM(G6:G11)</f>
        <v>0.10566726978168092</v>
      </c>
      <c r="H5" s="429">
        <f>SUM(H6:H11)</f>
        <v>1.9424236562415594E-2</v>
      </c>
      <c r="I5" s="444" t="s">
        <v>210</v>
      </c>
      <c r="J5" s="444" t="s">
        <v>210</v>
      </c>
      <c r="K5" s="444" t="s">
        <v>210</v>
      </c>
      <c r="L5" s="444" t="s">
        <v>210</v>
      </c>
      <c r="M5" s="429">
        <f>SUM(M6:M11)</f>
        <v>5.6564349608882727E-3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4.2620542689327001E-6</v>
      </c>
      <c r="C6" s="883"/>
      <c r="D6" s="883">
        <f>vkm_GW_PW*SUMIFS(TableVerdeelsleutelVkm[CNG],TableVerdeelsleutelVkm[Voertuigtype],"Lichte voertuigen")*SUMIFS(TableECFTransport[EnergieConsumptieFactor (PJ per km)],TableECFTransport[Index],CONCATENATE($A6,"_CNG_CNG"))</f>
        <v>6.31623747861275E-6</v>
      </c>
      <c r="E6" s="883">
        <f>vkm_GW_PW*SUMIFS(TableVerdeelsleutelVkm[LPG],TableVerdeelsleutelVkm[Voertuigtype],"Lichte voertuigen")*SUMIFS(TableECFTransport[EnergieConsumptieFactor (PJ per km)],TableECFTransport[Index],CONCATENATE($A6,"_LPG_LPG"))</f>
        <v>2.2622454671247973E-4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4.5528370572205809E-2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1.1630873020408015E-2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2.5858525939987647E-3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2.6678904343570658E-2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6.1986687438803267E-7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1.2045941734336102E-3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1.75112850728485E-6</v>
      </c>
      <c r="C8" s="883"/>
      <c r="D8" s="432">
        <f>vkm_NGW_PW*SUMIFS(TableVerdeelsleutelVkm[CNG],TableVerdeelsleutelVkm[Voertuigtype],"Lichte voertuigen")*SUMIFS(TableECFTransport[EnergieConsumptieFactor (PJ per km)],TableECFTransport[Index],CONCATENATE($A8,"_CNG_CNG"))</f>
        <v>4.4039843656191477E-6</v>
      </c>
      <c r="E8" s="432">
        <f>vkm_NGW_PW*SUMIFS(TableVerdeelsleutelVkm[LPG],TableVerdeelsleutelVkm[Voertuigtype],"Lichte voertuigen")*SUMIFS(TableECFTransport[EnergieConsumptieFactor (PJ per km)],TableECFTransport[Index],CONCATENATE($A8,"_LPG_LPG"))</f>
        <v>1.4914807834033998E-4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2.851324442256788E-2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7.7926104555888732E-3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1.6426338561298772E-3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4.9467504433365729E-3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1.3321954431728558E-7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2.2335433732602108E-4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1.6703285489493194</v>
      </c>
      <c r="C14" s="21"/>
      <c r="D14" s="21">
        <f t="shared" ref="D14:M14" si="0">((D5)*10^9/3600)+D12</f>
        <v>2.9778394011755269</v>
      </c>
      <c r="E14" s="21">
        <f t="shared" si="0"/>
        <v>104.27017362578326</v>
      </c>
      <c r="F14" s="21"/>
      <c r="G14" s="21">
        <f t="shared" si="0"/>
        <v>29352.019383800256</v>
      </c>
      <c r="H14" s="21">
        <f t="shared" si="0"/>
        <v>5395.6212673376658</v>
      </c>
      <c r="I14" s="21"/>
      <c r="J14" s="21"/>
      <c r="K14" s="21"/>
      <c r="L14" s="21"/>
      <c r="M14" s="21">
        <f t="shared" si="0"/>
        <v>1571.2319335800757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0.20605492044461893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0.34417941627012777</v>
      </c>
      <c r="C18" s="23"/>
      <c r="D18" s="23">
        <f t="shared" ref="D18:M18" si="1">D14*D16</f>
        <v>0.60152355903745647</v>
      </c>
      <c r="E18" s="23">
        <f t="shared" si="1"/>
        <v>23.6693294130528</v>
      </c>
      <c r="F18" s="23"/>
      <c r="G18" s="23">
        <f t="shared" si="1"/>
        <v>7836.9891754746686</v>
      </c>
      <c r="H18" s="23">
        <f t="shared" si="1"/>
        <v>1343.5096955670788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1.7293381622506408E-3</v>
      </c>
      <c r="H50" s="321">
        <f t="shared" si="2"/>
        <v>0</v>
      </c>
      <c r="I50" s="321">
        <f t="shared" si="2"/>
        <v>0</v>
      </c>
      <c r="J50" s="321">
        <f t="shared" si="2"/>
        <v>0</v>
      </c>
      <c r="K50" s="321">
        <f t="shared" si="2"/>
        <v>0</v>
      </c>
      <c r="L50" s="321">
        <f t="shared" si="2"/>
        <v>0</v>
      </c>
      <c r="M50" s="321">
        <f t="shared" si="2"/>
        <v>7.6974272269721199E-5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1.7293381622506408E-3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7.6974272269721199E-5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480.37171173628911</v>
      </c>
      <c r="H54" s="21">
        <f t="shared" si="3"/>
        <v>0</v>
      </c>
      <c r="I54" s="21">
        <f t="shared" si="3"/>
        <v>0</v>
      </c>
      <c r="J54" s="21">
        <f t="shared" si="3"/>
        <v>0</v>
      </c>
      <c r="K54" s="21">
        <f t="shared" si="3"/>
        <v>0</v>
      </c>
      <c r="L54" s="21">
        <f t="shared" si="3"/>
        <v>0</v>
      </c>
      <c r="M54" s="21">
        <f t="shared" si="3"/>
        <v>21.381742297144779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0.20605492044461893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128.25924703358919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2743.7445231485872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2743.7445231485872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2020-06-20T16:21:03Z</dcterms:modified>
</cp:coreProperties>
</file>