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P4" i="48"/>
  <c r="P22" i="48" s="1"/>
  <c r="Q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N52" i="14"/>
  <c r="N61" i="14" s="1"/>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K46" i="14"/>
  <c r="K61" i="14" s="1"/>
  <c r="F13" i="14"/>
  <c r="F16" i="14" s="1"/>
  <c r="F27" i="14" s="1"/>
  <c r="F63" i="14" s="1"/>
  <c r="E8" i="48"/>
  <c r="E26" i="48" s="1"/>
  <c r="J22" i="16"/>
  <c r="K43" i="14" s="1"/>
  <c r="K13" i="14"/>
  <c r="K16" i="14" s="1"/>
  <c r="K27" i="14" s="1"/>
  <c r="J8" i="48"/>
  <c r="E63" i="14"/>
  <c r="E23" i="48"/>
  <c r="E33" i="48"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K63" i="14"/>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<sst xmlns="http://schemas.openxmlformats.org/spreadsheetml/2006/main" count="2465" uniqueCount="933">
  <si>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</si>
  <si>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</si>
  <si>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</si>
  <si>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</si>
  <si>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</si>
  <si>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</si>
  <si>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</si>
  <si>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</si>
  <si>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</si>
  <si>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</si>
  <si>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</si>
  <si>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</si>
  <si>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</si>
  <si>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</si>
  <si>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</si>
  <si>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</si>
  <si>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</si>
  <si>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</si>
  <si>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</si>
  <si>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</si>
  <si>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</si>
  <si>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</si>
  <si>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</si>
  <si>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</si>
  <si>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</si>
  <si>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</si>
  <si>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</si>
  <si>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</si>
  <si>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</si>
  <si>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</si>
  <si>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</si>
  <si>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</si>
  <si>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</si>
  <si>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</si>
  <si>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</si>
  <si>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</si>
  <si>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</si>
  <si>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</si>
  <si>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</si>
  <si>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</si>
  <si>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</si>
  <si>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</si>
  <si>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</si>
  <si>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</si>
  <si>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</si>
  <si>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</si>
  <si>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</si>
  <si>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</si>
  <si>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</si>
  <si>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</si>
  <si>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</si>
  <si>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</si>
  <si>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</si>
  <si>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</si>
  <si>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</si>
  <si>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</si>
  <si>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</si>
  <si>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</si>
  <si>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</si>
  <si>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</si>
  <si>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</si>
  <si>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</si>
  <si>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</si>
  <si>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</si>
  <si>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</si>
  <si>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</si>
  <si>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</si>
  <si>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</si>
  <si>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</si>
  <si>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</si>
  <si>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</si>
  <si>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</si>
  <si>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</si>
  <si>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</si>
  <si>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</si>
  <si>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</si>
  <si>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</si>
  <si>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</si>
  <si>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</si>
  <si>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</si>
  <si>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</si>
  <si>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</si>
  <si>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</si>
  <si>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</si>
  <si>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</si>
  <si>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</si>
  <si>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</si>
  <si>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</si>
  <si>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</si>
  <si>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</si>
  <si>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</si>
  <si>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</si>
  <si>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</si>
  <si>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</si>
  <si>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</si>
  <si>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</si>
  <si>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</si>
  <si>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</si>
  <si>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</si>
  <si>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</si>
  <si>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</si>
  <si>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</si>
  <si>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</si>
  <si>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</si>
  <si>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</si>
  <si>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</si>
  <si>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</si>
  <si>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</si>
  <si>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</si>
  <si>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</si>
  <si>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</si>
  <si>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</si>
  <si>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</si>
  <si>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</si>
  <si>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</si>
  <si>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</si>
  <si>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</si>
  <si>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</si>
  <si>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</si>
  <si>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</si>
  <si>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</si>
  <si>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</si>
  <si>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</si>
  <si>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</si>
  <si>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</si>
  <si>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</si>
  <si>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</si>
  <si>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</si>
  <si>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</si>
  <si>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</si>
  <si>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</si>
  <si>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</si>
  <si>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</si>
  <si>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</si>
  <si>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</si>
  <si>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</si>
  <si>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</si>
  <si>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</si>
  <si>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</si>
  <si>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</si>
  <si>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</si>
  <si>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</si>
  <si>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</si>
  <si>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</si>
  <si>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</si>
  <si>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</si>
  <si>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</si>
  <si>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</si>
  <si>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</si>
  <si>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</si>
  <si>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</si>
  <si>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</si>
  <si>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</si>
  <si>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</si>
  <si>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</si>
  <si>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</si>
  <si>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</si>
  <si>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</si>
  <si>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</si>
  <si>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</si>
  <si>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</si>
  <si>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</si>
  <si>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</si>
  <si>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</si>
  <si>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</si>
  <si>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</si>
  <si>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</si>
  <si>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</si>
  <si>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</si>
  <si>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</si>
  <si>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</si>
  <si>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</si>
  <si>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</si>
  <si>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</si>
  <si>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</si>
  <si>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</si>
  <si>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</si>
  <si>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</si>
  <si>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</si>
  <si>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</si>
  <si>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</si>
  <si>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</si>
  <si>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</si>
  <si>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</si>
  <si>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</si>
  <si>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</si>
  <si>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</si>
  <si>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</si>
  <si>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</si>
  <si>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</si>
  <si>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</si>
  <si>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</si>
  <si>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</si>
  <si>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</si>
  <si>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</si>
  <si>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</si>
  <si>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</si>
  <si>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</si>
  <si>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</si>
  <si>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</si>
  <si>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</si>
  <si>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</si>
  <si>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</si>
  <si>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</si>
  <si>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</si>
  <si>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</si>
  <si>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</si>
  <si>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</si>
  <si>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</si>
  <si>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</si>
  <si>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</si>
  <si>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</si>
  <si>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</si>
  <si>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</si>
  <si>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</si>
  <si>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</si>
  <si>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</si>
  <si>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</si>
  <si>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</si>
  <si>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</si>
  <si>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</si>
  <si>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</si>
  <si>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</si>
  <si>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</si>
  <si>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</si>
  <si>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</si>
  <si>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</si>
  <si>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</si>
  <si>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</si>
  <si>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</si>
  <si>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</si>
  <si>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</si>
  <si>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</si>
  <si>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</si>
  <si>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</si>
  <si>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</si>
  <si>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</si>
  <si>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</si>
  <si>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</si>
  <si>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</si>
  <si>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</si>
  <si>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</si>
  <si>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</si>
  <si>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</si>
  <si>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</si>
  <si>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</si>
  <si>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</si>
  <si>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</si>
  <si>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</si>
  <si>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</si>
  <si>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</si>
  <si>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</si>
  <si>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</si>
  <si>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</si>
  <si>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</si>
  <si>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</si>
  <si>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</si>
  <si>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</si>
  <si>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</si>
  <si>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</si>
  <si>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</si>
  <si>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</si>
  <si>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</si>
  <si>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</si>
  <si>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</si>
  <si>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</si>
  <si>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</si>
  <si>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</si>
  <si>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</si>
  <si>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</si>
  <si>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</si>
  <si>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</si>
  <si>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</si>
  <si>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</si>
  <si>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</si>
  <si>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</si>
  <si>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</si>
  <si>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</si>
  <si>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</si>
  <si>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</si>
  <si>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</si>
  <si>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</si>
  <si>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</si>
  <si>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</si>
  <si>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</si>
  <si>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</si>
  <si>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</si>
  <si>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</si>
  <si>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</si>
  <si>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</si>
  <si>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</si>
  <si>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</si>
  <si>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</si>
  <si>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</si>
  <si>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</si>
  <si>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</si>
  <si>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</si>
  <si>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</si>
  <si>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</si>
  <si>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</si>
  <si>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</si>
  <si>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</si>
  <si>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</si>
  <si>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</si>
  <si>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</si>
  <si>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</si>
  <si>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</si>
  <si>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</si>
  <si>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</si>
  <si>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</si>
  <si>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</si>
  <si>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</si>
  <si>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</si>
  <si>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</si>
  <si>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</si>
  <si>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</si>
  <si>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</si>
  <si>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</si>
  <si>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</si>
  <si>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</si>
  <si>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</si>
  <si>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</si>
  <si>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</si>
  <si>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</si>
  <si>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</si>
  <si>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</si>
  <si>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</si>
  <si>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</si>
  <si>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</si>
  <si>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</si>
  <si>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</si>
  <si>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</si>
  <si>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</si>
  <si>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</si>
  <si>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</si>
  <si>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</si>
  <si>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</si>
  <si>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</si>
  <si>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</si>
  <si>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</si>
  <si>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</si>
  <si>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</si>
  <si>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</si>
  <si>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</si>
  <si>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</si>
  <si>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</si>
  <si>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</si>
  <si>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</si>
  <si>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</si>
  <si>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</si>
  <si>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</si>
  <si>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</si>
  <si>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</si>
  <si>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</si>
  <si>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</si>
  <si>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</si>
  <si>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</si>
  <si>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</si>
  <si>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</si>
  <si>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</si>
  <si>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</si>
  <si>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</si>
  <si>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</si>
  <si>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</si>
  <si>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</si>
  <si>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</si>
  <si>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</si>
  <si>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</si>
  <si>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</si>
  <si>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</si>
  <si>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</si>
  <si>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</si>
  <si>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</si>
  <si>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</si>
  <si>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</si>
  <si>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</si>
  <si>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</si>
  <si>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</si>
  <si>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</si>
  <si>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</si>
  <si>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</si>
  <si>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</si>
  <si>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</si>
  <si>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</si>
  <si>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</si>
  <si>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</si>
  <si>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</si>
  <si>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</si>
  <si>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</si>
  <si>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</si>
  <si>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</si>
  <si>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</si>
  <si>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</si>
  <si>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</si>
  <si>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</si>
  <si>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</si>
  <si>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</si>
  <si>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</si>
  <si>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</si>
  <si>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</si>
  <si>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</si>
  <si>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</si>
  <si>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</si>
  <si>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</si>
  <si>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</si>
  <si>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</si>
  <si>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</si>
  <si>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</si>
  <si>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</si>
  <si>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</si>
  <si>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</si>
  <si>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</si>
  <si>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</si>
  <si>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</si>
  <si>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</si>
  <si>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</si>
  <si>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</si>
  <si>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</si>
  <si>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</si>
  <si>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</si>
  <si>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</si>
  <si>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</si>
  <si>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</si>
  <si>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</si>
  <si>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</si>
  <si>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</si>
  <si>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</si>
  <si>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</si>
  <si>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</si>
  <si>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</si>
  <si>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</si>
  <si>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</si>
  <si>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</si>
  <si>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</si>
  <si>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</si>
  <si>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</si>
  <si>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</si>
  <si>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</si>
  <si>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</si>
  <si>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</si>
  <si>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</si>
  <si>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</si>
  <si>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</si>
  <si>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</si>
  <si>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</si>
  <si>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</si>
  <si>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</si>
  <si>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</si>
  <si>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</si>
  <si>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</si>
  <si>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</si>
  <si>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</si>
  <si>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</si>
  <si>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</si>
  <si>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</si>
  <si>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</si>
  <si>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</si>
  <si>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</si>
  <si>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</si>
  <si>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</si>
  <si>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</si>
  <si>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</si>
  <si>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</si>
  <si>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</si>
  <si>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</si>
  <si>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</si>
  <si>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</si>
  <si>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</si>
  <si>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</si>
  <si>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</si>
  <si>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</si>
  <si>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</si>
  <si>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</si>
  <si>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</si>
  <si>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</si>
  <si>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</si>
  <si>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</si>
  <si>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</si>
  <si>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</si>
  <si>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</si>
  <si>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</si>
  <si>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</si>
  <si>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</si>
  <si>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</si>
  <si>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</si>
  <si>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</si>
  <si>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</si>
  <si>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</si>
  <si>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</si>
  <si>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</si>
  <si>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</si>
  <si>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</si>
  <si>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</si>
  <si>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</si>
  <si>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</si>
  <si>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</si>
  <si>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</si>
  <si>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</si>
  <si>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</si>
  <si>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</si>
  <si>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</si>
  <si>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</si>
  <si>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</si>
  <si>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</si>
  <si>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</si>
  <si>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</si>
  <si>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</si>
  <si>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</si>
  <si>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</si>
  <si>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</si>
  <si>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</si>
  <si>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</si>
  <si>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</si>
  <si>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</si>
  <si>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</si>
  <si>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</si>
  <si>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</si>
  <si>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</si>
  <si>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</si>
  <si>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</si>
  <si>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</si>
  <si>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</si>
  <si>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</si>
  <si>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</si>
  <si>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</si>
  <si>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</si>
  <si>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</si>
  <si>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</si>
  <si>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</si>
  <si>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</si>
  <si>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</si>
  <si>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</si>
  <si>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</si>
  <si>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</si>
  <si>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</si>
  <si>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</si>
  <si>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</si>
  <si>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</si>
  <si>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</si>
  <si>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</si>
  <si>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</si>
  <si>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</si>
  <si>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</si>
  <si>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</si>
  <si>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</si>
  <si>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</si>
  <si>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</si>
  <si>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</si>
  <si>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</si>
  <si>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</si>
  <si>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</si>
  <si>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</si>
  <si>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</si>
  <si>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</si>
  <si>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</si>
  <si>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</si>
  <si>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</si>
  <si>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</si>
  <si>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</si>
  <si>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</si>
  <si>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</si>
  <si>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</si>
  <si>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</si>
  <si>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</si>
  <si>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</si>
  <si>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</si>
  <si>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</si>
  <si>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</si>
  <si>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</si>
  <si>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</si>
  <si>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</si>
  <si>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</si>
  <si>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</si>
  <si>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</si>
  <si>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</si>
  <si>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</si>
  <si>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</si>
  <si>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</si>
  <si>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</si>
  <si>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</si>
  <si>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</si>
  <si>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</si>
  <si>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</si>
  <si>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</si>
  <si>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</si>
  <si>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</si>
  <si>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</si>
  <si>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</si>
  <si>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</si>
  <si>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</si>
  <si>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</si>
  <si>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</si>
  <si>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</si>
  <si>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</si>
  <si>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</si>
  <si>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</si>
  <si>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</si>
  <si>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</si>
  <si>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</si>
  <si>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</si>
  <si>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</si>
  <si>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</si>
  <si>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</si>
  <si>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</si>
  <si>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</si>
  <si>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</si>
  <si>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</si>
  <si>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</si>
  <si>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</si>
  <si>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</si>
  <si>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</si>
  <si>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</si>
  <si>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</si>
  <si>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</si>
  <si>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</si>
  <si>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</si>
  <si>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</si>
  <si>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</si>
  <si>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</si>
  <si>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</si>
  <si>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</si>
  <si>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</si>
  <si>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</si>
  <si>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</si>
  <si>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</si>
  <si>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</si>
  <si>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</si>
  <si>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</si>
  <si>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</si>
  <si>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</si>
  <si>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</si>
  <si>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</si>
  <si>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</si>
  <si>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</si>
  <si>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</si>
  <si>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</si>
  <si>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</si>
  <si>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</si>
  <si>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</si>
  <si>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</si>
  <si>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</si>
  <si>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</si>
  <si>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</si>
  <si>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</si>
  <si>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</si>
  <si>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</si>
  <si>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</si>
  <si>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</si>
  <si>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</si>
  <si>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</si>
  <si>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</si>
  <si>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</si>
  <si>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</si>
  <si>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</si>
  <si>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</si>
  <si>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</si>
  <si>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</si>
  <si>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</si>
  <si>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</si>
  <si>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</si>
  <si>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</si>
  <si>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</si>
  <si>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</si>
  <si>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</si>
  <si>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</si>
  <si>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</si>
  <si>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</si>
  <si>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</si>
  <si>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</si>
  <si>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</si>
  <si>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</si>
  <si>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</si>
  <si>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</si>
  <si>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</si>
  <si>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</si>
  <si>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</si>
  <si>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</si>
  <si>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</si>
  <si>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</si>
  <si>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</si>
  <si>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</si>
  <si>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</si>
  <si>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</si>
  <si>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</si>
  <si>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</si>
  <si>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</si>
  <si>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</si>
  <si>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</si>
  <si>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</si>
  <si>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</si>
  <si>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</si>
  <si>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</si>
  <si>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</si>
  <si>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</si>
  <si>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</si>
  <si>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</si>
  <si>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</si>
  <si>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</si>
  <si>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</si>
  <si>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</si>
  <si>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</si>
  <si>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</si>
  <si>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</si>
  <si>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</si>
  <si>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</si>
  <si>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</si>
  <si>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</si>
  <si>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</si>
  <si>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</si>
  <si>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</si>
  <si>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</si>
  <si>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</si>
  <si>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</si>
  <si>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</si>
  <si>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</si>
  <si>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</si>
  <si>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</si>
  <si>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</si>
  <si>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</si>
  <si>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</si>
  <si>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</si>
  <si>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</si>
  <si>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</si>
  <si>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</si>
  <si>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</si>
  <si>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</si>
  <si>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</si>
  <si>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</si>
  <si>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</si>
  <si>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</si>
  <si>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</si>
  <si>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</si>
  <si>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</si>
  <si>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</si>
  <si>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</si>
  <si>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</si>
  <si>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</si>
  <si>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</si>
  <si>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</si>
  <si>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</si>
  <si>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</si>
  <si>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</si>
  <si>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</si>
  <si>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</si>
  <si>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</si>
  <si>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</si>
  <si>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</si>
  <si>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</si>
  <si>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</si>
  <si>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</si>
  <si>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</si>
  <si>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</si>
  <si>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</si>
  <si>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</si>
  <si>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</si>
  <si>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</si>
  <si>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</si>
  <si>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</si>
  <si>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</si>
  <si>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</si>
  <si>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</si>
  <si>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</si>
  <si>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</si>
  <si>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</si>
  <si>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</si>
  <si>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</si>
  <si>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</si>
  <si>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</si>
  <si>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</si>
  <si>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</si>
  <si>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</si>
  <si>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</si>
  <si>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</si>
  <si>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</si>
  <si>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</si>
  <si>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</si>
  <si>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</si>
  <si>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</si>
  <si>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</si>
  <si>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</si>
  <si>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</si>
  <si>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</si>
  <si>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</si>
  <si>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</si>
  <si>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</si>
  <si>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</si>
  <si>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</si>
  <si>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</si>
  <si>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</si>
  <si>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</si>
  <si>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</si>
  <si>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</si>
  <si>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</si>
  <si>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</si>
  <si>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</si>
  <si>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</si>
  <si>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</si>
  <si>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</si>
  <si>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</si>
  <si>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</si>
  <si>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</si>
  <si>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</si>
  <si>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</si>
  <si>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</si>
  <si>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</si>
  <si>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</si>
  <si>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</si>
  <si>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</si>
  <si>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</si>
  <si>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</si>
  <si>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</si>
  <si>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</si>
  <si>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</si>
  <si>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</si>
  <si>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</si>
  <si>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</si>
  <si>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</si>
  <si>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</si>
  <si>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</si>
  <si>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</si>
  <si>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</si>
  <si>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</si>
  <si>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</si>
  <si>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</si>
  <si>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</si>
  <si>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</si>
  <si>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</si>
  <si>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</si>
  <si>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</si>
  <si>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</si>
  <si>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</si>
  <si>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</si>
  <si>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</si>
  <si>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</si>
  <si>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</si>
  <si>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</si>
  <si>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</si>
  <si>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</si>
  <si>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</si>
  <si>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</si>
  <si>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</si>
  <si>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</si>
  <si>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</si>
  <si>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</si>
  <si>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</si>
  <si>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</si>
  <si>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</si>
  <si>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</si>
  <si>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</si>
  <si>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</si>
  <si>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</si>
  <si>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</si>
  <si>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</si>
  <si>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</si>
  <si>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</si>
  <si>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</si>
  <si>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</si>
  <si>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</si>
  <si>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</si>
  <si>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</si>
  <si>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</si>
  <si>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</si>
  <si>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</si>
  <si>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</si>
  <si>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</si>
  <si>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</si>
  <si>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</si>
  <si>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</si>
  <si>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</si>
  <si>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</si>
  <si>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</si>
  <si>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</si>
  <si>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</si>
  <si>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</si>
  <si>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</si>
  <si>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</si>
  <si>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</si>
  <si>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</si>
  <si>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</si>
  <si>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</si>
  <si>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</si>
  <si>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</si>
  <si>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</si>
  <si>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</si>
  <si>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</si>
  <si>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</si>
  <si>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</si>
  <si>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</si>
  <si>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</si>
  <si>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</si>
  <si>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</si>
  <si>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</si>
  <si>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</si>
  <si>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</si>
  <si>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</si>
  <si>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</si>
  <si>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</si>
  <si>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</si>
  <si>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</si>
  <si>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</si>
  <si>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</si>
  <si>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</si>
  <si>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</si>
  <si>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</si>
  <si>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</si>
  <si>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</si>
  <si>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</si>
  <si>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</si>
  <si>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</si>
  <si>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</si>
  <si>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</si>
  <si>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</si>
  <si>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</si>
  <si>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42006</t>
  </si>
  <si>
    <t>DENDERMONDE</t>
  </si>
  <si>
    <t>Cultuurgrond (ha)</t>
  </si>
  <si>
    <t>Paarden&amp;pony's 200 - 600 kg</t>
  </si>
  <si>
    <t>Paarden&amp;pony's &lt; 200 kg</t>
  </si>
  <si>
    <t>Fluvius</t>
  </si>
  <si>
    <t>referentietaak LNE (2017); Jaarverslag De Lijn</t>
  </si>
  <si>
    <t>Herman Fierlafijn</t>
  </si>
  <si>
    <t>Lindestraat 64 , 9200 Dendermonde</t>
  </si>
  <si>
    <t>WKK-0346 Herman Fierlafijn</t>
  </si>
  <si>
    <t>interne verbrandingsmotor</t>
  </si>
  <si>
    <t>WKK interne verbrandinsgmotor (gas)</t>
  </si>
  <si>
    <t>INTERGEM</t>
  </si>
  <si>
    <t>Aquafin NV</t>
  </si>
  <si>
    <t>Dijkstraat 8, 2630 Aartselaar</t>
  </si>
  <si>
    <t>BGS-0021 RWZI Dendermonde</t>
  </si>
  <si>
    <t>biogas - RWZI</t>
  </si>
  <si>
    <t>niet WKK interne verbrandingsmotor (gas)</t>
  </si>
  <si>
    <t>Driebek 9, 9200 Dendermonde</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</si>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</sst>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370337.70334214478</c:v>
                </c:pt>
                <c:pt idx="1">
                  <c:v>215794.14263414274</c:v>
                </c:pt>
                <c:pt idx="2">
                  <c:v>3058.712</c:v>
                </c:pt>
                <c:pt idx="3">
                  <c:v>7165.4969192362323</c:v>
                </c:pt>
                <c:pt idx="4">
                  <c:v>185179.28428527573</c:v>
                </c:pt>
                <c:pt idx="5">
                  <c:v>211103.07504983459</c:v>
                </c:pt>
                <c:pt idx="6">
                  <c:v>4048.1339985231621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370337.70334214478</c:v>
                </c:pt>
                <c:pt idx="1">
                  <c:v>215794.14263414274</c:v>
                </c:pt>
                <c:pt idx="2">
                  <c:v>3058.712</c:v>
                </c:pt>
                <c:pt idx="3">
                  <c:v>7165.4969192362323</c:v>
                </c:pt>
                <c:pt idx="4">
                  <c:v>185179.28428527573</c:v>
                </c:pt>
                <c:pt idx="5">
                  <c:v>211103.07504983459</c:v>
                </c:pt>
                <c:pt idx="6">
                  <c:v>4048.1339985231621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71524.746647933978</c:v>
                </c:pt>
                <c:pt idx="2">
                  <c:v>43782.930593733625</c:v>
                </c:pt>
                <c:pt idx="3">
                  <c:v>602.40507310805958</c:v>
                </c:pt>
                <c:pt idx="4">
                  <c:v>1698.4150770003805</c:v>
                </c:pt>
                <c:pt idx="5">
                  <c:v>38338.807491651962</c:v>
                </c:pt>
                <c:pt idx="6">
                  <c:v>53373.559966798341</c:v>
                </c:pt>
                <c:pt idx="7">
                  <c:v>1034.7923155643216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71524.746647933978</c:v>
                </c:pt>
                <c:pt idx="2">
                  <c:v>43782.930593733625</c:v>
                </c:pt>
                <c:pt idx="3">
                  <c:v>602.40507310805958</c:v>
                </c:pt>
                <c:pt idx="4">
                  <c:v>1698.4150770003805</c:v>
                </c:pt>
                <c:pt idx="5">
                  <c:v>38338.807491651962</c:v>
                </c:pt>
                <c:pt idx="6">
                  <c:v>53373.559966798341</c:v>
                </c:pt>
                <c:pt idx="7">
                  <c:v>1034.7923155643216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42006</v>
      </c>
      <c r="B6" s="395"/>
      <c r="C6" s="396"/>
    </row>
    <row r="7" spans="1:7" s="393" customFormat="1" ht="15.75" customHeight="1">
      <c r="A7" s="397" t="str">
        <f>txtMunicipality</f>
        <v>DENDERMONDE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0.1969473010561503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0.1969473010561503</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19361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2045</v>
      </c>
      <c r="C14" s="332"/>
      <c r="D14" s="332"/>
      <c r="E14" s="332"/>
      <c r="F14" s="332"/>
    </row>
    <row r="15" spans="1:6">
      <c r="A15" s="1306" t="s">
        <v>183</v>
      </c>
      <c r="B15" s="1307">
        <v>506</v>
      </c>
      <c r="C15" s="332"/>
      <c r="D15" s="332"/>
      <c r="E15" s="332"/>
      <c r="F15" s="332"/>
    </row>
    <row r="16" spans="1:6">
      <c r="A16" s="1306" t="s">
        <v>6</v>
      </c>
      <c r="B16" s="1307">
        <v>650</v>
      </c>
      <c r="C16" s="332"/>
      <c r="D16" s="332"/>
      <c r="E16" s="332"/>
      <c r="F16" s="332"/>
    </row>
    <row r="17" spans="1:6">
      <c r="A17" s="1306" t="s">
        <v>7</v>
      </c>
      <c r="B17" s="1307">
        <v>833</v>
      </c>
      <c r="C17" s="332"/>
      <c r="D17" s="332"/>
      <c r="E17" s="332"/>
      <c r="F17" s="332"/>
    </row>
    <row r="18" spans="1:6">
      <c r="A18" s="1306" t="s">
        <v>8</v>
      </c>
      <c r="B18" s="1307">
        <v>1122</v>
      </c>
      <c r="C18" s="332"/>
      <c r="D18" s="332"/>
      <c r="E18" s="332"/>
      <c r="F18" s="332"/>
    </row>
    <row r="19" spans="1:6">
      <c r="A19" s="1306" t="s">
        <v>9</v>
      </c>
      <c r="B19" s="1307">
        <v>1047</v>
      </c>
      <c r="C19" s="332"/>
      <c r="D19" s="332"/>
      <c r="E19" s="332"/>
      <c r="F19" s="332"/>
    </row>
    <row r="20" spans="1:6">
      <c r="A20" s="1306" t="s">
        <v>10</v>
      </c>
      <c r="B20" s="1307">
        <v>949</v>
      </c>
      <c r="C20" s="332"/>
      <c r="D20" s="332"/>
      <c r="E20" s="332"/>
      <c r="F20" s="332"/>
    </row>
    <row r="21" spans="1:6">
      <c r="A21" s="1306" t="s">
        <v>11</v>
      </c>
      <c r="B21" s="1307">
        <v>28</v>
      </c>
      <c r="C21" s="332"/>
      <c r="D21" s="332"/>
      <c r="E21" s="332"/>
      <c r="F21" s="332"/>
    </row>
    <row r="22" spans="1:6">
      <c r="A22" s="1306" t="s">
        <v>12</v>
      </c>
      <c r="B22" s="1307">
        <v>4386</v>
      </c>
      <c r="C22" s="332"/>
      <c r="D22" s="332"/>
      <c r="E22" s="332"/>
      <c r="F22" s="332"/>
    </row>
    <row r="23" spans="1:6">
      <c r="A23" s="1306" t="s">
        <v>13</v>
      </c>
      <c r="B23" s="1307">
        <v>1</v>
      </c>
      <c r="C23" s="332"/>
      <c r="D23" s="332"/>
      <c r="E23" s="332"/>
      <c r="F23" s="332"/>
    </row>
    <row r="24" spans="1:6">
      <c r="A24" s="1306" t="s">
        <v>14</v>
      </c>
      <c r="B24" s="1307">
        <v>0</v>
      </c>
      <c r="C24" s="332"/>
      <c r="D24" s="332"/>
      <c r="E24" s="332"/>
      <c r="F24" s="332"/>
    </row>
    <row r="25" spans="1:6">
      <c r="A25" s="1306" t="s">
        <v>15</v>
      </c>
      <c r="B25" s="1307">
        <v>5</v>
      </c>
      <c r="C25" s="332"/>
      <c r="D25" s="332"/>
      <c r="E25" s="332"/>
      <c r="F25" s="332"/>
    </row>
    <row r="26" spans="1:6">
      <c r="A26" s="1306" t="s">
        <v>16</v>
      </c>
      <c r="B26" s="1307">
        <v>846</v>
      </c>
      <c r="C26" s="332"/>
      <c r="D26" s="332"/>
      <c r="E26" s="332"/>
      <c r="F26" s="332"/>
    </row>
    <row r="27" spans="1:6">
      <c r="A27" s="1306" t="s">
        <v>17</v>
      </c>
      <c r="B27" s="1307">
        <v>2</v>
      </c>
      <c r="C27" s="332"/>
      <c r="D27" s="332"/>
      <c r="E27" s="332"/>
      <c r="F27" s="332"/>
    </row>
    <row r="28" spans="1:6" s="43" customFormat="1">
      <c r="A28" s="1308" t="s">
        <v>18</v>
      </c>
      <c r="B28" s="1309">
        <v>86971</v>
      </c>
      <c r="C28" s="338"/>
      <c r="D28" s="338"/>
      <c r="E28" s="338"/>
      <c r="F28" s="338"/>
    </row>
    <row r="29" spans="1:6">
      <c r="A29" s="1308" t="s">
        <v>916</v>
      </c>
      <c r="B29" s="1309">
        <v>306</v>
      </c>
      <c r="C29" s="338"/>
      <c r="D29" s="338"/>
      <c r="E29" s="338"/>
      <c r="F29" s="338"/>
    </row>
    <row r="30" spans="1:6">
      <c r="A30" s="1301" t="s">
        <v>917</v>
      </c>
      <c r="B30" s="1310">
        <v>42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9</v>
      </c>
      <c r="D36" s="1307">
        <v>3221494.3782540602</v>
      </c>
      <c r="E36" s="1307">
        <v>5</v>
      </c>
      <c r="F36" s="1307">
        <v>18760.694133535999</v>
      </c>
    </row>
    <row r="37" spans="1:6">
      <c r="A37" s="1306" t="s">
        <v>24</v>
      </c>
      <c r="B37" s="1306" t="s">
        <v>27</v>
      </c>
      <c r="C37" s="1307">
        <v>0</v>
      </c>
      <c r="D37" s="1307">
        <v>0</v>
      </c>
      <c r="E37" s="1307">
        <v>0</v>
      </c>
      <c r="F37" s="1307">
        <v>0</v>
      </c>
    </row>
    <row r="38" spans="1:6">
      <c r="A38" s="1306" t="s">
        <v>24</v>
      </c>
      <c r="B38" s="1306" t="s">
        <v>28</v>
      </c>
      <c r="C38" s="1307">
        <v>0</v>
      </c>
      <c r="D38" s="1307">
        <v>0</v>
      </c>
      <c r="E38" s="1307">
        <v>3</v>
      </c>
      <c r="F38" s="1307">
        <v>9692.5626600800006</v>
      </c>
    </row>
    <row r="39" spans="1:6">
      <c r="A39" s="1306" t="s">
        <v>29</v>
      </c>
      <c r="B39" s="1306" t="s">
        <v>30</v>
      </c>
      <c r="C39" s="1307">
        <v>14143</v>
      </c>
      <c r="D39" s="1307">
        <v>247415713.29236799</v>
      </c>
      <c r="E39" s="1307">
        <v>19349</v>
      </c>
      <c r="F39" s="1307">
        <v>70545118.954124093</v>
      </c>
    </row>
    <row r="40" spans="1:6">
      <c r="A40" s="1306" t="s">
        <v>29</v>
      </c>
      <c r="B40" s="1306" t="s">
        <v>28</v>
      </c>
      <c r="C40" s="1307">
        <v>0</v>
      </c>
      <c r="D40" s="1307">
        <v>0</v>
      </c>
      <c r="E40" s="1307">
        <v>0</v>
      </c>
      <c r="F40" s="1307">
        <v>0</v>
      </c>
    </row>
    <row r="41" spans="1:6">
      <c r="A41" s="1306" t="s">
        <v>31</v>
      </c>
      <c r="B41" s="1306" t="s">
        <v>32</v>
      </c>
      <c r="C41" s="1307">
        <v>165</v>
      </c>
      <c r="D41" s="1307">
        <v>4727018.7099060901</v>
      </c>
      <c r="E41" s="1307">
        <v>346</v>
      </c>
      <c r="F41" s="1307">
        <v>16603549.454318101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16</v>
      </c>
      <c r="D44" s="1307">
        <v>9048219.8520910107</v>
      </c>
      <c r="E44" s="1307">
        <v>43</v>
      </c>
      <c r="F44" s="1307">
        <v>10846204.011902399</v>
      </c>
    </row>
    <row r="45" spans="1:6">
      <c r="A45" s="1306" t="s">
        <v>31</v>
      </c>
      <c r="B45" s="1306" t="s">
        <v>36</v>
      </c>
      <c r="C45" s="1307">
        <v>0</v>
      </c>
      <c r="D45" s="1307">
        <v>0</v>
      </c>
      <c r="E45" s="1307">
        <v>5</v>
      </c>
      <c r="F45" s="1307">
        <v>184532.39407987101</v>
      </c>
    </row>
    <row r="46" spans="1:6">
      <c r="A46" s="1306" t="s">
        <v>31</v>
      </c>
      <c r="B46" s="1306" t="s">
        <v>37</v>
      </c>
      <c r="C46" s="1307">
        <v>0</v>
      </c>
      <c r="D46" s="1307">
        <v>0</v>
      </c>
      <c r="E46" s="1307">
        <v>0</v>
      </c>
      <c r="F46" s="1307">
        <v>0</v>
      </c>
    </row>
    <row r="47" spans="1:6">
      <c r="A47" s="1306" t="s">
        <v>31</v>
      </c>
      <c r="B47" s="1306" t="s">
        <v>38</v>
      </c>
      <c r="C47" s="1307">
        <v>13</v>
      </c>
      <c r="D47" s="1307">
        <v>2839317.3384687598</v>
      </c>
      <c r="E47" s="1307">
        <v>18</v>
      </c>
      <c r="F47" s="1307">
        <v>647684.43500492501</v>
      </c>
    </row>
    <row r="48" spans="1:6">
      <c r="A48" s="1306" t="s">
        <v>31</v>
      </c>
      <c r="B48" s="1306" t="s">
        <v>28</v>
      </c>
      <c r="C48" s="1307">
        <v>41</v>
      </c>
      <c r="D48" s="1307">
        <v>66310741.279931404</v>
      </c>
      <c r="E48" s="1307">
        <v>50</v>
      </c>
      <c r="F48" s="1307">
        <v>21559620.8055888</v>
      </c>
    </row>
    <row r="49" spans="1:6">
      <c r="A49" s="1306" t="s">
        <v>31</v>
      </c>
      <c r="B49" s="1306" t="s">
        <v>39</v>
      </c>
      <c r="C49" s="1307">
        <v>0</v>
      </c>
      <c r="D49" s="1307">
        <v>0</v>
      </c>
      <c r="E49" s="1307">
        <v>3</v>
      </c>
      <c r="F49" s="1307">
        <v>9257.0241749523993</v>
      </c>
    </row>
    <row r="50" spans="1:6">
      <c r="A50" s="1306" t="s">
        <v>31</v>
      </c>
      <c r="B50" s="1306" t="s">
        <v>40</v>
      </c>
      <c r="C50" s="1307">
        <v>30</v>
      </c>
      <c r="D50" s="1307">
        <v>3244966.10719092</v>
      </c>
      <c r="E50" s="1307">
        <v>49</v>
      </c>
      <c r="F50" s="1307">
        <v>10355558.705710599</v>
      </c>
    </row>
    <row r="51" spans="1:6">
      <c r="A51" s="1306" t="s">
        <v>41</v>
      </c>
      <c r="B51" s="1306" t="s">
        <v>42</v>
      </c>
      <c r="C51" s="1307">
        <v>5</v>
      </c>
      <c r="D51" s="1307">
        <v>80268.356994557602</v>
      </c>
      <c r="E51" s="1307">
        <v>70</v>
      </c>
      <c r="F51" s="1307">
        <v>938357.09732357401</v>
      </c>
    </row>
    <row r="52" spans="1:6">
      <c r="A52" s="1306" t="s">
        <v>41</v>
      </c>
      <c r="B52" s="1306" t="s">
        <v>28</v>
      </c>
      <c r="C52" s="1307">
        <v>9</v>
      </c>
      <c r="D52" s="1307">
        <v>2153557.1650614999</v>
      </c>
      <c r="E52" s="1307">
        <v>8</v>
      </c>
      <c r="F52" s="1307">
        <v>161399.89821740301</v>
      </c>
    </row>
    <row r="53" spans="1:6">
      <c r="A53" s="1306" t="s">
        <v>43</v>
      </c>
      <c r="B53" s="1306" t="s">
        <v>44</v>
      </c>
      <c r="C53" s="1307">
        <v>358</v>
      </c>
      <c r="D53" s="1307">
        <v>11597848.512372101</v>
      </c>
      <c r="E53" s="1307">
        <v>626</v>
      </c>
      <c r="F53" s="1307">
        <v>3061153.4169344101</v>
      </c>
    </row>
    <row r="54" spans="1:6">
      <c r="A54" s="1306" t="s">
        <v>45</v>
      </c>
      <c r="B54" s="1306" t="s">
        <v>46</v>
      </c>
      <c r="C54" s="1307">
        <v>0</v>
      </c>
      <c r="D54" s="1307">
        <v>0</v>
      </c>
      <c r="E54" s="1307">
        <v>1</v>
      </c>
      <c r="F54" s="1307">
        <v>3058712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180</v>
      </c>
      <c r="D57" s="1307">
        <v>15704207.2097039</v>
      </c>
      <c r="E57" s="1307">
        <v>360</v>
      </c>
      <c r="F57" s="1307">
        <v>12635804.7590163</v>
      </c>
    </row>
    <row r="58" spans="1:6">
      <c r="A58" s="1306" t="s">
        <v>48</v>
      </c>
      <c r="B58" s="1306" t="s">
        <v>50</v>
      </c>
      <c r="C58" s="1307">
        <v>70</v>
      </c>
      <c r="D58" s="1307">
        <v>8947248.5384513997</v>
      </c>
      <c r="E58" s="1307">
        <v>131</v>
      </c>
      <c r="F58" s="1307">
        <v>9912690.7454530504</v>
      </c>
    </row>
    <row r="59" spans="1:6">
      <c r="A59" s="1306" t="s">
        <v>48</v>
      </c>
      <c r="B59" s="1306" t="s">
        <v>51</v>
      </c>
      <c r="C59" s="1307">
        <v>369</v>
      </c>
      <c r="D59" s="1307">
        <v>20450153.514740799</v>
      </c>
      <c r="E59" s="1307">
        <v>597</v>
      </c>
      <c r="F59" s="1307">
        <v>25922467.1743927</v>
      </c>
    </row>
    <row r="60" spans="1:6">
      <c r="A60" s="1306" t="s">
        <v>48</v>
      </c>
      <c r="B60" s="1306" t="s">
        <v>52</v>
      </c>
      <c r="C60" s="1307">
        <v>197</v>
      </c>
      <c r="D60" s="1307">
        <v>8588354.6535110604</v>
      </c>
      <c r="E60" s="1307">
        <v>232</v>
      </c>
      <c r="F60" s="1307">
        <v>5282801.5201318804</v>
      </c>
    </row>
    <row r="61" spans="1:6">
      <c r="A61" s="1306" t="s">
        <v>48</v>
      </c>
      <c r="B61" s="1306" t="s">
        <v>53</v>
      </c>
      <c r="C61" s="1307">
        <v>439</v>
      </c>
      <c r="D61" s="1307">
        <v>50673560.848229401</v>
      </c>
      <c r="E61" s="1307">
        <v>844</v>
      </c>
      <c r="F61" s="1307">
        <v>25288328.215330701</v>
      </c>
    </row>
    <row r="62" spans="1:6">
      <c r="A62" s="1306" t="s">
        <v>48</v>
      </c>
      <c r="B62" s="1306" t="s">
        <v>54</v>
      </c>
      <c r="C62" s="1307">
        <v>43</v>
      </c>
      <c r="D62" s="1307">
        <v>8313686.86509299</v>
      </c>
      <c r="E62" s="1307">
        <v>56</v>
      </c>
      <c r="F62" s="1307">
        <v>2274099.8012078502</v>
      </c>
    </row>
    <row r="63" spans="1:6">
      <c r="A63" s="1306" t="s">
        <v>48</v>
      </c>
      <c r="B63" s="1306" t="s">
        <v>28</v>
      </c>
      <c r="C63" s="1307">
        <v>115</v>
      </c>
      <c r="D63" s="1307">
        <v>7297845.0033065304</v>
      </c>
      <c r="E63" s="1307">
        <v>114</v>
      </c>
      <c r="F63" s="1307">
        <v>3740530.41398424</v>
      </c>
    </row>
    <row r="64" spans="1:6">
      <c r="A64" s="1306" t="s">
        <v>55</v>
      </c>
      <c r="B64" s="1306" t="s">
        <v>56</v>
      </c>
      <c r="C64" s="1307">
        <v>0</v>
      </c>
      <c r="D64" s="1307">
        <v>0</v>
      </c>
      <c r="E64" s="1307">
        <v>0</v>
      </c>
      <c r="F64" s="1307">
        <v>0</v>
      </c>
    </row>
    <row r="65" spans="1:6">
      <c r="A65" s="1306" t="s">
        <v>55</v>
      </c>
      <c r="B65" s="1306" t="s">
        <v>28</v>
      </c>
      <c r="C65" s="1307">
        <v>4</v>
      </c>
      <c r="D65" s="1307">
        <v>134052.58244455201</v>
      </c>
      <c r="E65" s="1307">
        <v>8</v>
      </c>
      <c r="F65" s="1307">
        <v>41167.707261814103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12</v>
      </c>
      <c r="D68" s="1310">
        <v>3290587.9687323598</v>
      </c>
      <c r="E68" s="1310">
        <v>19</v>
      </c>
      <c r="F68" s="1310">
        <v>790756.046304313</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170235112</v>
      </c>
      <c r="E73" s="456"/>
      <c r="F73" s="332"/>
    </row>
    <row r="74" spans="1:6">
      <c r="A74" s="1306" t="s">
        <v>63</v>
      </c>
      <c r="B74" s="1306" t="s">
        <v>724</v>
      </c>
      <c r="C74" s="1320" t="s">
        <v>725</v>
      </c>
      <c r="D74" s="1321">
        <v>19357905.127864506</v>
      </c>
      <c r="E74" s="456"/>
      <c r="F74" s="332"/>
    </row>
    <row r="75" spans="1:6">
      <c r="A75" s="1306" t="s">
        <v>64</v>
      </c>
      <c r="B75" s="1306" t="s">
        <v>722</v>
      </c>
      <c r="C75" s="1320" t="s">
        <v>726</v>
      </c>
      <c r="D75" s="1321">
        <v>50284890</v>
      </c>
      <c r="E75" s="456"/>
      <c r="F75" s="332"/>
    </row>
    <row r="76" spans="1:6">
      <c r="A76" s="1306" t="s">
        <v>64</v>
      </c>
      <c r="B76" s="1306" t="s">
        <v>724</v>
      </c>
      <c r="C76" s="1320" t="s">
        <v>727</v>
      </c>
      <c r="D76" s="1321">
        <v>2035969.1278645042</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1071163.7442709913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8464.710943</v>
      </c>
      <c r="C90" s="332"/>
      <c r="D90" s="332"/>
      <c r="E90" s="332"/>
      <c r="F90" s="332"/>
    </row>
    <row r="91" spans="1:6">
      <c r="A91" s="1306" t="s">
        <v>67</v>
      </c>
      <c r="B91" s="1307">
        <v>5809.6605039029055</v>
      </c>
      <c r="C91" s="332"/>
      <c r="D91" s="332"/>
      <c r="E91" s="332"/>
      <c r="F91" s="332"/>
    </row>
    <row r="92" spans="1:6">
      <c r="A92" s="1301" t="s">
        <v>68</v>
      </c>
      <c r="B92" s="1302">
        <v>8404.8175038518875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10345</v>
      </c>
      <c r="C97" s="332"/>
      <c r="D97" s="332"/>
      <c r="E97" s="332"/>
      <c r="F97" s="332"/>
    </row>
    <row r="98" spans="1:6">
      <c r="A98" s="1306" t="s">
        <v>71</v>
      </c>
      <c r="B98" s="1307">
        <v>6</v>
      </c>
      <c r="C98" s="332"/>
      <c r="D98" s="332"/>
      <c r="E98" s="332"/>
      <c r="F98" s="332"/>
    </row>
    <row r="99" spans="1:6">
      <c r="A99" s="1306" t="s">
        <v>72</v>
      </c>
      <c r="B99" s="1307">
        <v>169</v>
      </c>
      <c r="C99" s="332"/>
      <c r="D99" s="332"/>
      <c r="E99" s="332"/>
      <c r="F99" s="332"/>
    </row>
    <row r="100" spans="1:6">
      <c r="A100" s="1306" t="s">
        <v>73</v>
      </c>
      <c r="B100" s="1307">
        <v>1293</v>
      </c>
      <c r="C100" s="332"/>
      <c r="D100" s="332"/>
      <c r="E100" s="332"/>
      <c r="F100" s="332"/>
    </row>
    <row r="101" spans="1:6">
      <c r="A101" s="1306" t="s">
        <v>74</v>
      </c>
      <c r="B101" s="1307">
        <v>147</v>
      </c>
      <c r="C101" s="332"/>
      <c r="D101" s="332"/>
      <c r="E101" s="332"/>
      <c r="F101" s="332"/>
    </row>
    <row r="102" spans="1:6">
      <c r="A102" s="1306" t="s">
        <v>75</v>
      </c>
      <c r="B102" s="1307">
        <v>424</v>
      </c>
      <c r="C102" s="332"/>
      <c r="D102" s="332"/>
      <c r="E102" s="332"/>
      <c r="F102" s="332"/>
    </row>
    <row r="103" spans="1:6">
      <c r="A103" s="1306" t="s">
        <v>76</v>
      </c>
      <c r="B103" s="1307">
        <v>590</v>
      </c>
      <c r="C103" s="332"/>
      <c r="D103" s="332"/>
      <c r="E103" s="332"/>
      <c r="F103" s="332"/>
    </row>
    <row r="104" spans="1:6">
      <c r="A104" s="1306" t="s">
        <v>77</v>
      </c>
      <c r="B104" s="1307">
        <v>4474</v>
      </c>
      <c r="C104" s="332"/>
      <c r="D104" s="332"/>
      <c r="E104" s="332"/>
      <c r="F104" s="332"/>
    </row>
    <row r="105" spans="1:6">
      <c r="A105" s="1301" t="s">
        <v>78</v>
      </c>
      <c r="B105" s="1310">
        <v>17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18</v>
      </c>
      <c r="C123" s="1307">
        <v>21</v>
      </c>
      <c r="D123" s="332"/>
      <c r="E123" s="332"/>
      <c r="F123" s="332"/>
    </row>
    <row r="124" spans="1:6" s="43" customFormat="1">
      <c r="A124" s="1308" t="s">
        <v>88</v>
      </c>
      <c r="B124" s="1329">
        <v>3</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133</v>
      </c>
      <c r="C129" s="332"/>
      <c r="D129" s="332"/>
      <c r="E129" s="332"/>
      <c r="F129" s="332"/>
    </row>
    <row r="130" spans="1:6">
      <c r="A130" s="1306" t="s">
        <v>294</v>
      </c>
      <c r="B130" s="1307">
        <v>2</v>
      </c>
      <c r="C130" s="332"/>
      <c r="D130" s="332"/>
      <c r="E130" s="332"/>
      <c r="F130" s="332"/>
    </row>
    <row r="131" spans="1:6">
      <c r="A131" s="1306" t="s">
        <v>295</v>
      </c>
      <c r="B131" s="1307">
        <v>3</v>
      </c>
      <c r="C131" s="332"/>
      <c r="D131" s="332"/>
      <c r="E131" s="332"/>
      <c r="F131" s="332"/>
    </row>
    <row r="132" spans="1:6">
      <c r="A132" s="1301" t="s">
        <v>296</v>
      </c>
      <c r="B132" s="1302">
        <v>23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231286.05114559451</v>
      </c>
      <c r="C3" s="43" t="s">
        <v>169</v>
      </c>
      <c r="D3" s="43"/>
      <c r="E3" s="156"/>
      <c r="F3" s="43"/>
      <c r="G3" s="43"/>
      <c r="H3" s="43"/>
      <c r="I3" s="43"/>
      <c r="J3" s="43"/>
      <c r="K3" s="96"/>
    </row>
    <row r="4" spans="1:11">
      <c r="A4" s="363" t="s">
        <v>170</v>
      </c>
      <c r="B4" s="49">
        <f>IF(ISERROR('SEAP template'!B78+'SEAP template'!C78),0,'SEAP template'!B78+'SEAP template'!C78)</f>
        <v>25172.188950754793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0.1969473010561503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77.142857142857139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3058.712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3058.712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0.1969473010561503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602.40507310805958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70545.118954124089</v>
      </c>
      <c r="C5" s="17">
        <f>IF(ISERROR('Eigen informatie GS &amp; warmtenet'!B57),0,'Eigen informatie GS &amp; warmtenet'!B57)</f>
        <v>0</v>
      </c>
      <c r="D5" s="30">
        <f>(SUM(HH_hh_gas_kWh,HH_rest_gas_kWh)/1000)*0.902</f>
        <v>223168.97338971595</v>
      </c>
      <c r="E5" s="17">
        <f>B46*B57</f>
        <v>9412.691417952552</v>
      </c>
      <c r="F5" s="17">
        <f>B51*B62</f>
        <v>24847.752359663387</v>
      </c>
      <c r="G5" s="18"/>
      <c r="H5" s="17"/>
      <c r="I5" s="17"/>
      <c r="J5" s="17">
        <f>B50*B61+C50*C61</f>
        <v>7445.5238822316223</v>
      </c>
      <c r="K5" s="17"/>
      <c r="L5" s="17"/>
      <c r="M5" s="17"/>
      <c r="N5" s="17">
        <f>B48*B59+C48*C59</f>
        <v>28025.169501220997</v>
      </c>
      <c r="O5" s="17">
        <f>B69*B70*B71</f>
        <v>243.88000000000002</v>
      </c>
      <c r="P5" s="17">
        <f>B77*B78*B79/1000-B77*B78*B79/1000/B80</f>
        <v>838.93333333333339</v>
      </c>
    </row>
    <row r="6" spans="1:16">
      <c r="A6" s="16" t="s">
        <v>633</v>
      </c>
      <c r="B6" s="779">
        <f>kWh_PV_kleiner_dan_10kW</f>
        <v>5809.6605039029055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76354.779458026998</v>
      </c>
      <c r="C8" s="21">
        <f>C5</f>
        <v>0</v>
      </c>
      <c r="D8" s="21">
        <f>D5</f>
        <v>223168.97338971595</v>
      </c>
      <c r="E8" s="21">
        <f>E5</f>
        <v>9412.691417952552</v>
      </c>
      <c r="F8" s="21">
        <f>F5</f>
        <v>24847.752359663387</v>
      </c>
      <c r="G8" s="21"/>
      <c r="H8" s="21"/>
      <c r="I8" s="21"/>
      <c r="J8" s="21">
        <f>J5</f>
        <v>7445.5238822316223</v>
      </c>
      <c r="K8" s="21"/>
      <c r="L8" s="21">
        <f>L5</f>
        <v>0</v>
      </c>
      <c r="M8" s="21">
        <f>M5</f>
        <v>0</v>
      </c>
      <c r="N8" s="21">
        <f>N5</f>
        <v>28025.169501220997</v>
      </c>
      <c r="O8" s="21">
        <f>O5</f>
        <v>243.88000000000002</v>
      </c>
      <c r="P8" s="21">
        <f>P5</f>
        <v>838.93333333333339</v>
      </c>
    </row>
    <row r="9" spans="1:16">
      <c r="B9" s="19"/>
      <c r="C9" s="19"/>
      <c r="D9" s="261"/>
      <c r="E9" s="19"/>
      <c r="F9" s="19"/>
      <c r="G9" s="19"/>
      <c r="H9" s="19"/>
      <c r="I9" s="19"/>
      <c r="J9" s="19"/>
      <c r="K9" s="19"/>
      <c r="L9" s="19"/>
      <c r="M9" s="19"/>
      <c r="N9" s="19"/>
      <c r="O9" s="19"/>
      <c r="P9" s="19"/>
    </row>
    <row r="10" spans="1:16">
      <c r="A10" s="24" t="s">
        <v>213</v>
      </c>
      <c r="B10" s="25">
        <f ca="1">'EF ele_warmte'!B12</f>
        <v>0.1969473010561503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15037.867736996004</v>
      </c>
      <c r="C12" s="23">
        <f ca="1">C10*C8</f>
        <v>0</v>
      </c>
      <c r="D12" s="23">
        <f>D8*D10</f>
        <v>45080.132624722624</v>
      </c>
      <c r="E12" s="23">
        <f>E10*E8</f>
        <v>2136.6809518752293</v>
      </c>
      <c r="F12" s="23">
        <f>F10*F8</f>
        <v>6634.349880030125</v>
      </c>
      <c r="G12" s="23"/>
      <c r="H12" s="23"/>
      <c r="I12" s="23"/>
      <c r="J12" s="23">
        <f>J10*J8</f>
        <v>2635.7154543099941</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10345</v>
      </c>
      <c r="C18" s="168" t="s">
        <v>110</v>
      </c>
      <c r="D18" s="230"/>
      <c r="E18" s="15"/>
    </row>
    <row r="19" spans="1:7">
      <c r="A19" s="173" t="s">
        <v>71</v>
      </c>
      <c r="B19" s="37">
        <f>aantalw2001_ander</f>
        <v>6</v>
      </c>
      <c r="C19" s="168" t="s">
        <v>110</v>
      </c>
      <c r="D19" s="231"/>
      <c r="E19" s="15"/>
    </row>
    <row r="20" spans="1:7">
      <c r="A20" s="173" t="s">
        <v>72</v>
      </c>
      <c r="B20" s="37">
        <f>aantalw2001_propaan</f>
        <v>169</v>
      </c>
      <c r="C20" s="169">
        <f>IF(ISERROR(B20/SUM($B$20,$B$21,$B$22)*100),0,B20/SUM($B$20,$B$21,$B$22)*100)</f>
        <v>10.503418272218768</v>
      </c>
      <c r="D20" s="231"/>
      <c r="E20" s="15"/>
    </row>
    <row r="21" spans="1:7">
      <c r="A21" s="173" t="s">
        <v>73</v>
      </c>
      <c r="B21" s="37">
        <f>aantalw2001_elektriciteit</f>
        <v>1293</v>
      </c>
      <c r="C21" s="169">
        <f>IF(ISERROR(B21/SUM($B$20,$B$21,$B$22)*100),0,B21/SUM($B$20,$B$21,$B$22)*100)</f>
        <v>80.360472343070228</v>
      </c>
      <c r="D21" s="231"/>
      <c r="E21" s="15"/>
    </row>
    <row r="22" spans="1:7">
      <c r="A22" s="173" t="s">
        <v>74</v>
      </c>
      <c r="B22" s="37">
        <f>aantalw2001_hout</f>
        <v>147</v>
      </c>
      <c r="C22" s="169">
        <f>IF(ISERROR(B22/SUM($B$20,$B$21,$B$22)*100),0,B22/SUM($B$20,$B$21,$B$22)*100)</f>
        <v>9.136109384711002</v>
      </c>
      <c r="D22" s="231"/>
      <c r="E22" s="15"/>
    </row>
    <row r="23" spans="1:7">
      <c r="A23" s="173" t="s">
        <v>75</v>
      </c>
      <c r="B23" s="37">
        <f>aantalw2001_niet_gespec</f>
        <v>424</v>
      </c>
      <c r="C23" s="168" t="s">
        <v>110</v>
      </c>
      <c r="D23" s="230"/>
      <c r="E23" s="15"/>
    </row>
    <row r="24" spans="1:7">
      <c r="A24" s="173" t="s">
        <v>76</v>
      </c>
      <c r="B24" s="37">
        <f>aantalw2001_steenkool</f>
        <v>590</v>
      </c>
      <c r="C24" s="168" t="s">
        <v>110</v>
      </c>
      <c r="D24" s="231"/>
      <c r="E24" s="15"/>
    </row>
    <row r="25" spans="1:7">
      <c r="A25" s="173" t="s">
        <v>77</v>
      </c>
      <c r="B25" s="37">
        <f>aantalw2001_stookolie</f>
        <v>4474</v>
      </c>
      <c r="C25" s="168" t="s">
        <v>110</v>
      </c>
      <c r="D25" s="230"/>
      <c r="E25" s="52"/>
    </row>
    <row r="26" spans="1:7">
      <c r="A26" s="173" t="s">
        <v>78</v>
      </c>
      <c r="B26" s="37">
        <f>aantalw2001_WP</f>
        <v>17</v>
      </c>
      <c r="C26" s="168" t="s">
        <v>110</v>
      </c>
      <c r="D26" s="230"/>
      <c r="E26" s="15"/>
    </row>
    <row r="27" spans="1:7" s="15" customFormat="1">
      <c r="A27" s="173"/>
      <c r="B27" s="29"/>
      <c r="C27" s="36"/>
      <c r="D27" s="230"/>
    </row>
    <row r="28" spans="1:7" s="15" customFormat="1">
      <c r="A28" s="232" t="s">
        <v>742</v>
      </c>
      <c r="B28" s="37">
        <f>aantalHuishoudens</f>
        <v>19361</v>
      </c>
      <c r="C28" s="36"/>
      <c r="D28" s="230"/>
    </row>
    <row r="29" spans="1:7" s="15" customFormat="1">
      <c r="A29" s="232" t="s">
        <v>743</v>
      </c>
      <c r="B29" s="37">
        <f>SUM(HH_hh_gas_aantal,HH_rest_gas_aantal)</f>
        <v>14143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14143</v>
      </c>
      <c r="C32" s="169">
        <f>IF(ISERROR(B32/SUM($B$32,$B$34,$B$35,$B$36,$B$38,$B$39)*100),0,B32/SUM($B$32,$B$34,$B$35,$B$36,$B$38,$B$39)*100)</f>
        <v>73.21530258321684</v>
      </c>
      <c r="D32" s="235"/>
      <c r="G32" s="15"/>
    </row>
    <row r="33" spans="1:7">
      <c r="A33" s="173" t="s">
        <v>71</v>
      </c>
      <c r="B33" s="34" t="s">
        <v>110</v>
      </c>
      <c r="C33" s="169"/>
      <c r="D33" s="235"/>
      <c r="G33" s="15"/>
    </row>
    <row r="34" spans="1:7">
      <c r="A34" s="173" t="s">
        <v>72</v>
      </c>
      <c r="B34" s="33">
        <f>IF((($B$28-$B$32-$B$39-$B$77-$B$38)*C20/100)&lt;0,0,($B$28-$B$32-$B$39-$B$77-$B$38)*C20/100)</f>
        <v>410.47358607830955</v>
      </c>
      <c r="C34" s="169">
        <f>IF(ISERROR(B34/SUM($B$32,$B$34,$B$35,$B$36,$B$38,$B$39)*100),0,B34/SUM($B$32,$B$34,$B$35,$B$36,$B$38,$B$39)*100)</f>
        <v>2.1249344415712041</v>
      </c>
      <c r="D34" s="235"/>
      <c r="G34" s="15"/>
    </row>
    <row r="35" spans="1:7">
      <c r="A35" s="173" t="s">
        <v>73</v>
      </c>
      <c r="B35" s="33">
        <f>IF((($B$28-$B$32-$B$39-$B$77-$B$38)*C21/100)&lt;0,0,($B$28-$B$32-$B$39-$B$77-$B$38)*C21/100)</f>
        <v>3140.4872591671856</v>
      </c>
      <c r="C35" s="169">
        <f>IF(ISERROR(B35/SUM($B$32,$B$34,$B$35,$B$36,$B$38,$B$39)*100),0,B35/SUM($B$32,$B$34,$B$35,$B$36,$B$38,$B$39)*100)</f>
        <v>16.257634514506318</v>
      </c>
      <c r="D35" s="235"/>
      <c r="G35" s="15"/>
    </row>
    <row r="36" spans="1:7">
      <c r="A36" s="173" t="s">
        <v>74</v>
      </c>
      <c r="B36" s="33">
        <f>IF((($B$28-$B$32-$B$39-$B$77-$B$38)*C22/100)&lt;0,0,($B$28-$B$32-$B$39-$B$77-$B$38)*C22/100)</f>
        <v>357.039154754506</v>
      </c>
      <c r="C36" s="169">
        <f>IF(ISERROR(B36/SUM($B$32,$B$34,$B$35,$B$36,$B$38,$B$39)*100),0,B36/SUM($B$32,$B$34,$B$35,$B$36,$B$38,$B$39)*100)</f>
        <v>1.8483157568696273</v>
      </c>
      <c r="D36" s="235"/>
      <c r="G36" s="15"/>
    </row>
    <row r="37" spans="1:7">
      <c r="A37" s="173" t="s">
        <v>75</v>
      </c>
      <c r="B37" s="34" t="s">
        <v>110</v>
      </c>
      <c r="C37" s="169"/>
      <c r="D37" s="175"/>
      <c r="G37" s="15"/>
    </row>
    <row r="38" spans="1:7">
      <c r="A38" s="173" t="s">
        <v>76</v>
      </c>
      <c r="B38" s="33">
        <f>IF((B24-(B29-B18)*0.1)&lt;0,0,B24-(B29-B18)*0.1)</f>
        <v>210.2</v>
      </c>
      <c r="C38" s="169">
        <f>IF(ISERROR(B38/SUM($B$32,$B$34,$B$35,$B$36,$B$38,$B$39)*100),0,B38/SUM($B$32,$B$34,$B$35,$B$36,$B$38,$B$39)*100)</f>
        <v>1.0881606874773513</v>
      </c>
      <c r="D38" s="236"/>
      <c r="G38" s="15"/>
    </row>
    <row r="39" spans="1:7">
      <c r="A39" s="173" t="s">
        <v>77</v>
      </c>
      <c r="B39" s="33">
        <f>IF((B25-(B29-B18))&lt;0,0,B25-(B29-B18)*0.9)</f>
        <v>1055.7999999999997</v>
      </c>
      <c r="C39" s="169">
        <f>IF(ISERROR(B39/SUM($B$32,$B$34,$B$35,$B$36,$B$38,$B$39)*100),0,B39/SUM($B$32,$B$34,$B$35,$B$36,$B$38,$B$39)*100)</f>
        <v>5.4656520163586455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14143</v>
      </c>
      <c r="C44" s="34" t="s">
        <v>110</v>
      </c>
      <c r="D44" s="176"/>
    </row>
    <row r="45" spans="1:7">
      <c r="A45" s="173" t="s">
        <v>71</v>
      </c>
      <c r="B45" s="33" t="str">
        <f t="shared" si="0"/>
        <v>-</v>
      </c>
      <c r="C45" s="34" t="s">
        <v>110</v>
      </c>
      <c r="D45" s="176"/>
    </row>
    <row r="46" spans="1:7">
      <c r="A46" s="173" t="s">
        <v>72</v>
      </c>
      <c r="B46" s="33">
        <f t="shared" si="0"/>
        <v>410.47358607830955</v>
      </c>
      <c r="C46" s="34" t="s">
        <v>110</v>
      </c>
      <c r="D46" s="176"/>
    </row>
    <row r="47" spans="1:7">
      <c r="A47" s="173" t="s">
        <v>73</v>
      </c>
      <c r="B47" s="33">
        <f t="shared" si="0"/>
        <v>3140.4872591671856</v>
      </c>
      <c r="C47" s="34" t="s">
        <v>110</v>
      </c>
      <c r="D47" s="176"/>
    </row>
    <row r="48" spans="1:7">
      <c r="A48" s="173" t="s">
        <v>74</v>
      </c>
      <c r="B48" s="33">
        <f t="shared" si="0"/>
        <v>357.039154754506</v>
      </c>
      <c r="C48" s="33">
        <f>B48*10</f>
        <v>3570.3915475450599</v>
      </c>
      <c r="D48" s="236"/>
    </row>
    <row r="49" spans="1:6">
      <c r="A49" s="173" t="s">
        <v>75</v>
      </c>
      <c r="B49" s="33" t="str">
        <f t="shared" si="0"/>
        <v>-</v>
      </c>
      <c r="C49" s="34" t="s">
        <v>110</v>
      </c>
      <c r="D49" s="236"/>
    </row>
    <row r="50" spans="1:6">
      <c r="A50" s="173" t="s">
        <v>76</v>
      </c>
      <c r="B50" s="33">
        <f t="shared" si="0"/>
        <v>210.2</v>
      </c>
      <c r="C50" s="33">
        <f>B50*2</f>
        <v>420.4</v>
      </c>
      <c r="D50" s="236"/>
    </row>
    <row r="51" spans="1:6">
      <c r="A51" s="173" t="s">
        <v>77</v>
      </c>
      <c r="B51" s="33">
        <f t="shared" si="0"/>
        <v>1055.7999999999997</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156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85056.72262951672</v>
      </c>
      <c r="C5" s="17">
        <f>IF(ISERROR('Eigen informatie GS &amp; warmtenet'!B58),0,'Eigen informatie GS &amp; warmtenet'!B58)</f>
        <v>0</v>
      </c>
      <c r="D5" s="30">
        <f>SUM(D6:D12)</f>
        <v>108217.50108299855</v>
      </c>
      <c r="E5" s="17">
        <f>SUM(E6:E12)</f>
        <v>885.64259714334275</v>
      </c>
      <c r="F5" s="17">
        <f>SUM(F6:F12)</f>
        <v>16816.135129496372</v>
      </c>
      <c r="G5" s="18"/>
      <c r="H5" s="17"/>
      <c r="I5" s="17"/>
      <c r="J5" s="17">
        <f>SUM(J6:J12)</f>
        <v>0</v>
      </c>
      <c r="K5" s="17"/>
      <c r="L5" s="17"/>
      <c r="M5" s="17"/>
      <c r="N5" s="17">
        <f>SUM(N6:N12)</f>
        <v>9287.3859568925327</v>
      </c>
      <c r="O5" s="17">
        <f>B38*B39*B40</f>
        <v>3.1266666666666669</v>
      </c>
      <c r="P5" s="17">
        <f>B46*B47*B48/1000-B46*B47*B48/1000/B49</f>
        <v>57.2</v>
      </c>
      <c r="R5" s="32"/>
    </row>
    <row r="6" spans="1:18">
      <c r="A6" s="32" t="s">
        <v>53</v>
      </c>
      <c r="B6" s="37">
        <f>B26</f>
        <v>25288.328215330701</v>
      </c>
      <c r="C6" s="33"/>
      <c r="D6" s="37">
        <f>IF(ISERROR(TER_kantoor_gas_kWh/1000),0,TER_kantoor_gas_kWh/1000)*0.902</f>
        <v>45707.551885102919</v>
      </c>
      <c r="E6" s="33">
        <f>$C$26*'E Balans VL '!I12/100/3.6*1000000</f>
        <v>98.250508967584224</v>
      </c>
      <c r="F6" s="33">
        <f>$C$26*('E Balans VL '!L12+'E Balans VL '!N12)/100/3.6*1000000</f>
        <v>3846.1246161106374</v>
      </c>
      <c r="G6" s="34"/>
      <c r="H6" s="33"/>
      <c r="I6" s="33"/>
      <c r="J6" s="33">
        <f>$C$26*('E Balans VL '!D12+'E Balans VL '!E12)/100/3.6*1000000</f>
        <v>0</v>
      </c>
      <c r="K6" s="33"/>
      <c r="L6" s="33"/>
      <c r="M6" s="33"/>
      <c r="N6" s="33">
        <f>$C$26*'E Balans VL '!Y12/100/3.6*1000000</f>
        <v>13.936898313760901</v>
      </c>
      <c r="O6" s="33"/>
      <c r="P6" s="33"/>
      <c r="R6" s="32"/>
    </row>
    <row r="7" spans="1:18">
      <c r="A7" s="32" t="s">
        <v>52</v>
      </c>
      <c r="B7" s="37">
        <f t="shared" ref="B7:B12" si="0">B27</f>
        <v>5282.8015201318804</v>
      </c>
      <c r="C7" s="33"/>
      <c r="D7" s="37">
        <f>IF(ISERROR(TER_horeca_gas_kWh/1000),0,TER_horeca_gas_kWh/1000)*0.902</f>
        <v>7746.695897466976</v>
      </c>
      <c r="E7" s="33">
        <f>$C$27*'E Balans VL '!I9/100/3.6*1000000</f>
        <v>297.58162201614743</v>
      </c>
      <c r="F7" s="33">
        <f>$C$27*('E Balans VL '!L9+'E Balans VL '!N9)/100/3.6*1000000</f>
        <v>1523.2436835354581</v>
      </c>
      <c r="G7" s="34"/>
      <c r="H7" s="33"/>
      <c r="I7" s="33"/>
      <c r="J7" s="33">
        <f>$C$27*('E Balans VL '!D9+'E Balans VL '!E9)/100/3.6*1000000</f>
        <v>0</v>
      </c>
      <c r="K7" s="33"/>
      <c r="L7" s="33"/>
      <c r="M7" s="33"/>
      <c r="N7" s="33">
        <f>$C$27*'E Balans VL '!Y9/100/3.6*1000000</f>
        <v>1.4585540476888375</v>
      </c>
      <c r="O7" s="33"/>
      <c r="P7" s="33"/>
      <c r="R7" s="32"/>
    </row>
    <row r="8" spans="1:18">
      <c r="A8" s="6" t="s">
        <v>51</v>
      </c>
      <c r="B8" s="37">
        <f t="shared" si="0"/>
        <v>25922.467174392699</v>
      </c>
      <c r="C8" s="33"/>
      <c r="D8" s="37">
        <f>IF(ISERROR(TER_handel_gas_kWh/1000),0,TER_handel_gas_kWh/1000)*0.902</f>
        <v>18446.0384702962</v>
      </c>
      <c r="E8" s="33">
        <f>$C$28*'E Balans VL '!I13/100/3.6*1000000</f>
        <v>373.63069816561557</v>
      </c>
      <c r="F8" s="33">
        <f>$C$28*('E Balans VL '!L13+'E Balans VL '!N13)/100/3.6*1000000</f>
        <v>4503.3362417159569</v>
      </c>
      <c r="G8" s="34"/>
      <c r="H8" s="33"/>
      <c r="I8" s="33"/>
      <c r="J8" s="33">
        <f>$C$28*('E Balans VL '!D13+'E Balans VL '!E13)/100/3.6*1000000</f>
        <v>0</v>
      </c>
      <c r="K8" s="33"/>
      <c r="L8" s="33"/>
      <c r="M8" s="33"/>
      <c r="N8" s="33">
        <f>$C$28*'E Balans VL '!Y13/100/3.6*1000000</f>
        <v>77.666597402973238</v>
      </c>
      <c r="O8" s="33"/>
      <c r="P8" s="33"/>
      <c r="R8" s="32"/>
    </row>
    <row r="9" spans="1:18">
      <c r="A9" s="32" t="s">
        <v>50</v>
      </c>
      <c r="B9" s="37">
        <f t="shared" si="0"/>
        <v>9912.6907454530501</v>
      </c>
      <c r="C9" s="33"/>
      <c r="D9" s="37">
        <f>IF(ISERROR(TER_gezond_gas_kWh/1000),0,TER_gezond_gas_kWh/1000)*0.902</f>
        <v>8070.4181816831633</v>
      </c>
      <c r="E9" s="33">
        <f>$C$29*'E Balans VL '!I10/100/3.6*1000000</f>
        <v>10.589322991231443</v>
      </c>
      <c r="F9" s="33">
        <f>$C$29*('E Balans VL '!L10+'E Balans VL '!N10)/100/3.6*1000000</f>
        <v>1617.0611185599248</v>
      </c>
      <c r="G9" s="34"/>
      <c r="H9" s="33"/>
      <c r="I9" s="33"/>
      <c r="J9" s="33">
        <f>$C$29*('E Balans VL '!D10+'E Balans VL '!E10)/100/3.6*1000000</f>
        <v>0</v>
      </c>
      <c r="K9" s="33"/>
      <c r="L9" s="33"/>
      <c r="M9" s="33"/>
      <c r="N9" s="33">
        <f>$C$29*'E Balans VL '!Y10/100/3.6*1000000</f>
        <v>102.0454951559401</v>
      </c>
      <c r="O9" s="33"/>
      <c r="P9" s="33"/>
      <c r="R9" s="32"/>
    </row>
    <row r="10" spans="1:18">
      <c r="A10" s="32" t="s">
        <v>49</v>
      </c>
      <c r="B10" s="37">
        <f t="shared" si="0"/>
        <v>12635.804759016301</v>
      </c>
      <c r="C10" s="33"/>
      <c r="D10" s="37">
        <f>IF(ISERROR(TER_ander_gas_kWh/1000),0,TER_ander_gas_kWh/1000)*0.902</f>
        <v>14165.194903152918</v>
      </c>
      <c r="E10" s="33">
        <f>$C$30*'E Balans VL '!I14/100/3.6*1000000</f>
        <v>58.110144038131473</v>
      </c>
      <c r="F10" s="33">
        <f>$C$30*('E Balans VL '!L14+'E Balans VL '!N14)/100/3.6*1000000</f>
        <v>3787.3492553819974</v>
      </c>
      <c r="G10" s="34"/>
      <c r="H10" s="33"/>
      <c r="I10" s="33"/>
      <c r="J10" s="33">
        <f>$C$30*('E Balans VL '!D14+'E Balans VL '!E14)/100/3.6*1000000</f>
        <v>0</v>
      </c>
      <c r="K10" s="33"/>
      <c r="L10" s="33"/>
      <c r="M10" s="33"/>
      <c r="N10" s="33">
        <f>$C$30*'E Balans VL '!Y14/100/3.6*1000000</f>
        <v>8795.3542114604479</v>
      </c>
      <c r="O10" s="33"/>
      <c r="P10" s="33"/>
      <c r="R10" s="32"/>
    </row>
    <row r="11" spans="1:18">
      <c r="A11" s="32" t="s">
        <v>54</v>
      </c>
      <c r="B11" s="37">
        <f t="shared" si="0"/>
        <v>2274.0998012078503</v>
      </c>
      <c r="C11" s="33"/>
      <c r="D11" s="37">
        <f>IF(ISERROR(TER_onderwijs_gas_kWh/1000),0,TER_onderwijs_gas_kWh/1000)*0.902</f>
        <v>7498.9455523138777</v>
      </c>
      <c r="E11" s="33">
        <f>$C$31*'E Balans VL '!I11/100/3.6*1000000</f>
        <v>2.1095266297066964</v>
      </c>
      <c r="F11" s="33">
        <f>$C$31*('E Balans VL '!L11+'E Balans VL '!N11)/100/3.6*1000000</f>
        <v>798.83899373814495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3740.5304139842401</v>
      </c>
      <c r="C12" s="33"/>
      <c r="D12" s="37">
        <f>IF(ISERROR(TER_rest_gas_kWh/1000),0,TER_rest_gas_kWh/1000)*0.902</f>
        <v>6582.6561929824902</v>
      </c>
      <c r="E12" s="33">
        <f>$C$32*'E Balans VL '!I8/100/3.6*1000000</f>
        <v>45.370774334925855</v>
      </c>
      <c r="F12" s="33">
        <f>$C$32*('E Balans VL '!L8+'E Balans VL '!N8)/100/3.6*1000000</f>
        <v>740.18122045425173</v>
      </c>
      <c r="G12" s="34"/>
      <c r="H12" s="33"/>
      <c r="I12" s="33"/>
      <c r="J12" s="33">
        <f>$C$32*('E Balans VL '!D8+'E Balans VL '!E8)/100/3.6*1000000</f>
        <v>0</v>
      </c>
      <c r="K12" s="33"/>
      <c r="L12" s="33"/>
      <c r="M12" s="33"/>
      <c r="N12" s="33">
        <f>$C$32*'E Balans VL '!Y8/100/3.6*1000000</f>
        <v>296.92420051172115</v>
      </c>
      <c r="O12" s="33"/>
      <c r="P12" s="33"/>
      <c r="R12" s="32"/>
    </row>
    <row r="13" spans="1:18">
      <c r="A13" s="16" t="s">
        <v>496</v>
      </c>
      <c r="B13" s="249">
        <f ca="1">'lokale energieproductie'!N38+'lokale energieproductie'!N31</f>
        <v>2439</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-6968.5714285714294</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87495.72262951672</v>
      </c>
      <c r="C16" s="21">
        <f t="shared" ca="1" si="1"/>
        <v>0</v>
      </c>
      <c r="D16" s="21">
        <f t="shared" ca="1" si="1"/>
        <v>108217.50108299855</v>
      </c>
      <c r="E16" s="21">
        <f t="shared" si="1"/>
        <v>885.64259714334275</v>
      </c>
      <c r="F16" s="21">
        <f t="shared" ca="1" si="1"/>
        <v>16816.135129496372</v>
      </c>
      <c r="G16" s="21">
        <f t="shared" si="1"/>
        <v>0</v>
      </c>
      <c r="H16" s="21">
        <f t="shared" si="1"/>
        <v>0</v>
      </c>
      <c r="I16" s="21">
        <f t="shared" si="1"/>
        <v>0</v>
      </c>
      <c r="J16" s="21">
        <f t="shared" si="1"/>
        <v>0</v>
      </c>
      <c r="K16" s="21">
        <f t="shared" si="1"/>
        <v>0</v>
      </c>
      <c r="L16" s="21">
        <f t="shared" ca="1" si="1"/>
        <v>0</v>
      </c>
      <c r="M16" s="21">
        <f t="shared" si="1"/>
        <v>0</v>
      </c>
      <c r="N16" s="21">
        <f t="shared" ca="1" si="1"/>
        <v>2318.8145283211034</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0.1969473010561503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17232.04642584085</v>
      </c>
      <c r="C20" s="23">
        <f t="shared" ref="C20:P20" ca="1" si="2">C16*C18</f>
        <v>0</v>
      </c>
      <c r="D20" s="23">
        <f t="shared" ca="1" si="2"/>
        <v>21859.93521876571</v>
      </c>
      <c r="E20" s="23">
        <f t="shared" si="2"/>
        <v>201.0408695515388</v>
      </c>
      <c r="F20" s="23">
        <f t="shared" ca="1" si="2"/>
        <v>4489.9080795755317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25288.328215330701</v>
      </c>
      <c r="C26" s="39">
        <f>IF(ISERROR(B26*3.6/1000000/'E Balans VL '!Z12*100),0,B26*3.6/1000000/'E Balans VL '!Z12*100)</f>
        <v>0.53713661750303698</v>
      </c>
      <c r="D26" s="239" t="s">
        <v>689</v>
      </c>
      <c r="F26" s="6"/>
    </row>
    <row r="27" spans="1:18">
      <c r="A27" s="233" t="s">
        <v>52</v>
      </c>
      <c r="B27" s="33">
        <f>IF(ISERROR(TER_horeca_ele_kWh/1000),0,TER_horeca_ele_kWh/1000)</f>
        <v>5282.8015201318804</v>
      </c>
      <c r="C27" s="39">
        <f>IF(ISERROR(B27*3.6/1000000/'E Balans VL '!Z9*100),0,B27*3.6/1000000/'E Balans VL '!Z9*100)</f>
        <v>0.41076999086513238</v>
      </c>
      <c r="D27" s="239" t="s">
        <v>689</v>
      </c>
      <c r="F27" s="6"/>
    </row>
    <row r="28" spans="1:18">
      <c r="A28" s="173" t="s">
        <v>51</v>
      </c>
      <c r="B28" s="33">
        <f>IF(ISERROR(TER_handel_ele_kWh/1000),0,TER_handel_ele_kWh/1000)</f>
        <v>25922.467174392699</v>
      </c>
      <c r="C28" s="39">
        <f>IF(ISERROR(B28*3.6/1000000/'E Balans VL '!Z13*100),0,B28*3.6/1000000/'E Balans VL '!Z13*100)</f>
        <v>0.74167229355139996</v>
      </c>
      <c r="D28" s="239" t="s">
        <v>689</v>
      </c>
      <c r="F28" s="6"/>
    </row>
    <row r="29" spans="1:18">
      <c r="A29" s="233" t="s">
        <v>50</v>
      </c>
      <c r="B29" s="33">
        <f>IF(ISERROR(TER_gezond_ele_kWh/1000),0,TER_gezond_ele_kWh/1000)</f>
        <v>9912.6907454530501</v>
      </c>
      <c r="C29" s="39">
        <f>IF(ISERROR(B29*3.6/1000000/'E Balans VL '!Z10*100),0,B29*3.6/1000000/'E Balans VL '!Z10*100)</f>
        <v>1.0807136345618134</v>
      </c>
      <c r="D29" s="239" t="s">
        <v>689</v>
      </c>
      <c r="F29" s="6"/>
    </row>
    <row r="30" spans="1:18">
      <c r="A30" s="233" t="s">
        <v>49</v>
      </c>
      <c r="B30" s="33">
        <f>IF(ISERROR(TER_ander_ele_kWh/1000),0,TER_ander_ele_kWh/1000)</f>
        <v>12635.804759016301</v>
      </c>
      <c r="C30" s="39">
        <f>IF(ISERROR(B30*3.6/1000000/'E Balans VL '!Z14*100),0,B30*3.6/1000000/'E Balans VL '!Z14*100)</f>
        <v>0.9246595286212016</v>
      </c>
      <c r="D30" s="239" t="s">
        <v>689</v>
      </c>
      <c r="F30" s="6"/>
    </row>
    <row r="31" spans="1:18">
      <c r="A31" s="233" t="s">
        <v>54</v>
      </c>
      <c r="B31" s="33">
        <f>IF(ISERROR(TER_onderwijs_ele_kWh/1000),0,TER_onderwijs_ele_kWh/1000)</f>
        <v>2274.0998012078503</v>
      </c>
      <c r="C31" s="39">
        <f>IF(ISERROR(B31*3.6/1000000/'E Balans VL '!Z11*100),0,B31*3.6/1000000/'E Balans VL '!Z11*100)</f>
        <v>0.45675463377254338</v>
      </c>
      <c r="D31" s="239" t="s">
        <v>689</v>
      </c>
    </row>
    <row r="32" spans="1:18">
      <c r="A32" s="233" t="s">
        <v>259</v>
      </c>
      <c r="B32" s="33">
        <f>IF(ISERROR(TER_rest_ele_kWh/1000),0,TER_rest_ele_kWh/1000)</f>
        <v>3740.5304139842401</v>
      </c>
      <c r="C32" s="39">
        <f>IF(ISERROR(B32*3.6/1000000/'E Balans VL '!Z8*100),0,B32*3.6/1000000/'E Balans VL '!Z8*100)</f>
        <v>3.0483052861400822E-2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60206.406830779641</v>
      </c>
      <c r="C5" s="17">
        <f>IF(ISERROR('Eigen informatie GS &amp; warmtenet'!B59),0,'Eigen informatie GS &amp; warmtenet'!B59)</f>
        <v>0</v>
      </c>
      <c r="D5" s="30">
        <f>SUM(D6:D15)</f>
        <v>77725.577485404545</v>
      </c>
      <c r="E5" s="17">
        <f>SUM(E6:E15)</f>
        <v>6861.3361166735858</v>
      </c>
      <c r="F5" s="17">
        <f>SUM(F6:F15)</f>
        <v>34469.134339451208</v>
      </c>
      <c r="G5" s="18"/>
      <c r="H5" s="17"/>
      <c r="I5" s="17"/>
      <c r="J5" s="17">
        <f>SUM(J6:J15)</f>
        <v>56.410567432909517</v>
      </c>
      <c r="K5" s="17"/>
      <c r="L5" s="17"/>
      <c r="M5" s="17"/>
      <c r="N5" s="17">
        <f>SUM(N6:N15)</f>
        <v>5860.4189455338492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10846.204011902399</v>
      </c>
      <c r="C8" s="33"/>
      <c r="D8" s="37">
        <f>IF( ISERROR(IND_metaal_Gas_kWH/1000),0,IND_metaal_Gas_kWH/1000)*0.902</f>
        <v>8161.4943065860925</v>
      </c>
      <c r="E8" s="33">
        <f>C30*'E Balans VL '!I18/100/3.6*1000000</f>
        <v>311.54369087725041</v>
      </c>
      <c r="F8" s="33">
        <f>C30*'E Balans VL '!L18/100/3.6*1000000+C30*'E Balans VL '!N18/100/3.6*1000000</f>
        <v>2781.8427265712862</v>
      </c>
      <c r="G8" s="34"/>
      <c r="H8" s="33"/>
      <c r="I8" s="33"/>
      <c r="J8" s="40">
        <f>C30*'E Balans VL '!D18/100/3.6*1000000+C30*'E Balans VL '!E18/100/3.6*1000000</f>
        <v>0</v>
      </c>
      <c r="K8" s="33"/>
      <c r="L8" s="33"/>
      <c r="M8" s="33"/>
      <c r="N8" s="33">
        <f>C30*'E Balans VL '!Y18/100/3.6*1000000</f>
        <v>294.49657916231712</v>
      </c>
      <c r="O8" s="33"/>
      <c r="P8" s="33"/>
      <c r="R8" s="32"/>
    </row>
    <row r="9" spans="1:18">
      <c r="A9" s="6" t="s">
        <v>32</v>
      </c>
      <c r="B9" s="37">
        <f t="shared" si="0"/>
        <v>16603.549454318101</v>
      </c>
      <c r="C9" s="33"/>
      <c r="D9" s="37">
        <f>IF( ISERROR(IND_andere_gas_kWh/1000),0,IND_andere_gas_kWh/1000)*0.902</f>
        <v>4263.7708763352939</v>
      </c>
      <c r="E9" s="33">
        <f>C31*'E Balans VL '!I19/100/3.6*1000000</f>
        <v>4494.1726051419346</v>
      </c>
      <c r="F9" s="33">
        <f>C31*'E Balans VL '!L19/100/3.6*1000000+C31*'E Balans VL '!N19/100/3.6*1000000</f>
        <v>11059.720959133003</v>
      </c>
      <c r="G9" s="34"/>
      <c r="H9" s="33"/>
      <c r="I9" s="33"/>
      <c r="J9" s="40">
        <f>C31*'E Balans VL '!D19/100/3.6*1000000+C31*'E Balans VL '!E19/100/3.6*1000000</f>
        <v>0</v>
      </c>
      <c r="K9" s="33"/>
      <c r="L9" s="33"/>
      <c r="M9" s="33"/>
      <c r="N9" s="33">
        <f>C31*'E Balans VL '!Y19/100/3.6*1000000</f>
        <v>1403.7201204071721</v>
      </c>
      <c r="O9" s="33"/>
      <c r="P9" s="33"/>
      <c r="R9" s="32"/>
    </row>
    <row r="10" spans="1:18">
      <c r="A10" s="6" t="s">
        <v>40</v>
      </c>
      <c r="B10" s="37">
        <f t="shared" si="0"/>
        <v>10355.558705710599</v>
      </c>
      <c r="C10" s="33"/>
      <c r="D10" s="37">
        <f>IF( ISERROR(IND_voed_gas_kWh/1000),0,IND_voed_gas_kWh/1000)*0.902</f>
        <v>2926.9594286862098</v>
      </c>
      <c r="E10" s="33">
        <f>C32*'E Balans VL '!I20/100/3.6*1000000</f>
        <v>844.62315931480168</v>
      </c>
      <c r="F10" s="33">
        <f>C32*'E Balans VL '!L20/100/3.6*1000000+C32*'E Balans VL '!N20/100/3.6*1000000</f>
        <v>15441.077568823872</v>
      </c>
      <c r="G10" s="34"/>
      <c r="H10" s="33"/>
      <c r="I10" s="33"/>
      <c r="J10" s="40">
        <f>C32*'E Balans VL '!D20/100/3.6*1000000+C32*'E Balans VL '!E20/100/3.6*1000000</f>
        <v>0.13699147171455059</v>
      </c>
      <c r="K10" s="33"/>
      <c r="L10" s="33"/>
      <c r="M10" s="33"/>
      <c r="N10" s="33">
        <f>C32*'E Balans VL '!Y20/100/3.6*1000000</f>
        <v>3042.0977394722413</v>
      </c>
      <c r="O10" s="33"/>
      <c r="P10" s="33"/>
      <c r="R10" s="32"/>
    </row>
    <row r="11" spans="1:18">
      <c r="A11" s="6" t="s">
        <v>39</v>
      </c>
      <c r="B11" s="37">
        <f t="shared" si="0"/>
        <v>9.2570241749523987</v>
      </c>
      <c r="C11" s="33"/>
      <c r="D11" s="37">
        <f>IF( ISERROR(IND_textiel_gas_kWh/1000),0,IND_textiel_gas_kWh/1000)*0.902</f>
        <v>0</v>
      </c>
      <c r="E11" s="33">
        <f>C33*'E Balans VL '!I21/100/3.6*1000000</f>
        <v>1.8349315875033044E-3</v>
      </c>
      <c r="F11" s="33">
        <f>C33*'E Balans VL '!L21/100/3.6*1000000+C33*'E Balans VL '!N21/100/3.6*1000000</f>
        <v>0.34094736899881783</v>
      </c>
      <c r="G11" s="34"/>
      <c r="H11" s="33"/>
      <c r="I11" s="33"/>
      <c r="J11" s="40">
        <f>C33*'E Balans VL '!D21/100/3.6*1000000+C33*'E Balans VL '!E21/100/3.6*1000000</f>
        <v>0</v>
      </c>
      <c r="K11" s="33"/>
      <c r="L11" s="33"/>
      <c r="M11" s="33"/>
      <c r="N11" s="33">
        <f>C33*'E Balans VL '!Y21/100/3.6*1000000</f>
        <v>4.3042825553251333E-2</v>
      </c>
      <c r="O11" s="33"/>
      <c r="P11" s="33"/>
      <c r="R11" s="32"/>
    </row>
    <row r="12" spans="1:18">
      <c r="A12" s="6" t="s">
        <v>36</v>
      </c>
      <c r="B12" s="37">
        <f t="shared" si="0"/>
        <v>184.53239407987101</v>
      </c>
      <c r="C12" s="33"/>
      <c r="D12" s="37">
        <f>IF( ISERROR(IND_min_gas_kWh/1000),0,IND_min_gas_kWh/1000)*0.902</f>
        <v>0</v>
      </c>
      <c r="E12" s="33">
        <f>C34*'E Balans VL '!I22/100/3.6*1000000</f>
        <v>1.4374671419849965</v>
      </c>
      <c r="F12" s="33">
        <f>C34*'E Balans VL '!L22/100/3.6*1000000+C34*'E Balans VL '!N22/100/3.6*1000000</f>
        <v>69.594279184966311</v>
      </c>
      <c r="G12" s="34"/>
      <c r="H12" s="33"/>
      <c r="I12" s="33"/>
      <c r="J12" s="40">
        <f>C34*'E Balans VL '!D22/100/3.6*1000000+C34*'E Balans VL '!E22/100/3.6*1000000</f>
        <v>1.0149120332318695</v>
      </c>
      <c r="K12" s="33"/>
      <c r="L12" s="33"/>
      <c r="M12" s="33"/>
      <c r="N12" s="33">
        <f>C34*'E Balans VL '!Y22/100/3.6*1000000</f>
        <v>0</v>
      </c>
      <c r="O12" s="33"/>
      <c r="P12" s="33"/>
      <c r="R12" s="32"/>
    </row>
    <row r="13" spans="1:18">
      <c r="A13" s="6" t="s">
        <v>38</v>
      </c>
      <c r="B13" s="37">
        <f t="shared" si="0"/>
        <v>647.68443500492504</v>
      </c>
      <c r="C13" s="33"/>
      <c r="D13" s="37">
        <f>IF( ISERROR(IND_papier_gas_kWh/1000),0,IND_papier_gas_kWh/1000)*0.902</f>
        <v>2561.0642392988216</v>
      </c>
      <c r="E13" s="33">
        <f>C35*'E Balans VL '!I23/100/3.6*1000000</f>
        <v>6.785674393717354</v>
      </c>
      <c r="F13" s="33">
        <f>C35*'E Balans VL '!L23/100/3.6*1000000+C35*'E Balans VL '!N23/100/3.6*1000000</f>
        <v>48.330327339564242</v>
      </c>
      <c r="G13" s="34"/>
      <c r="H13" s="33"/>
      <c r="I13" s="33"/>
      <c r="J13" s="40">
        <f>C35*'E Balans VL '!D23/100/3.6*1000000+C35*'E Balans VL '!E23/100/3.6*1000000</f>
        <v>0</v>
      </c>
      <c r="K13" s="33"/>
      <c r="L13" s="33"/>
      <c r="M13" s="33"/>
      <c r="N13" s="33">
        <f>C35*'E Balans VL '!Y23/100/3.6*1000000</f>
        <v>119.48377371372257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21559.620805588802</v>
      </c>
      <c r="C15" s="33"/>
      <c r="D15" s="37">
        <f>IF( ISERROR(IND_rest_gas_kWh/1000),0,IND_rest_gas_kWh/1000)*0.902</f>
        <v>59812.288634498131</v>
      </c>
      <c r="E15" s="33">
        <f>C37*'E Balans VL '!I15/100/3.6*1000000</f>
        <v>1202.7716848723094</v>
      </c>
      <c r="F15" s="33">
        <f>C37*'E Balans VL '!L15/100/3.6*1000000+C37*'E Balans VL '!N15/100/3.6*1000000</f>
        <v>5068.2275310295208</v>
      </c>
      <c r="G15" s="34"/>
      <c r="H15" s="33"/>
      <c r="I15" s="33"/>
      <c r="J15" s="40">
        <f>C37*'E Balans VL '!D15/100/3.6*1000000+C37*'E Balans VL '!E15/100/3.6*1000000</f>
        <v>55.258663927963099</v>
      </c>
      <c r="K15" s="33"/>
      <c r="L15" s="33"/>
      <c r="M15" s="33"/>
      <c r="N15" s="33">
        <f>C37*'E Balans VL '!Y15/100/3.6*1000000</f>
        <v>1000.5776899528423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60206.406830779641</v>
      </c>
      <c r="C18" s="21">
        <f>C5+C16</f>
        <v>0</v>
      </c>
      <c r="D18" s="21">
        <f>MAX((D5+D16),0)</f>
        <v>77725.577485404545</v>
      </c>
      <c r="E18" s="21">
        <f>MAX((E5+E16),0)</f>
        <v>6861.3361166735858</v>
      </c>
      <c r="F18" s="21">
        <f>MAX((F5+F16),0)</f>
        <v>34469.134339451208</v>
      </c>
      <c r="G18" s="21"/>
      <c r="H18" s="21"/>
      <c r="I18" s="21"/>
      <c r="J18" s="21">
        <f>MAX((J5+J16),0)</f>
        <v>56.410567432909517</v>
      </c>
      <c r="K18" s="21"/>
      <c r="L18" s="21">
        <f>MAX((L5+L16),0)</f>
        <v>0</v>
      </c>
      <c r="M18" s="21"/>
      <c r="N18" s="21">
        <f>MAX((N5+N16),0)</f>
        <v>5860.4189455338492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0.1969473010561503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11857.489331610621</v>
      </c>
      <c r="C22" s="23">
        <f ca="1">C18*C20</f>
        <v>0</v>
      </c>
      <c r="D22" s="23">
        <f>D18*D20</f>
        <v>15700.566652051719</v>
      </c>
      <c r="E22" s="23">
        <f>E18*E20</f>
        <v>1557.523298484904</v>
      </c>
      <c r="F22" s="23">
        <f>F18*F20</f>
        <v>9203.258868633473</v>
      </c>
      <c r="G22" s="23"/>
      <c r="H22" s="23"/>
      <c r="I22" s="23"/>
      <c r="J22" s="23">
        <f>J18*J20</f>
        <v>19.969340871249969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10846.204011902399</v>
      </c>
      <c r="C30" s="39">
        <f>IF(ISERROR(B30*3.6/1000000/'E Balans VL '!Z18*100),0,B30*3.6/1000000/'E Balans VL '!Z18*100)</f>
        <v>1.0672387873617566</v>
      </c>
      <c r="D30" s="239" t="s">
        <v>689</v>
      </c>
    </row>
    <row r="31" spans="1:18">
      <c r="A31" s="6" t="s">
        <v>32</v>
      </c>
      <c r="B31" s="37">
        <f>IF( ISERROR(IND_ander_ele_kWh/1000),0,IND_ander_ele_kWh/1000)</f>
        <v>16603.549454318101</v>
      </c>
      <c r="C31" s="39">
        <f>IF(ISERROR(B31*3.6/1000000/'E Balans VL '!Z19*100),0,B31*3.6/1000000/'E Balans VL '!Z19*100)</f>
        <v>0.72307133421462078</v>
      </c>
      <c r="D31" s="239" t="s">
        <v>689</v>
      </c>
    </row>
    <row r="32" spans="1:18">
      <c r="A32" s="173" t="s">
        <v>40</v>
      </c>
      <c r="B32" s="37">
        <f>IF( ISERROR(IND_voed_ele_kWh/1000),0,IND_voed_ele_kWh/1000)</f>
        <v>10355.558705710599</v>
      </c>
      <c r="C32" s="39">
        <f>IF(ISERROR(B32*3.6/1000000/'E Balans VL '!Z20*100),0,B32*3.6/1000000/'E Balans VL '!Z20*100)</f>
        <v>1.9648179210054291</v>
      </c>
      <c r="D32" s="239" t="s">
        <v>689</v>
      </c>
    </row>
    <row r="33" spans="1:5">
      <c r="A33" s="173" t="s">
        <v>39</v>
      </c>
      <c r="B33" s="37">
        <f>IF( ISERROR(IND_textiel_ele_kWh/1000),0,IND_textiel_ele_kWh/1000)</f>
        <v>9.2570241749523987</v>
      </c>
      <c r="C33" s="39">
        <f>IF(ISERROR(B33*3.6/1000000/'E Balans VL '!Z21*100),0,B33*3.6/1000000/'E Balans VL '!Z21*100)</f>
        <v>5.2852913565626857E-4</v>
      </c>
      <c r="D33" s="239" t="s">
        <v>689</v>
      </c>
    </row>
    <row r="34" spans="1:5">
      <c r="A34" s="173" t="s">
        <v>36</v>
      </c>
      <c r="B34" s="37">
        <f>IF( ISERROR(IND_min_ele_kWh/1000),0,IND_min_ele_kWh/1000)</f>
        <v>184.53239407987101</v>
      </c>
      <c r="C34" s="39">
        <f>IF(ISERROR(B34*3.6/1000000/'E Balans VL '!Z22*100),0,B34*3.6/1000000/'E Balans VL '!Z22*100)</f>
        <v>2.5947107624173373E-2</v>
      </c>
      <c r="D34" s="239" t="s">
        <v>689</v>
      </c>
    </row>
    <row r="35" spans="1:5">
      <c r="A35" s="173" t="s">
        <v>38</v>
      </c>
      <c r="B35" s="37">
        <f>IF( ISERROR(IND_papier_ele_kWh/1000),0,IND_papier_ele_kWh/1000)</f>
        <v>647.68443500492504</v>
      </c>
      <c r="C35" s="39">
        <f>IF(ISERROR(B35*3.6/1000000/'E Balans VL '!Z22*100),0,B35*3.6/1000000/'E Balans VL '!Z22*100)</f>
        <v>9.1070935406066353E-2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21559.620805588802</v>
      </c>
      <c r="C37" s="39">
        <f>IF(ISERROR(B37*3.6/1000000/'E Balans VL '!Z15*100),0,B37*3.6/1000000/'E Balans VL '!Z15*100)</f>
        <v>0.16614335897983357</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1099.756995540977</v>
      </c>
      <c r="C5" s="17">
        <f>'Eigen informatie GS &amp; warmtenet'!B60</f>
        <v>0</v>
      </c>
      <c r="D5" s="30">
        <f>IF(ISERROR(SUM(LB_lb_gas_kWh,LB_rest_gas_kWh)/1000),0,SUM(LB_lb_gas_kWh,LB_rest_gas_kWh)/1000)*0.902</f>
        <v>2014.9106208945641</v>
      </c>
      <c r="E5" s="17">
        <f>B17*'E Balans VL '!I25/3.6*1000000/100</f>
        <v>13.858354918886089</v>
      </c>
      <c r="F5" s="17">
        <f>B17*('E Balans VL '!L25/3.6*1000000+'E Balans VL '!N25/3.6*1000000)/100</f>
        <v>3794.4371402058873</v>
      </c>
      <c r="G5" s="18"/>
      <c r="H5" s="17"/>
      <c r="I5" s="17"/>
      <c r="J5" s="17">
        <f>('E Balans VL '!D25+'E Balans VL '!E25)/3.6*1000000*landbouw!B17/100</f>
        <v>165.39095053306002</v>
      </c>
      <c r="K5" s="17"/>
      <c r="L5" s="17">
        <f>L6*(-1)</f>
        <v>0</v>
      </c>
      <c r="M5" s="17"/>
      <c r="N5" s="17">
        <f>N6*(-1)</f>
        <v>154.28571428571431</v>
      </c>
      <c r="O5" s="17"/>
      <c r="P5" s="17"/>
      <c r="R5" s="32"/>
    </row>
    <row r="6" spans="1:18">
      <c r="A6" s="16" t="s">
        <v>496</v>
      </c>
      <c r="B6" s="17" t="s">
        <v>210</v>
      </c>
      <c r="C6" s="17">
        <f>'lokale energieproductie'!O39+'lokale energieproductie'!O32</f>
        <v>77.142857142857139</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-154.28571428571431</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1099.756995540977</v>
      </c>
      <c r="C8" s="21">
        <f>C5+C6</f>
        <v>77.142857142857139</v>
      </c>
      <c r="D8" s="21">
        <f>MAX((D5+D6),0)</f>
        <v>2014.9106208945641</v>
      </c>
      <c r="E8" s="21">
        <f>MAX((E5+E6),0)</f>
        <v>13.858354918886089</v>
      </c>
      <c r="F8" s="21">
        <f>MAX((F5+F6),0)</f>
        <v>3794.4371402058873</v>
      </c>
      <c r="G8" s="21"/>
      <c r="H8" s="21"/>
      <c r="I8" s="21"/>
      <c r="J8" s="21">
        <f>MAX((J5+J6),0)</f>
        <v>165.39095053306002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0.1969473010561503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216.59417208941613</v>
      </c>
      <c r="C12" s="23">
        <f ca="1">C8*C10</f>
        <v>0</v>
      </c>
      <c r="D12" s="23">
        <f>D8*D10</f>
        <v>407.01194542070198</v>
      </c>
      <c r="E12" s="23">
        <f>E8*E10</f>
        <v>3.1458465665871422</v>
      </c>
      <c r="F12" s="23">
        <f>F8*F10</f>
        <v>1013.114716434972</v>
      </c>
      <c r="G12" s="23"/>
      <c r="H12" s="23"/>
      <c r="I12" s="23"/>
      <c r="J12" s="23">
        <f>J8*J10</f>
        <v>58.548396488703247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0.15338143854948674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322.02840142619192</v>
      </c>
      <c r="C26" s="249">
        <f>B26*'GWP N2O_CH4'!B5</f>
        <v>6762.5964299500301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67.135888256775331</v>
      </c>
      <c r="C27" s="249">
        <f>B27*'GWP N2O_CH4'!B5</f>
        <v>1409.853653392282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4.9399018609828715</v>
      </c>
      <c r="C28" s="249">
        <f>B28*'GWP N2O_CH4'!B4</f>
        <v>1531.3695769046901</v>
      </c>
      <c r="D28" s="50"/>
    </row>
    <row r="29" spans="1:4">
      <c r="A29" s="41" t="s">
        <v>276</v>
      </c>
      <c r="B29" s="249">
        <f>B34*'ha_N2O bodem landbouw'!B4</f>
        <v>12.181296398362509</v>
      </c>
      <c r="C29" s="249">
        <f>B29*'GWP N2O_CH4'!B4</f>
        <v>3776.2018834923779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3.0415479917603053E-3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3.4271333264822901E-5</v>
      </c>
      <c r="C5" s="444" t="s">
        <v>210</v>
      </c>
      <c r="D5" s="429">
        <f>SUM(D6:D11)</f>
        <v>5.8861602148400753E-5</v>
      </c>
      <c r="E5" s="429">
        <f>SUM(E6:E11)</f>
        <v>2.0698878887793724E-3</v>
      </c>
      <c r="F5" s="442" t="s">
        <v>210</v>
      </c>
      <c r="G5" s="429">
        <f>SUM(G6:G11)</f>
        <v>0.61804654842880702</v>
      </c>
      <c r="H5" s="429">
        <f>SUM(H6:H11)</f>
        <v>0.1069794506385765</v>
      </c>
      <c r="I5" s="444" t="s">
        <v>210</v>
      </c>
      <c r="J5" s="444" t="s">
        <v>210</v>
      </c>
      <c r="K5" s="444" t="s">
        <v>210</v>
      </c>
      <c r="L5" s="444" t="s">
        <v>210</v>
      </c>
      <c r="M5" s="429">
        <f>SUM(M6:M11)</f>
        <v>3.2782050287828379E-2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2.64564855968324E-5</v>
      </c>
      <c r="C6" s="883"/>
      <c r="D6" s="883">
        <f>vkm_GW_PW*SUMIFS(TableVerdeelsleutelVkm[CNG],TableVerdeelsleutelVkm[Voertuigtype],"Lichte voertuigen")*SUMIFS(TableECFTransport[EnergieConsumptieFactor (PJ per km)],TableECFTransport[Index],CONCATENATE($A6,"_CNG_CNG"))</f>
        <v>3.9207723631575823E-5</v>
      </c>
      <c r="E6" s="883">
        <f>vkm_GW_PW*SUMIFS(TableVerdeelsleutelVkm[LPG],TableVerdeelsleutelVkm[Voertuigtype],"Lichte voertuigen")*SUMIFS(TableECFTransport[EnergieConsumptieFactor (PJ per km)],TableECFTransport[Index],CONCATENATE($A6,"_LPG_LPG"))</f>
        <v>1.4042773939730816E-3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0.2826150499938252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7.2198054066558895E-2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1.6051548758385902E-2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0.18328441404869653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4.2584933547987641E-6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8.2755773775792137E-3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7.8148476679905012E-6</v>
      </c>
      <c r="C8" s="883"/>
      <c r="D8" s="432">
        <f>vkm_NGW_PW*SUMIFS(TableVerdeelsleutelVkm[CNG],TableVerdeelsleutelVkm[Voertuigtype],"Lichte voertuigen")*SUMIFS(TableECFTransport[EnergieConsumptieFactor (PJ per km)],TableECFTransport[Index],CONCATENATE($A8,"_CNG_CNG"))</f>
        <v>1.965387851682493E-5</v>
      </c>
      <c r="E8" s="432">
        <f>vkm_NGW_PW*SUMIFS(TableVerdeelsleutelVkm[LPG],TableVerdeelsleutelVkm[Voertuigtype],"Lichte voertuigen")*SUMIFS(TableECFTransport[EnergieConsumptieFactor (PJ per km)],TableECFTransport[Index],CONCATENATE($A8,"_LPG_LPG"))</f>
        <v>6.6561049480629074E-4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0.12724746399568565</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3.4776467513992111E-2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7.3306632303317722E-3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2.4899620390599723E-2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6.705646707076858E-7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1.1242609215314904E-3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9.5198147957841392</v>
      </c>
      <c r="C14" s="21"/>
      <c r="D14" s="21">
        <f t="shared" ref="D14:M14" si="0">((D5)*10^9/3600)+D12</f>
        <v>16.350445041222432</v>
      </c>
      <c r="E14" s="21">
        <f t="shared" si="0"/>
        <v>574.96885799427014</v>
      </c>
      <c r="F14" s="21"/>
      <c r="G14" s="21">
        <f t="shared" si="0"/>
        <v>171679.59678577972</v>
      </c>
      <c r="H14" s="21">
        <f t="shared" si="0"/>
        <v>29716.514066271251</v>
      </c>
      <c r="I14" s="21"/>
      <c r="J14" s="21"/>
      <c r="K14" s="21"/>
      <c r="L14" s="21"/>
      <c r="M14" s="21">
        <f t="shared" si="0"/>
        <v>9106.1250799523277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0.1969473010561503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1.8749018305840928</v>
      </c>
      <c r="C18" s="23"/>
      <c r="D18" s="23">
        <f t="shared" ref="D18:M18" si="1">D14*D16</f>
        <v>3.3027898983269317</v>
      </c>
      <c r="E18" s="23">
        <f t="shared" si="1"/>
        <v>130.51793076469932</v>
      </c>
      <c r="F18" s="23"/>
      <c r="G18" s="23">
        <f t="shared" si="1"/>
        <v>45838.452341803189</v>
      </c>
      <c r="H18" s="23">
        <f t="shared" si="1"/>
        <v>7399.4120025015418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1.3952255940193101E-2</v>
      </c>
      <c r="H50" s="321">
        <f t="shared" si="2"/>
        <v>0</v>
      </c>
      <c r="I50" s="321">
        <f t="shared" si="2"/>
        <v>0</v>
      </c>
      <c r="J50" s="321">
        <f t="shared" si="2"/>
        <v>0</v>
      </c>
      <c r="K50" s="321">
        <f t="shared" si="2"/>
        <v>0</v>
      </c>
      <c r="L50" s="321">
        <f t="shared" si="2"/>
        <v>0</v>
      </c>
      <c r="M50" s="321">
        <f t="shared" si="2"/>
        <v>6.2102645449028384E-4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1.3952255940193101E-2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6.2102645449028384E-4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3875.626650053639</v>
      </c>
      <c r="H54" s="21">
        <f t="shared" si="3"/>
        <v>0</v>
      </c>
      <c r="I54" s="21">
        <f t="shared" si="3"/>
        <v>0</v>
      </c>
      <c r="J54" s="21">
        <f t="shared" si="3"/>
        <v>0</v>
      </c>
      <c r="K54" s="21">
        <f t="shared" si="3"/>
        <v>0</v>
      </c>
      <c r="L54" s="21">
        <f t="shared" si="3"/>
        <v>0</v>
      </c>
      <c r="M54" s="21">
        <f t="shared" si="3"/>
        <v>172.50734846952329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0.1969473010561503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1034.7923155643216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90554.43462951672</v>
      </c>
      <c r="D10" s="686">
        <f ca="1">tertiair!C16</f>
        <v>0</v>
      </c>
      <c r="E10" s="686">
        <f ca="1">tertiair!D16</f>
        <v>108217.50108299855</v>
      </c>
      <c r="F10" s="686">
        <f>tertiair!E16</f>
        <v>885.64259714334275</v>
      </c>
      <c r="G10" s="686">
        <f ca="1">tertiair!F16</f>
        <v>16816.135129496372</v>
      </c>
      <c r="H10" s="686">
        <f>tertiair!G16</f>
        <v>0</v>
      </c>
      <c r="I10" s="686">
        <f>tertiair!H16</f>
        <v>0</v>
      </c>
      <c r="J10" s="686">
        <f>tertiair!I16</f>
        <v>0</v>
      </c>
      <c r="K10" s="686">
        <f>tertiair!J16</f>
        <v>0</v>
      </c>
      <c r="L10" s="686">
        <f>tertiair!K16</f>
        <v>0</v>
      </c>
      <c r="M10" s="686">
        <f ca="1">tertiair!L16</f>
        <v>0</v>
      </c>
      <c r="N10" s="686">
        <f>tertiair!M16</f>
        <v>0</v>
      </c>
      <c r="O10" s="686">
        <f ca="1">tertiair!N16</f>
        <v>2318.8145283211034</v>
      </c>
      <c r="P10" s="686">
        <f>tertiair!O16</f>
        <v>3.1266666666666669</v>
      </c>
      <c r="Q10" s="687">
        <f>tertiair!P16</f>
        <v>57.2</v>
      </c>
      <c r="R10" s="689">
        <f ca="1">SUM(C10:Q10)</f>
        <v>218852.85463414274</v>
      </c>
      <c r="S10" s="67"/>
    </row>
    <row r="11" spans="1:19" s="454" customFormat="1">
      <c r="A11" s="801" t="s">
        <v>224</v>
      </c>
      <c r="B11" s="806"/>
      <c r="C11" s="686">
        <f>huishoudens!B8</f>
        <v>76354.779458026998</v>
      </c>
      <c r="D11" s="686">
        <f>huishoudens!C8</f>
        <v>0</v>
      </c>
      <c r="E11" s="686">
        <f>huishoudens!D8</f>
        <v>223168.97338971595</v>
      </c>
      <c r="F11" s="686">
        <f>huishoudens!E8</f>
        <v>9412.691417952552</v>
      </c>
      <c r="G11" s="686">
        <f>huishoudens!F8</f>
        <v>24847.752359663387</v>
      </c>
      <c r="H11" s="686">
        <f>huishoudens!G8</f>
        <v>0</v>
      </c>
      <c r="I11" s="686">
        <f>huishoudens!H8</f>
        <v>0</v>
      </c>
      <c r="J11" s="686">
        <f>huishoudens!I8</f>
        <v>0</v>
      </c>
      <c r="K11" s="686">
        <f>huishoudens!J8</f>
        <v>7445.5238822316223</v>
      </c>
      <c r="L11" s="686">
        <f>huishoudens!K8</f>
        <v>0</v>
      </c>
      <c r="M11" s="686">
        <f>huishoudens!L8</f>
        <v>0</v>
      </c>
      <c r="N11" s="686">
        <f>huishoudens!M8</f>
        <v>0</v>
      </c>
      <c r="O11" s="686">
        <f>huishoudens!N8</f>
        <v>28025.169501220997</v>
      </c>
      <c r="P11" s="686">
        <f>huishoudens!O8</f>
        <v>243.88000000000002</v>
      </c>
      <c r="Q11" s="687">
        <f>huishoudens!P8</f>
        <v>838.93333333333339</v>
      </c>
      <c r="R11" s="689">
        <f>SUM(C11:Q11)</f>
        <v>370337.70334214478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60206.406830779641</v>
      </c>
      <c r="D13" s="686">
        <f>industrie!C18</f>
        <v>0</v>
      </c>
      <c r="E13" s="686">
        <f>industrie!D18</f>
        <v>77725.577485404545</v>
      </c>
      <c r="F13" s="686">
        <f>industrie!E18</f>
        <v>6861.3361166735858</v>
      </c>
      <c r="G13" s="686">
        <f>industrie!F18</f>
        <v>34469.134339451208</v>
      </c>
      <c r="H13" s="686">
        <f>industrie!G18</f>
        <v>0</v>
      </c>
      <c r="I13" s="686">
        <f>industrie!H18</f>
        <v>0</v>
      </c>
      <c r="J13" s="686">
        <f>industrie!I18</f>
        <v>0</v>
      </c>
      <c r="K13" s="686">
        <f>industrie!J18</f>
        <v>56.410567432909517</v>
      </c>
      <c r="L13" s="686">
        <f>industrie!K18</f>
        <v>0</v>
      </c>
      <c r="M13" s="686">
        <f>industrie!L18</f>
        <v>0</v>
      </c>
      <c r="N13" s="686">
        <f>industrie!M18</f>
        <v>0</v>
      </c>
      <c r="O13" s="686">
        <f>industrie!N18</f>
        <v>5860.4189455338492</v>
      </c>
      <c r="P13" s="686">
        <f>industrie!O18</f>
        <v>0</v>
      </c>
      <c r="Q13" s="687">
        <f>industrie!P18</f>
        <v>0</v>
      </c>
      <c r="R13" s="689">
        <f>SUM(C13:Q13)</f>
        <v>185179.28428527573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227115.62091832334</v>
      </c>
      <c r="D16" s="721">
        <f t="shared" ref="D16:R16" ca="1" si="0">SUM(D9:D15)</f>
        <v>0</v>
      </c>
      <c r="E16" s="721">
        <f t="shared" ca="1" si="0"/>
        <v>409112.05195811903</v>
      </c>
      <c r="F16" s="721">
        <f t="shared" si="0"/>
        <v>17159.670131769479</v>
      </c>
      <c r="G16" s="721">
        <f t="shared" ca="1" si="0"/>
        <v>76133.021828610974</v>
      </c>
      <c r="H16" s="721">
        <f t="shared" si="0"/>
        <v>0</v>
      </c>
      <c r="I16" s="721">
        <f t="shared" si="0"/>
        <v>0</v>
      </c>
      <c r="J16" s="721">
        <f t="shared" si="0"/>
        <v>0</v>
      </c>
      <c r="K16" s="721">
        <f t="shared" si="0"/>
        <v>7501.9344496645317</v>
      </c>
      <c r="L16" s="721">
        <f t="shared" si="0"/>
        <v>0</v>
      </c>
      <c r="M16" s="721">
        <f t="shared" ca="1" si="0"/>
        <v>0</v>
      </c>
      <c r="N16" s="721">
        <f t="shared" si="0"/>
        <v>0</v>
      </c>
      <c r="O16" s="721">
        <f t="shared" ca="1" si="0"/>
        <v>36204.402975075951</v>
      </c>
      <c r="P16" s="721">
        <f t="shared" si="0"/>
        <v>247.00666666666669</v>
      </c>
      <c r="Q16" s="721">
        <f t="shared" si="0"/>
        <v>896.13333333333344</v>
      </c>
      <c r="R16" s="721">
        <f t="shared" ca="1" si="0"/>
        <v>774369.84226156329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3875.626650053639</v>
      </c>
      <c r="I19" s="686">
        <f>transport!H54</f>
        <v>0</v>
      </c>
      <c r="J19" s="686">
        <f>transport!I54</f>
        <v>0</v>
      </c>
      <c r="K19" s="686">
        <f>transport!J54</f>
        <v>0</v>
      </c>
      <c r="L19" s="686">
        <f>transport!K54</f>
        <v>0</v>
      </c>
      <c r="M19" s="686">
        <f>transport!L54</f>
        <v>0</v>
      </c>
      <c r="N19" s="686">
        <f>transport!M54</f>
        <v>172.50734846952329</v>
      </c>
      <c r="O19" s="686">
        <f>transport!N54</f>
        <v>0</v>
      </c>
      <c r="P19" s="686">
        <f>transport!O54</f>
        <v>0</v>
      </c>
      <c r="Q19" s="687">
        <f>transport!P54</f>
        <v>0</v>
      </c>
      <c r="R19" s="689">
        <f>SUM(C19:Q19)</f>
        <v>4048.1339985231621</v>
      </c>
      <c r="S19" s="67"/>
    </row>
    <row r="20" spans="1:19" s="454" customFormat="1">
      <c r="A20" s="801" t="s">
        <v>306</v>
      </c>
      <c r="B20" s="806"/>
      <c r="C20" s="686">
        <f>transport!B14</f>
        <v>9.5198147957841392</v>
      </c>
      <c r="D20" s="686">
        <f>transport!C14</f>
        <v>0</v>
      </c>
      <c r="E20" s="686">
        <f>transport!D14</f>
        <v>16.350445041222432</v>
      </c>
      <c r="F20" s="686">
        <f>transport!E14</f>
        <v>574.96885799427014</v>
      </c>
      <c r="G20" s="686">
        <f>transport!F14</f>
        <v>0</v>
      </c>
      <c r="H20" s="686">
        <f>transport!G14</f>
        <v>171679.59678577972</v>
      </c>
      <c r="I20" s="686">
        <f>transport!H14</f>
        <v>29716.514066271251</v>
      </c>
      <c r="J20" s="686">
        <f>transport!I14</f>
        <v>0</v>
      </c>
      <c r="K20" s="686">
        <f>transport!J14</f>
        <v>0</v>
      </c>
      <c r="L20" s="686">
        <f>transport!K14</f>
        <v>0</v>
      </c>
      <c r="M20" s="686">
        <f>transport!L14</f>
        <v>0</v>
      </c>
      <c r="N20" s="686">
        <f>transport!M14</f>
        <v>9106.1250799523277</v>
      </c>
      <c r="O20" s="686">
        <f>transport!N14</f>
        <v>0</v>
      </c>
      <c r="P20" s="686">
        <f>transport!O14</f>
        <v>0</v>
      </c>
      <c r="Q20" s="687">
        <f>transport!P14</f>
        <v>0</v>
      </c>
      <c r="R20" s="689">
        <f>SUM(C20:Q20)</f>
        <v>211103.07504983459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9.5198147957841392</v>
      </c>
      <c r="D22" s="804">
        <f t="shared" ref="D22:R22" si="1">SUM(D18:D21)</f>
        <v>0</v>
      </c>
      <c r="E22" s="804">
        <f t="shared" si="1"/>
        <v>16.350445041222432</v>
      </c>
      <c r="F22" s="804">
        <f t="shared" si="1"/>
        <v>574.96885799427014</v>
      </c>
      <c r="G22" s="804">
        <f t="shared" si="1"/>
        <v>0</v>
      </c>
      <c r="H22" s="804">
        <f t="shared" si="1"/>
        <v>175555.22343583335</v>
      </c>
      <c r="I22" s="804">
        <f t="shared" si="1"/>
        <v>29716.514066271251</v>
      </c>
      <c r="J22" s="804">
        <f t="shared" si="1"/>
        <v>0</v>
      </c>
      <c r="K22" s="804">
        <f t="shared" si="1"/>
        <v>0</v>
      </c>
      <c r="L22" s="804">
        <f t="shared" si="1"/>
        <v>0</v>
      </c>
      <c r="M22" s="804">
        <f t="shared" si="1"/>
        <v>0</v>
      </c>
      <c r="N22" s="804">
        <f t="shared" si="1"/>
        <v>9278.6324284218517</v>
      </c>
      <c r="O22" s="804">
        <f t="shared" si="1"/>
        <v>0</v>
      </c>
      <c r="P22" s="804">
        <f t="shared" si="1"/>
        <v>0</v>
      </c>
      <c r="Q22" s="804">
        <f t="shared" si="1"/>
        <v>0</v>
      </c>
      <c r="R22" s="804">
        <f t="shared" si="1"/>
        <v>215151.20904835776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1099.756995540977</v>
      </c>
      <c r="D24" s="686">
        <f>+landbouw!C8</f>
        <v>77.142857142857139</v>
      </c>
      <c r="E24" s="686">
        <f>+landbouw!D8</f>
        <v>2014.9106208945641</v>
      </c>
      <c r="F24" s="686">
        <f>+landbouw!E8</f>
        <v>13.858354918886089</v>
      </c>
      <c r="G24" s="686">
        <f>+landbouw!F8</f>
        <v>3794.4371402058873</v>
      </c>
      <c r="H24" s="686">
        <f>+landbouw!G8</f>
        <v>0</v>
      </c>
      <c r="I24" s="686">
        <f>+landbouw!H8</f>
        <v>0</v>
      </c>
      <c r="J24" s="686">
        <f>+landbouw!I8</f>
        <v>0</v>
      </c>
      <c r="K24" s="686">
        <f>+landbouw!J8</f>
        <v>165.39095053306002</v>
      </c>
      <c r="L24" s="686">
        <f>+landbouw!K8</f>
        <v>0</v>
      </c>
      <c r="M24" s="686">
        <f>+landbouw!L8</f>
        <v>0</v>
      </c>
      <c r="N24" s="686">
        <f>+landbouw!M8</f>
        <v>0</v>
      </c>
      <c r="O24" s="686">
        <f>+landbouw!N8</f>
        <v>0</v>
      </c>
      <c r="P24" s="686">
        <f>+landbouw!O8</f>
        <v>0</v>
      </c>
      <c r="Q24" s="687">
        <f>+landbouw!P8</f>
        <v>0</v>
      </c>
      <c r="R24" s="689">
        <f>SUM(C24:Q24)</f>
        <v>7165.4969192362323</v>
      </c>
      <c r="S24" s="67"/>
    </row>
    <row r="25" spans="1:19" s="454" customFormat="1" ht="15" thickBot="1">
      <c r="A25" s="823" t="s">
        <v>856</v>
      </c>
      <c r="B25" s="991"/>
      <c r="C25" s="992">
        <f>IF(Onbekend_ele_kWh="---",0,Onbekend_ele_kWh)/1000+IF(REST_rest_ele_kWh="---",0,REST_rest_ele_kWh)/1000</f>
        <v>3061.15341693441</v>
      </c>
      <c r="D25" s="992"/>
      <c r="E25" s="992">
        <f>IF(onbekend_gas_kWh="---",0,onbekend_gas_kWh)/1000+IF(REST_rest_gas_kWh="---",0,REST_rest_gas_kWh)/1000</f>
        <v>11597.8485123721</v>
      </c>
      <c r="F25" s="992"/>
      <c r="G25" s="992"/>
      <c r="H25" s="992"/>
      <c r="I25" s="992"/>
      <c r="J25" s="992"/>
      <c r="K25" s="992"/>
      <c r="L25" s="992"/>
      <c r="M25" s="992"/>
      <c r="N25" s="992"/>
      <c r="O25" s="992"/>
      <c r="P25" s="992"/>
      <c r="Q25" s="993"/>
      <c r="R25" s="689">
        <f>SUM(C25:Q25)</f>
        <v>14659.001929306511</v>
      </c>
      <c r="S25" s="67"/>
    </row>
    <row r="26" spans="1:19" s="454" customFormat="1" ht="15.75" thickBot="1">
      <c r="A26" s="694" t="s">
        <v>857</v>
      </c>
      <c r="B26" s="809"/>
      <c r="C26" s="804">
        <f>SUM(C24:C25)</f>
        <v>4160.9104124753867</v>
      </c>
      <c r="D26" s="804">
        <f t="shared" ref="D26:R26" si="2">SUM(D24:D25)</f>
        <v>77.142857142857139</v>
      </c>
      <c r="E26" s="804">
        <f t="shared" si="2"/>
        <v>13612.759133266663</v>
      </c>
      <c r="F26" s="804">
        <f t="shared" si="2"/>
        <v>13.858354918886089</v>
      </c>
      <c r="G26" s="804">
        <f t="shared" si="2"/>
        <v>3794.4371402058873</v>
      </c>
      <c r="H26" s="804">
        <f t="shared" si="2"/>
        <v>0</v>
      </c>
      <c r="I26" s="804">
        <f t="shared" si="2"/>
        <v>0</v>
      </c>
      <c r="J26" s="804">
        <f t="shared" si="2"/>
        <v>0</v>
      </c>
      <c r="K26" s="804">
        <f t="shared" si="2"/>
        <v>165.39095053306002</v>
      </c>
      <c r="L26" s="804">
        <f t="shared" si="2"/>
        <v>0</v>
      </c>
      <c r="M26" s="804">
        <f t="shared" si="2"/>
        <v>0</v>
      </c>
      <c r="N26" s="804">
        <f t="shared" si="2"/>
        <v>0</v>
      </c>
      <c r="O26" s="804">
        <f t="shared" si="2"/>
        <v>0</v>
      </c>
      <c r="P26" s="804">
        <f t="shared" si="2"/>
        <v>0</v>
      </c>
      <c r="Q26" s="804">
        <f t="shared" si="2"/>
        <v>0</v>
      </c>
      <c r="R26" s="804">
        <f t="shared" si="2"/>
        <v>21824.498848542742</v>
      </c>
      <c r="S26" s="67"/>
    </row>
    <row r="27" spans="1:19" s="454" customFormat="1" ht="17.25" thickTop="1" thickBot="1">
      <c r="A27" s="695" t="s">
        <v>115</v>
      </c>
      <c r="B27" s="796"/>
      <c r="C27" s="696">
        <f ca="1">C22+C16+C26</f>
        <v>231286.05114559451</v>
      </c>
      <c r="D27" s="696">
        <f t="shared" ref="D27:R27" ca="1" si="3">D22+D16+D26</f>
        <v>77.142857142857139</v>
      </c>
      <c r="E27" s="696">
        <f t="shared" ca="1" si="3"/>
        <v>422741.16153642687</v>
      </c>
      <c r="F27" s="696">
        <f t="shared" si="3"/>
        <v>17748.497344682633</v>
      </c>
      <c r="G27" s="696">
        <f t="shared" ca="1" si="3"/>
        <v>79927.458968816863</v>
      </c>
      <c r="H27" s="696">
        <f t="shared" si="3"/>
        <v>175555.22343583335</v>
      </c>
      <c r="I27" s="696">
        <f t="shared" si="3"/>
        <v>29716.514066271251</v>
      </c>
      <c r="J27" s="696">
        <f t="shared" si="3"/>
        <v>0</v>
      </c>
      <c r="K27" s="696">
        <f t="shared" si="3"/>
        <v>7667.325400197592</v>
      </c>
      <c r="L27" s="696">
        <f t="shared" si="3"/>
        <v>0</v>
      </c>
      <c r="M27" s="696">
        <f t="shared" ca="1" si="3"/>
        <v>0</v>
      </c>
      <c r="N27" s="696">
        <f t="shared" si="3"/>
        <v>9278.6324284218517</v>
      </c>
      <c r="O27" s="696">
        <f t="shared" ca="1" si="3"/>
        <v>36204.402975075951</v>
      </c>
      <c r="P27" s="696">
        <f t="shared" si="3"/>
        <v>247.00666666666669</v>
      </c>
      <c r="Q27" s="696">
        <f t="shared" si="3"/>
        <v>896.13333333333344</v>
      </c>
      <c r="R27" s="696">
        <f t="shared" ca="1" si="3"/>
        <v>1011345.5501584638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17834.451498948911</v>
      </c>
      <c r="D40" s="686">
        <f ca="1">tertiair!C20</f>
        <v>0</v>
      </c>
      <c r="E40" s="686">
        <f ca="1">tertiair!D20</f>
        <v>21859.93521876571</v>
      </c>
      <c r="F40" s="686">
        <f>tertiair!E20</f>
        <v>201.0408695515388</v>
      </c>
      <c r="G40" s="686">
        <f ca="1">tertiair!F20</f>
        <v>4489.9080795755317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44385.335666841682</v>
      </c>
    </row>
    <row r="41" spans="1:18">
      <c r="A41" s="814" t="s">
        <v>224</v>
      </c>
      <c r="B41" s="821"/>
      <c r="C41" s="686">
        <f ca="1">huishoudens!B12</f>
        <v>15037.867736996004</v>
      </c>
      <c r="D41" s="686">
        <f ca="1">huishoudens!C12</f>
        <v>0</v>
      </c>
      <c r="E41" s="686">
        <f>huishoudens!D12</f>
        <v>45080.132624722624</v>
      </c>
      <c r="F41" s="686">
        <f>huishoudens!E12</f>
        <v>2136.6809518752293</v>
      </c>
      <c r="G41" s="686">
        <f>huishoudens!F12</f>
        <v>6634.349880030125</v>
      </c>
      <c r="H41" s="686">
        <f>huishoudens!G12</f>
        <v>0</v>
      </c>
      <c r="I41" s="686">
        <f>huishoudens!H12</f>
        <v>0</v>
      </c>
      <c r="J41" s="686">
        <f>huishoudens!I12</f>
        <v>0</v>
      </c>
      <c r="K41" s="686">
        <f>huishoudens!J12</f>
        <v>2635.7154543099941</v>
      </c>
      <c r="L41" s="686">
        <f>huishoudens!K12</f>
        <v>0</v>
      </c>
      <c r="M41" s="686">
        <f>huishoudens!L12</f>
        <v>0</v>
      </c>
      <c r="N41" s="686">
        <f>huishoudens!M12</f>
        <v>0</v>
      </c>
      <c r="O41" s="686">
        <f>huishoudens!N12</f>
        <v>0</v>
      </c>
      <c r="P41" s="686">
        <f>huishoudens!O12</f>
        <v>0</v>
      </c>
      <c r="Q41" s="763">
        <f>huishoudens!P12</f>
        <v>0</v>
      </c>
      <c r="R41" s="842">
        <f t="shared" ca="1" si="4"/>
        <v>71524.746647933978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11857.489331610621</v>
      </c>
      <c r="D43" s="686">
        <f ca="1">industrie!C22</f>
        <v>0</v>
      </c>
      <c r="E43" s="686">
        <f>industrie!D22</f>
        <v>15700.566652051719</v>
      </c>
      <c r="F43" s="686">
        <f>industrie!E22</f>
        <v>1557.523298484904</v>
      </c>
      <c r="G43" s="686">
        <f>industrie!F22</f>
        <v>9203.258868633473</v>
      </c>
      <c r="H43" s="686">
        <f>industrie!G22</f>
        <v>0</v>
      </c>
      <c r="I43" s="686">
        <f>industrie!H22</f>
        <v>0</v>
      </c>
      <c r="J43" s="686">
        <f>industrie!I22</f>
        <v>0</v>
      </c>
      <c r="K43" s="686">
        <f>industrie!J22</f>
        <v>19.969340871249969</v>
      </c>
      <c r="L43" s="686">
        <f>industrie!K22</f>
        <v>0</v>
      </c>
      <c r="M43" s="686">
        <f>industrie!L22</f>
        <v>0</v>
      </c>
      <c r="N43" s="686">
        <f>industrie!M22</f>
        <v>0</v>
      </c>
      <c r="O43" s="686">
        <f>industrie!N22</f>
        <v>0</v>
      </c>
      <c r="P43" s="686">
        <f>industrie!O22</f>
        <v>0</v>
      </c>
      <c r="Q43" s="763">
        <f>industrie!P22</f>
        <v>0</v>
      </c>
      <c r="R43" s="841">
        <f t="shared" ca="1" si="4"/>
        <v>38338.807491651962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44729.808567555534</v>
      </c>
      <c r="D46" s="721">
        <f t="shared" ref="D46:Q46" ca="1" si="5">SUM(D39:D45)</f>
        <v>0</v>
      </c>
      <c r="E46" s="721">
        <f t="shared" ca="1" si="5"/>
        <v>82640.634495540056</v>
      </c>
      <c r="F46" s="721">
        <f t="shared" si="5"/>
        <v>3895.2451199116722</v>
      </c>
      <c r="G46" s="721">
        <f t="shared" ca="1" si="5"/>
        <v>20327.516828239131</v>
      </c>
      <c r="H46" s="721">
        <f t="shared" si="5"/>
        <v>0</v>
      </c>
      <c r="I46" s="721">
        <f t="shared" si="5"/>
        <v>0</v>
      </c>
      <c r="J46" s="721">
        <f t="shared" si="5"/>
        <v>0</v>
      </c>
      <c r="K46" s="721">
        <f t="shared" si="5"/>
        <v>2655.6847951812442</v>
      </c>
      <c r="L46" s="721">
        <f t="shared" si="5"/>
        <v>0</v>
      </c>
      <c r="M46" s="721">
        <f t="shared" ca="1" si="5"/>
        <v>0</v>
      </c>
      <c r="N46" s="721">
        <f t="shared" si="5"/>
        <v>0</v>
      </c>
      <c r="O46" s="721">
        <f t="shared" ca="1" si="5"/>
        <v>0</v>
      </c>
      <c r="P46" s="721">
        <f t="shared" si="5"/>
        <v>0</v>
      </c>
      <c r="Q46" s="721">
        <f t="shared" si="5"/>
        <v>0</v>
      </c>
      <c r="R46" s="721">
        <f ca="1">SUM(R39:R45)</f>
        <v>154248.88980642761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1034.7923155643216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1034.7923155643216</v>
      </c>
    </row>
    <row r="50" spans="1:18">
      <c r="A50" s="817" t="s">
        <v>306</v>
      </c>
      <c r="B50" s="827"/>
      <c r="C50" s="692">
        <f ca="1">transport!B18</f>
        <v>1.8749018305840928</v>
      </c>
      <c r="D50" s="692">
        <f>transport!C18</f>
        <v>0</v>
      </c>
      <c r="E50" s="692">
        <f>transport!D18</f>
        <v>3.3027898983269317</v>
      </c>
      <c r="F50" s="692">
        <f>transport!E18</f>
        <v>130.51793076469932</v>
      </c>
      <c r="G50" s="692">
        <f>transport!F18</f>
        <v>0</v>
      </c>
      <c r="H50" s="692">
        <f>transport!G18</f>
        <v>45838.452341803189</v>
      </c>
      <c r="I50" s="692">
        <f>transport!H18</f>
        <v>7399.4120025015418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53373.559966798341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1.8749018305840928</v>
      </c>
      <c r="D52" s="721">
        <f t="shared" ref="D52:Q52" ca="1" si="6">SUM(D48:D51)</f>
        <v>0</v>
      </c>
      <c r="E52" s="721">
        <f t="shared" si="6"/>
        <v>3.3027898983269317</v>
      </c>
      <c r="F52" s="721">
        <f t="shared" si="6"/>
        <v>130.51793076469932</v>
      </c>
      <c r="G52" s="721">
        <f t="shared" si="6"/>
        <v>0</v>
      </c>
      <c r="H52" s="721">
        <f t="shared" si="6"/>
        <v>46873.244657367512</v>
      </c>
      <c r="I52" s="721">
        <f t="shared" si="6"/>
        <v>7399.4120025015418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54408.352282362663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216.59417208941613</v>
      </c>
      <c r="D54" s="692">
        <f ca="1">+landbouw!C12</f>
        <v>0</v>
      </c>
      <c r="E54" s="692">
        <f>+landbouw!D12</f>
        <v>407.01194542070198</v>
      </c>
      <c r="F54" s="692">
        <f>+landbouw!E12</f>
        <v>3.1458465665871422</v>
      </c>
      <c r="G54" s="692">
        <f>+landbouw!F12</f>
        <v>1013.114716434972</v>
      </c>
      <c r="H54" s="692">
        <f>+landbouw!G12</f>
        <v>0</v>
      </c>
      <c r="I54" s="692">
        <f>+landbouw!H12</f>
        <v>0</v>
      </c>
      <c r="J54" s="692">
        <f>+landbouw!I12</f>
        <v>0</v>
      </c>
      <c r="K54" s="692">
        <f>+landbouw!J12</f>
        <v>58.548396488703247</v>
      </c>
      <c r="L54" s="692">
        <f>+landbouw!K12</f>
        <v>0</v>
      </c>
      <c r="M54" s="692">
        <f>+landbouw!L12</f>
        <v>0</v>
      </c>
      <c r="N54" s="692">
        <f>+landbouw!M12</f>
        <v>0</v>
      </c>
      <c r="O54" s="692">
        <f>+landbouw!N12</f>
        <v>0</v>
      </c>
      <c r="P54" s="692">
        <f>+landbouw!O12</f>
        <v>0</v>
      </c>
      <c r="Q54" s="693">
        <f>+landbouw!P12</f>
        <v>0</v>
      </c>
      <c r="R54" s="720">
        <f ca="1">SUM(C54:Q54)</f>
        <v>1698.4150770003805</v>
      </c>
    </row>
    <row r="55" spans="1:18" ht="15" thickBot="1">
      <c r="A55" s="817" t="s">
        <v>856</v>
      </c>
      <c r="B55" s="827"/>
      <c r="C55" s="692">
        <f ca="1">C25*'EF ele_warmte'!B12</f>
        <v>602.8859035840444</v>
      </c>
      <c r="D55" s="692"/>
      <c r="E55" s="692">
        <f>E25*EF_CO2_aardgas</f>
        <v>2342.7653994991642</v>
      </c>
      <c r="F55" s="692"/>
      <c r="G55" s="692"/>
      <c r="H55" s="692"/>
      <c r="I55" s="692"/>
      <c r="J55" s="692"/>
      <c r="K55" s="692"/>
      <c r="L55" s="692"/>
      <c r="M55" s="692"/>
      <c r="N55" s="692"/>
      <c r="O55" s="692"/>
      <c r="P55" s="692"/>
      <c r="Q55" s="693"/>
      <c r="R55" s="720">
        <f ca="1">SUM(C55:Q55)</f>
        <v>2945.6513030832084</v>
      </c>
    </row>
    <row r="56" spans="1:18" ht="15.75" thickBot="1">
      <c r="A56" s="815" t="s">
        <v>857</v>
      </c>
      <c r="B56" s="828"/>
      <c r="C56" s="721">
        <f ca="1">SUM(C54:C55)</f>
        <v>819.48007567346053</v>
      </c>
      <c r="D56" s="721">
        <f t="shared" ref="D56:Q56" ca="1" si="7">SUM(D54:D55)</f>
        <v>0</v>
      </c>
      <c r="E56" s="721">
        <f t="shared" si="7"/>
        <v>2749.7773449198662</v>
      </c>
      <c r="F56" s="721">
        <f t="shared" si="7"/>
        <v>3.1458465665871422</v>
      </c>
      <c r="G56" s="721">
        <f t="shared" si="7"/>
        <v>1013.114716434972</v>
      </c>
      <c r="H56" s="721">
        <f t="shared" si="7"/>
        <v>0</v>
      </c>
      <c r="I56" s="721">
        <f t="shared" si="7"/>
        <v>0</v>
      </c>
      <c r="J56" s="721">
        <f t="shared" si="7"/>
        <v>0</v>
      </c>
      <c r="K56" s="721">
        <f t="shared" si="7"/>
        <v>58.548396488703247</v>
      </c>
      <c r="L56" s="721">
        <f t="shared" si="7"/>
        <v>0</v>
      </c>
      <c r="M56" s="721">
        <f t="shared" si="7"/>
        <v>0</v>
      </c>
      <c r="N56" s="721">
        <f t="shared" si="7"/>
        <v>0</v>
      </c>
      <c r="O56" s="721">
        <f t="shared" si="7"/>
        <v>0</v>
      </c>
      <c r="P56" s="721">
        <f t="shared" si="7"/>
        <v>0</v>
      </c>
      <c r="Q56" s="722">
        <f t="shared" si="7"/>
        <v>0</v>
      </c>
      <c r="R56" s="723">
        <f ca="1">SUM(R54:R55)</f>
        <v>4644.0663800835891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45551.163545059579</v>
      </c>
      <c r="D61" s="729">
        <f t="shared" ref="D61:Q61" ca="1" si="8">D46+D52+D56</f>
        <v>0</v>
      </c>
      <c r="E61" s="729">
        <f t="shared" ca="1" si="8"/>
        <v>85393.714630358256</v>
      </c>
      <c r="F61" s="729">
        <f t="shared" si="8"/>
        <v>4028.908897242959</v>
      </c>
      <c r="G61" s="729">
        <f t="shared" ca="1" si="8"/>
        <v>21340.631544674103</v>
      </c>
      <c r="H61" s="729">
        <f t="shared" si="8"/>
        <v>46873.244657367512</v>
      </c>
      <c r="I61" s="729">
        <f t="shared" si="8"/>
        <v>7399.4120025015418</v>
      </c>
      <c r="J61" s="729">
        <f t="shared" si="8"/>
        <v>0</v>
      </c>
      <c r="K61" s="729">
        <f t="shared" si="8"/>
        <v>2714.2331916699477</v>
      </c>
      <c r="L61" s="729">
        <f t="shared" si="8"/>
        <v>0</v>
      </c>
      <c r="M61" s="729">
        <f t="shared" ca="1" si="8"/>
        <v>0</v>
      </c>
      <c r="N61" s="729">
        <f t="shared" si="8"/>
        <v>0</v>
      </c>
      <c r="O61" s="729">
        <f t="shared" ca="1" si="8"/>
        <v>0</v>
      </c>
      <c r="P61" s="729">
        <f t="shared" si="8"/>
        <v>0</v>
      </c>
      <c r="Q61" s="729">
        <f t="shared" si="8"/>
        <v>0</v>
      </c>
      <c r="R61" s="729">
        <f ca="1">R46+R52+R56</f>
        <v>213301.30846887387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0.1969473010561503</v>
      </c>
      <c r="D63" s="772">
        <f t="shared" ca="1" si="9"/>
        <v>0</v>
      </c>
      <c r="E63" s="998">
        <f t="shared" ca="1" si="9"/>
        <v>0.20200000000000007</v>
      </c>
      <c r="F63" s="772">
        <f t="shared" si="9"/>
        <v>0.22700000000000006</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8464.710943</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14214.478007754793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54</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63.529411764705898</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2439</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6968.5714285714294</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25172.188950754793</v>
      </c>
      <c r="C78" s="744">
        <f>SUM(C72:C77)</f>
        <v>0</v>
      </c>
      <c r="D78" s="745">
        <f t="shared" ref="D78:H78" si="10">SUM(D76:D77)</f>
        <v>0</v>
      </c>
      <c r="E78" s="745">
        <f t="shared" si="10"/>
        <v>0</v>
      </c>
      <c r="F78" s="745">
        <f t="shared" si="10"/>
        <v>0</v>
      </c>
      <c r="G78" s="745">
        <f t="shared" si="10"/>
        <v>0</v>
      </c>
      <c r="H78" s="745">
        <f t="shared" si="10"/>
        <v>0</v>
      </c>
      <c r="I78" s="745">
        <f>SUM(I76:I77)</f>
        <v>0</v>
      </c>
      <c r="J78" s="745">
        <f>SUM(J76:J77)</f>
        <v>7032.1008403361357</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77.142857142857139</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90.756302521008422</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77.142857142857139</v>
      </c>
      <c r="C90" s="744">
        <f>SUM(C87:C89)</f>
        <v>0</v>
      </c>
      <c r="D90" s="744">
        <f t="shared" ref="D90:H90" si="12">SUM(D87:D89)</f>
        <v>0</v>
      </c>
      <c r="E90" s="744">
        <f t="shared" si="12"/>
        <v>0</v>
      </c>
      <c r="F90" s="744">
        <f t="shared" si="12"/>
        <v>0</v>
      </c>
      <c r="G90" s="744">
        <f t="shared" si="12"/>
        <v>0</v>
      </c>
      <c r="H90" s="744">
        <f t="shared" si="12"/>
        <v>0</v>
      </c>
      <c r="I90" s="744">
        <f>SUM(I87:I89)</f>
        <v>0</v>
      </c>
      <c r="J90" s="744">
        <f>SUM(J87:J89)</f>
        <v>90.756302521008422</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8464.710943</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14214.478007754793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54</v>
      </c>
      <c r="C8" s="556">
        <f>B48</f>
        <v>0</v>
      </c>
      <c r="D8" s="1015"/>
      <c r="E8" s="1015">
        <f>E48</f>
        <v>0</v>
      </c>
      <c r="F8" s="1016"/>
      <c r="G8" s="557"/>
      <c r="H8" s="1015">
        <f>I48</f>
        <v>0</v>
      </c>
      <c r="I8" s="1015">
        <f>G48+F48</f>
        <v>0</v>
      </c>
      <c r="J8" s="1015">
        <f>H48+D48+C48</f>
        <v>63.529411764705898</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2439</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25172.188950754793</v>
      </c>
      <c r="C10" s="569">
        <f t="shared" ref="C10:L10" si="0">SUM(C8:C9)</f>
        <v>0</v>
      </c>
      <c r="D10" s="569">
        <f t="shared" si="0"/>
        <v>0</v>
      </c>
      <c r="E10" s="569">
        <f t="shared" si="0"/>
        <v>0</v>
      </c>
      <c r="F10" s="569">
        <f t="shared" si="0"/>
        <v>0</v>
      </c>
      <c r="G10" s="569">
        <f t="shared" si="0"/>
        <v>0</v>
      </c>
      <c r="H10" s="569">
        <f t="shared" si="0"/>
        <v>0</v>
      </c>
      <c r="I10" s="569">
        <f t="shared" si="0"/>
        <v>0</v>
      </c>
      <c r="J10" s="569">
        <f t="shared" si="0"/>
        <v>7032.1008403361357</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77.142857142857139</v>
      </c>
      <c r="C17" s="581">
        <f>B49</f>
        <v>0</v>
      </c>
      <c r="D17" s="582"/>
      <c r="E17" s="582">
        <f>E49</f>
        <v>0</v>
      </c>
      <c r="F17" s="1021"/>
      <c r="G17" s="583"/>
      <c r="H17" s="581">
        <f>I49</f>
        <v>0</v>
      </c>
      <c r="I17" s="582">
        <f>G49+F49</f>
        <v>0</v>
      </c>
      <c r="J17" s="582">
        <f>H49+D49+C49</f>
        <v>90.756302521008422</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77.142857142857139</v>
      </c>
      <c r="C20" s="568">
        <f>SUM(C17:C19)</f>
        <v>0</v>
      </c>
      <c r="D20" s="568">
        <f t="shared" ref="D20:L20" si="1">SUM(D17:D19)</f>
        <v>0</v>
      </c>
      <c r="E20" s="568">
        <f t="shared" si="1"/>
        <v>0</v>
      </c>
      <c r="F20" s="568">
        <f t="shared" si="1"/>
        <v>0</v>
      </c>
      <c r="G20" s="568">
        <f t="shared" si="1"/>
        <v>0</v>
      </c>
      <c r="H20" s="568">
        <f t="shared" si="1"/>
        <v>0</v>
      </c>
      <c r="I20" s="568">
        <f t="shared" si="1"/>
        <v>0</v>
      </c>
      <c r="J20" s="568">
        <f t="shared" si="1"/>
        <v>90.756302521008422</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42006</v>
      </c>
      <c r="C28" s="787">
        <v>9200</v>
      </c>
      <c r="D28" s="640" t="s">
        <v>920</v>
      </c>
      <c r="E28" s="639" t="s">
        <v>921</v>
      </c>
      <c r="F28" s="639" t="s">
        <v>922</v>
      </c>
      <c r="G28" s="639" t="s">
        <v>923</v>
      </c>
      <c r="H28" s="639" t="s">
        <v>924</v>
      </c>
      <c r="I28" s="639" t="s">
        <v>921</v>
      </c>
      <c r="J28" s="786">
        <v>40968</v>
      </c>
      <c r="K28" s="786">
        <v>41091</v>
      </c>
      <c r="L28" s="639" t="s">
        <v>925</v>
      </c>
      <c r="M28" s="639">
        <v>12</v>
      </c>
      <c r="N28" s="639">
        <v>54</v>
      </c>
      <c r="O28" s="639">
        <v>77.142857142857139</v>
      </c>
      <c r="P28" s="639">
        <v>0</v>
      </c>
      <c r="Q28" s="639">
        <v>0</v>
      </c>
      <c r="R28" s="639">
        <v>0</v>
      </c>
      <c r="S28" s="639">
        <v>0</v>
      </c>
      <c r="T28" s="639">
        <v>0</v>
      </c>
      <c r="U28" s="639">
        <v>0</v>
      </c>
      <c r="V28" s="639">
        <v>154.28571428571431</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12</v>
      </c>
      <c r="N29" s="597">
        <f>SUM(N28:N28)</f>
        <v>54</v>
      </c>
      <c r="O29" s="597">
        <f>SUM(O28:O28)</f>
        <v>77.142857142857139</v>
      </c>
      <c r="P29" s="597">
        <f>SUM(P28:P28)</f>
        <v>0</v>
      </c>
      <c r="Q29" s="597">
        <f>SUM(Q28:Q28)</f>
        <v>0</v>
      </c>
      <c r="R29" s="597">
        <f>SUM(R28:R28)</f>
        <v>0</v>
      </c>
      <c r="S29" s="597">
        <f>SUM(S28:S28)</f>
        <v>0</v>
      </c>
      <c r="T29" s="597">
        <f>SUM(T28:T28)</f>
        <v>0</v>
      </c>
      <c r="U29" s="597">
        <f>SUM(U28:U28)</f>
        <v>0</v>
      </c>
      <c r="V29" s="597">
        <f>SUM(V28:V28)</f>
        <v>154.28571428571431</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12</v>
      </c>
      <c r="N32" s="602">
        <f>SUMIF($Z$28:$Z$28,"landbouw",N28:N28)</f>
        <v>54</v>
      </c>
      <c r="O32" s="602">
        <f>SUMIF($Z$28:$Z$28,"landbouw",O28:O28)</f>
        <v>77.142857142857139</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154.28571428571431</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63.75">
      <c r="A35" s="594"/>
      <c r="B35" s="787">
        <v>42006</v>
      </c>
      <c r="C35" s="787">
        <v>9200</v>
      </c>
      <c r="D35" s="642" t="s">
        <v>926</v>
      </c>
      <c r="E35" s="642" t="s">
        <v>927</v>
      </c>
      <c r="F35" s="642" t="s">
        <v>928</v>
      </c>
      <c r="G35" s="642" t="s">
        <v>929</v>
      </c>
      <c r="H35" s="642" t="s">
        <v>930</v>
      </c>
      <c r="I35" s="642" t="s">
        <v>931</v>
      </c>
      <c r="J35" s="786">
        <v>37377</v>
      </c>
      <c r="K35" s="786">
        <v>37469</v>
      </c>
      <c r="L35" s="642" t="s">
        <v>932</v>
      </c>
      <c r="M35" s="642">
        <v>542</v>
      </c>
      <c r="N35" s="642">
        <v>2439</v>
      </c>
      <c r="O35" s="642">
        <v>0</v>
      </c>
      <c r="P35" s="642">
        <v>0</v>
      </c>
      <c r="Q35" s="642">
        <v>6968.5714285714294</v>
      </c>
      <c r="R35" s="642">
        <v>0</v>
      </c>
      <c r="S35" s="642">
        <v>0</v>
      </c>
      <c r="T35" s="642">
        <v>0</v>
      </c>
      <c r="U35" s="642">
        <v>0</v>
      </c>
      <c r="V35" s="642">
        <v>0</v>
      </c>
      <c r="W35" s="642">
        <v>0</v>
      </c>
      <c r="X35" s="642">
        <v>1600</v>
      </c>
      <c r="Y35" s="642" t="s">
        <v>49</v>
      </c>
      <c r="Z35" s="643" t="s">
        <v>155</v>
      </c>
    </row>
    <row r="36" spans="1:27" s="576" customFormat="1">
      <c r="A36" s="595" t="s">
        <v>279</v>
      </c>
      <c r="B36" s="596"/>
      <c r="C36" s="596"/>
      <c r="D36" s="596"/>
      <c r="E36" s="596"/>
      <c r="F36" s="596"/>
      <c r="G36" s="596"/>
      <c r="H36" s="596"/>
      <c r="I36" s="596"/>
      <c r="J36" s="596"/>
      <c r="K36" s="596"/>
      <c r="L36" s="597"/>
      <c r="M36" s="597">
        <f>SUM(M35:M35)</f>
        <v>542</v>
      </c>
      <c r="N36" s="597">
        <f>SUM(N35:N35)</f>
        <v>2439</v>
      </c>
      <c r="O36" s="597">
        <f>SUM(O35:O35)</f>
        <v>0</v>
      </c>
      <c r="P36" s="597">
        <f>SUM(P35:P35)</f>
        <v>0</v>
      </c>
      <c r="Q36" s="597">
        <f>SUM(Q35:Q35)</f>
        <v>6968.5714285714294</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542</v>
      </c>
      <c r="N38" s="597">
        <f>SUMIF($Z$35:$Z$36,"tertiair",N35:N36)</f>
        <v>2439</v>
      </c>
      <c r="O38" s="597">
        <f>SUMIF($Z$35:$Z$36,"tertiair",O35:O36)</f>
        <v>0</v>
      </c>
      <c r="P38" s="597">
        <f>SUMIF($Z$35:$Z$36,"tertiair",P35:P36)</f>
        <v>0</v>
      </c>
      <c r="Q38" s="597">
        <f>SUMIF($Z$35:$Z$36,"tertiair",Q35:Q36)</f>
        <v>6968.5714285714294</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63.529411764705898</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90.756302521008422</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76354.779458026998</v>
      </c>
      <c r="C4" s="458">
        <f>huishoudens!C8</f>
        <v>0</v>
      </c>
      <c r="D4" s="458">
        <f>huishoudens!D8</f>
        <v>223168.97338971595</v>
      </c>
      <c r="E4" s="458">
        <f>huishoudens!E8</f>
        <v>9412.691417952552</v>
      </c>
      <c r="F4" s="458">
        <f>huishoudens!F8</f>
        <v>24847.752359663387</v>
      </c>
      <c r="G4" s="458">
        <f>huishoudens!G8</f>
        <v>0</v>
      </c>
      <c r="H4" s="458">
        <f>huishoudens!H8</f>
        <v>0</v>
      </c>
      <c r="I4" s="458">
        <f>huishoudens!I8</f>
        <v>0</v>
      </c>
      <c r="J4" s="458">
        <f>huishoudens!J8</f>
        <v>7445.5238822316223</v>
      </c>
      <c r="K4" s="458">
        <f>huishoudens!K8</f>
        <v>0</v>
      </c>
      <c r="L4" s="458">
        <f>huishoudens!L8</f>
        <v>0</v>
      </c>
      <c r="M4" s="458">
        <f>huishoudens!M8</f>
        <v>0</v>
      </c>
      <c r="N4" s="458">
        <f>huishoudens!N8</f>
        <v>28025.169501220997</v>
      </c>
      <c r="O4" s="458">
        <f>huishoudens!O8</f>
        <v>243.88000000000002</v>
      </c>
      <c r="P4" s="459">
        <f>huishoudens!P8</f>
        <v>838.93333333333339</v>
      </c>
      <c r="Q4" s="460">
        <f>SUM(B4:P4)</f>
        <v>370337.70334214478</v>
      </c>
    </row>
    <row r="5" spans="1:17">
      <c r="A5" s="457" t="s">
        <v>155</v>
      </c>
      <c r="B5" s="458">
        <f ca="1">tertiair!B16</f>
        <v>87495.72262951672</v>
      </c>
      <c r="C5" s="458">
        <f ca="1">tertiair!C16</f>
        <v>0</v>
      </c>
      <c r="D5" s="458">
        <f ca="1">tertiair!D16</f>
        <v>108217.50108299855</v>
      </c>
      <c r="E5" s="458">
        <f>tertiair!E16</f>
        <v>885.64259714334275</v>
      </c>
      <c r="F5" s="458">
        <f ca="1">tertiair!F16</f>
        <v>16816.135129496372</v>
      </c>
      <c r="G5" s="458">
        <f>tertiair!G16</f>
        <v>0</v>
      </c>
      <c r="H5" s="458">
        <f>tertiair!H16</f>
        <v>0</v>
      </c>
      <c r="I5" s="458">
        <f>tertiair!I16</f>
        <v>0</v>
      </c>
      <c r="J5" s="458">
        <f>tertiair!J16</f>
        <v>0</v>
      </c>
      <c r="K5" s="458">
        <f>tertiair!K16</f>
        <v>0</v>
      </c>
      <c r="L5" s="458">
        <f ca="1">tertiair!L16</f>
        <v>0</v>
      </c>
      <c r="M5" s="458">
        <f>tertiair!M16</f>
        <v>0</v>
      </c>
      <c r="N5" s="458">
        <f ca="1">tertiair!N16</f>
        <v>2318.8145283211034</v>
      </c>
      <c r="O5" s="458">
        <f>tertiair!O16</f>
        <v>3.1266666666666669</v>
      </c>
      <c r="P5" s="459">
        <f>tertiair!P16</f>
        <v>57.2</v>
      </c>
      <c r="Q5" s="457">
        <f t="shared" ref="Q5:Q14" ca="1" si="0">SUM(B5:P5)</f>
        <v>215794.14263414274</v>
      </c>
    </row>
    <row r="6" spans="1:17">
      <c r="A6" s="457" t="s">
        <v>193</v>
      </c>
      <c r="B6" s="458">
        <f>'openbare verlichting'!B8</f>
        <v>3058.712</v>
      </c>
      <c r="C6" s="458"/>
      <c r="D6" s="458"/>
      <c r="E6" s="458"/>
      <c r="F6" s="458"/>
      <c r="G6" s="458"/>
      <c r="H6" s="458"/>
      <c r="I6" s="458"/>
      <c r="J6" s="458"/>
      <c r="K6" s="458"/>
      <c r="L6" s="458"/>
      <c r="M6" s="458"/>
      <c r="N6" s="458"/>
      <c r="O6" s="458"/>
      <c r="P6" s="459"/>
      <c r="Q6" s="457">
        <f t="shared" si="0"/>
        <v>3058.712</v>
      </c>
    </row>
    <row r="7" spans="1:17">
      <c r="A7" s="457" t="s">
        <v>111</v>
      </c>
      <c r="B7" s="458">
        <f>landbouw!B8</f>
        <v>1099.756995540977</v>
      </c>
      <c r="C7" s="458">
        <f>landbouw!C8</f>
        <v>77.142857142857139</v>
      </c>
      <c r="D7" s="458">
        <f>landbouw!D8</f>
        <v>2014.9106208945641</v>
      </c>
      <c r="E7" s="458">
        <f>landbouw!E8</f>
        <v>13.858354918886089</v>
      </c>
      <c r="F7" s="458">
        <f>landbouw!F8</f>
        <v>3794.4371402058873</v>
      </c>
      <c r="G7" s="458">
        <f>landbouw!G8</f>
        <v>0</v>
      </c>
      <c r="H7" s="458">
        <f>landbouw!H8</f>
        <v>0</v>
      </c>
      <c r="I7" s="458">
        <f>landbouw!I8</f>
        <v>0</v>
      </c>
      <c r="J7" s="458">
        <f>landbouw!J8</f>
        <v>165.39095053306002</v>
      </c>
      <c r="K7" s="458">
        <f>landbouw!K8</f>
        <v>0</v>
      </c>
      <c r="L7" s="458">
        <f>landbouw!L8</f>
        <v>0</v>
      </c>
      <c r="M7" s="458">
        <f>landbouw!M8</f>
        <v>0</v>
      </c>
      <c r="N7" s="458">
        <f>landbouw!N8</f>
        <v>0</v>
      </c>
      <c r="O7" s="458">
        <f>landbouw!O8</f>
        <v>0</v>
      </c>
      <c r="P7" s="459">
        <f>landbouw!P8</f>
        <v>0</v>
      </c>
      <c r="Q7" s="457">
        <f t="shared" si="0"/>
        <v>7165.4969192362323</v>
      </c>
    </row>
    <row r="8" spans="1:17">
      <c r="A8" s="457" t="s">
        <v>655</v>
      </c>
      <c r="B8" s="458">
        <f>industrie!B18</f>
        <v>60206.406830779641</v>
      </c>
      <c r="C8" s="458">
        <f>industrie!C18</f>
        <v>0</v>
      </c>
      <c r="D8" s="458">
        <f>industrie!D18</f>
        <v>77725.577485404545</v>
      </c>
      <c r="E8" s="458">
        <f>industrie!E18</f>
        <v>6861.3361166735858</v>
      </c>
      <c r="F8" s="458">
        <f>industrie!F18</f>
        <v>34469.134339451208</v>
      </c>
      <c r="G8" s="458">
        <f>industrie!G18</f>
        <v>0</v>
      </c>
      <c r="H8" s="458">
        <f>industrie!H18</f>
        <v>0</v>
      </c>
      <c r="I8" s="458">
        <f>industrie!I18</f>
        <v>0</v>
      </c>
      <c r="J8" s="458">
        <f>industrie!J18</f>
        <v>56.410567432909517</v>
      </c>
      <c r="K8" s="458">
        <f>industrie!K18</f>
        <v>0</v>
      </c>
      <c r="L8" s="458">
        <f>industrie!L18</f>
        <v>0</v>
      </c>
      <c r="M8" s="458">
        <f>industrie!M18</f>
        <v>0</v>
      </c>
      <c r="N8" s="458">
        <f>industrie!N18</f>
        <v>5860.4189455338492</v>
      </c>
      <c r="O8" s="458">
        <f>industrie!O18</f>
        <v>0</v>
      </c>
      <c r="P8" s="459">
        <f>industrie!P18</f>
        <v>0</v>
      </c>
      <c r="Q8" s="457">
        <f t="shared" si="0"/>
        <v>185179.28428527573</v>
      </c>
    </row>
    <row r="9" spans="1:17" s="463" customFormat="1">
      <c r="A9" s="461" t="s">
        <v>573</v>
      </c>
      <c r="B9" s="462">
        <f>transport!B14</f>
        <v>9.5198147957841392</v>
      </c>
      <c r="C9" s="462">
        <f>transport!C14</f>
        <v>0</v>
      </c>
      <c r="D9" s="462">
        <f>transport!D14</f>
        <v>16.350445041222432</v>
      </c>
      <c r="E9" s="462">
        <f>transport!E14</f>
        <v>574.96885799427014</v>
      </c>
      <c r="F9" s="462">
        <f>transport!F14</f>
        <v>0</v>
      </c>
      <c r="G9" s="462">
        <f>transport!G14</f>
        <v>171679.59678577972</v>
      </c>
      <c r="H9" s="462">
        <f>transport!H14</f>
        <v>29716.514066271251</v>
      </c>
      <c r="I9" s="462">
        <f>transport!I14</f>
        <v>0</v>
      </c>
      <c r="J9" s="462">
        <f>transport!J14</f>
        <v>0</v>
      </c>
      <c r="K9" s="462">
        <f>transport!K14</f>
        <v>0</v>
      </c>
      <c r="L9" s="462">
        <f>transport!L14</f>
        <v>0</v>
      </c>
      <c r="M9" s="462">
        <f>transport!M14</f>
        <v>9106.1250799523277</v>
      </c>
      <c r="N9" s="462">
        <f>transport!N14</f>
        <v>0</v>
      </c>
      <c r="O9" s="462">
        <f>transport!O14</f>
        <v>0</v>
      </c>
      <c r="P9" s="462">
        <f>transport!P14</f>
        <v>0</v>
      </c>
      <c r="Q9" s="461">
        <f>SUM(B9:P9)</f>
        <v>211103.07504983459</v>
      </c>
    </row>
    <row r="10" spans="1:17">
      <c r="A10" s="457" t="s">
        <v>563</v>
      </c>
      <c r="B10" s="458">
        <f>transport!B54</f>
        <v>0</v>
      </c>
      <c r="C10" s="458">
        <f>transport!C54</f>
        <v>0</v>
      </c>
      <c r="D10" s="458">
        <f>transport!D54</f>
        <v>0</v>
      </c>
      <c r="E10" s="458">
        <f>transport!E54</f>
        <v>0</v>
      </c>
      <c r="F10" s="458">
        <f>transport!F54</f>
        <v>0</v>
      </c>
      <c r="G10" s="458">
        <f>transport!G54</f>
        <v>3875.626650053639</v>
      </c>
      <c r="H10" s="458">
        <f>transport!H54</f>
        <v>0</v>
      </c>
      <c r="I10" s="458">
        <f>transport!I54</f>
        <v>0</v>
      </c>
      <c r="J10" s="458">
        <f>transport!J54</f>
        <v>0</v>
      </c>
      <c r="K10" s="458">
        <f>transport!K54</f>
        <v>0</v>
      </c>
      <c r="L10" s="458">
        <f>transport!L54</f>
        <v>0</v>
      </c>
      <c r="M10" s="458">
        <f>transport!M54</f>
        <v>172.50734846952329</v>
      </c>
      <c r="N10" s="458">
        <f>transport!N54</f>
        <v>0</v>
      </c>
      <c r="O10" s="458">
        <f>transport!O54</f>
        <v>0</v>
      </c>
      <c r="P10" s="459">
        <f>transport!P54</f>
        <v>0</v>
      </c>
      <c r="Q10" s="457">
        <f t="shared" si="0"/>
        <v>4048.1339985231621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3061.15341693441</v>
      </c>
      <c r="C14" s="465"/>
      <c r="D14" s="465">
        <f>'SEAP template'!E25</f>
        <v>11597.8485123721</v>
      </c>
      <c r="E14" s="465"/>
      <c r="F14" s="465"/>
      <c r="G14" s="465"/>
      <c r="H14" s="465"/>
      <c r="I14" s="465"/>
      <c r="J14" s="465"/>
      <c r="K14" s="465"/>
      <c r="L14" s="465"/>
      <c r="M14" s="465"/>
      <c r="N14" s="465"/>
      <c r="O14" s="465"/>
      <c r="P14" s="466"/>
      <c r="Q14" s="457">
        <f t="shared" si="0"/>
        <v>14659.001929306511</v>
      </c>
    </row>
    <row r="15" spans="1:17" s="470" customFormat="1">
      <c r="A15" s="467" t="s">
        <v>567</v>
      </c>
      <c r="B15" s="468">
        <f ca="1">SUM(B4:B14)</f>
        <v>231286.05114559454</v>
      </c>
      <c r="C15" s="468">
        <f t="shared" ref="C15:Q15" ca="1" si="1">SUM(C4:C14)</f>
        <v>77.142857142857139</v>
      </c>
      <c r="D15" s="468">
        <f t="shared" ca="1" si="1"/>
        <v>422741.16153642692</v>
      </c>
      <c r="E15" s="468">
        <f t="shared" si="1"/>
        <v>17748.497344682637</v>
      </c>
      <c r="F15" s="468">
        <f t="shared" ca="1" si="1"/>
        <v>79927.458968816849</v>
      </c>
      <c r="G15" s="468">
        <f t="shared" si="1"/>
        <v>175555.22343583335</v>
      </c>
      <c r="H15" s="468">
        <f t="shared" si="1"/>
        <v>29716.514066271251</v>
      </c>
      <c r="I15" s="468">
        <f t="shared" si="1"/>
        <v>0</v>
      </c>
      <c r="J15" s="468">
        <f t="shared" si="1"/>
        <v>7667.325400197592</v>
      </c>
      <c r="K15" s="468">
        <f t="shared" si="1"/>
        <v>0</v>
      </c>
      <c r="L15" s="468">
        <f t="shared" ca="1" si="1"/>
        <v>0</v>
      </c>
      <c r="M15" s="468">
        <f t="shared" si="1"/>
        <v>9278.6324284218517</v>
      </c>
      <c r="N15" s="468">
        <f t="shared" ca="1" si="1"/>
        <v>36204.402975075951</v>
      </c>
      <c r="O15" s="468">
        <f t="shared" si="1"/>
        <v>247.00666666666669</v>
      </c>
      <c r="P15" s="468">
        <f t="shared" si="1"/>
        <v>896.13333333333344</v>
      </c>
      <c r="Q15" s="468">
        <f t="shared" ca="1" si="1"/>
        <v>1011345.5501584638</v>
      </c>
    </row>
    <row r="17" spans="1:17">
      <c r="A17" s="471" t="s">
        <v>568</v>
      </c>
      <c r="B17" s="777">
        <f ca="1">huishoudens!B10</f>
        <v>0.1969473010561503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15037.867736996004</v>
      </c>
      <c r="C22" s="458">
        <f t="shared" ref="C22:C32" ca="1" si="3">C4*$C$17</f>
        <v>0</v>
      </c>
      <c r="D22" s="458">
        <f t="shared" ref="D22:D32" si="4">D4*$D$17</f>
        <v>45080.132624722624</v>
      </c>
      <c r="E22" s="458">
        <f t="shared" ref="E22:E32" si="5">E4*$E$17</f>
        <v>2136.6809518752293</v>
      </c>
      <c r="F22" s="458">
        <f t="shared" ref="F22:F32" si="6">F4*$F$17</f>
        <v>6634.349880030125</v>
      </c>
      <c r="G22" s="458">
        <f t="shared" ref="G22:G32" si="7">G4*$G$17</f>
        <v>0</v>
      </c>
      <c r="H22" s="458">
        <f t="shared" ref="H22:H32" si="8">H4*$H$17</f>
        <v>0</v>
      </c>
      <c r="I22" s="458">
        <f t="shared" ref="I22:I32" si="9">I4*$I$17</f>
        <v>0</v>
      </c>
      <c r="J22" s="458">
        <f t="shared" ref="J22:J32" si="10">J4*$J$17</f>
        <v>2635.7154543099941</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71524.746647933978</v>
      </c>
    </row>
    <row r="23" spans="1:17">
      <c r="A23" s="457" t="s">
        <v>155</v>
      </c>
      <c r="B23" s="458">
        <f t="shared" ca="1" si="2"/>
        <v>17232.04642584085</v>
      </c>
      <c r="C23" s="458">
        <f t="shared" ca="1" si="3"/>
        <v>0</v>
      </c>
      <c r="D23" s="458">
        <f t="shared" ca="1" si="4"/>
        <v>21859.93521876571</v>
      </c>
      <c r="E23" s="458">
        <f t="shared" si="5"/>
        <v>201.0408695515388</v>
      </c>
      <c r="F23" s="458">
        <f t="shared" ca="1" si="6"/>
        <v>4489.9080795755317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43782.930593733625</v>
      </c>
    </row>
    <row r="24" spans="1:17">
      <c r="A24" s="457" t="s">
        <v>193</v>
      </c>
      <c r="B24" s="458">
        <f t="shared" ca="1" si="2"/>
        <v>602.40507310805958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602.40507310805958</v>
      </c>
    </row>
    <row r="25" spans="1:17">
      <c r="A25" s="457" t="s">
        <v>111</v>
      </c>
      <c r="B25" s="458">
        <f t="shared" ca="1" si="2"/>
        <v>216.59417208941613</v>
      </c>
      <c r="C25" s="458">
        <f t="shared" ca="1" si="3"/>
        <v>0</v>
      </c>
      <c r="D25" s="458">
        <f t="shared" si="4"/>
        <v>407.01194542070198</v>
      </c>
      <c r="E25" s="458">
        <f t="shared" si="5"/>
        <v>3.1458465665871422</v>
      </c>
      <c r="F25" s="458">
        <f t="shared" si="6"/>
        <v>1013.114716434972</v>
      </c>
      <c r="G25" s="458">
        <f t="shared" si="7"/>
        <v>0</v>
      </c>
      <c r="H25" s="458">
        <f t="shared" si="8"/>
        <v>0</v>
      </c>
      <c r="I25" s="458">
        <f t="shared" si="9"/>
        <v>0</v>
      </c>
      <c r="J25" s="458">
        <f t="shared" si="10"/>
        <v>58.548396488703247</v>
      </c>
      <c r="K25" s="458">
        <f t="shared" si="11"/>
        <v>0</v>
      </c>
      <c r="L25" s="458">
        <f t="shared" si="12"/>
        <v>0</v>
      </c>
      <c r="M25" s="458">
        <f t="shared" si="13"/>
        <v>0</v>
      </c>
      <c r="N25" s="458">
        <f t="shared" si="14"/>
        <v>0</v>
      </c>
      <c r="O25" s="458">
        <f t="shared" si="15"/>
        <v>0</v>
      </c>
      <c r="P25" s="459">
        <f t="shared" si="16"/>
        <v>0</v>
      </c>
      <c r="Q25" s="457">
        <f t="shared" ca="1" si="17"/>
        <v>1698.4150770003805</v>
      </c>
    </row>
    <row r="26" spans="1:17">
      <c r="A26" s="457" t="s">
        <v>655</v>
      </c>
      <c r="B26" s="458">
        <f t="shared" ca="1" si="2"/>
        <v>11857.489331610621</v>
      </c>
      <c r="C26" s="458">
        <f t="shared" ca="1" si="3"/>
        <v>0</v>
      </c>
      <c r="D26" s="458">
        <f t="shared" si="4"/>
        <v>15700.566652051719</v>
      </c>
      <c r="E26" s="458">
        <f t="shared" si="5"/>
        <v>1557.523298484904</v>
      </c>
      <c r="F26" s="458">
        <f t="shared" si="6"/>
        <v>9203.258868633473</v>
      </c>
      <c r="G26" s="458">
        <f t="shared" si="7"/>
        <v>0</v>
      </c>
      <c r="H26" s="458">
        <f t="shared" si="8"/>
        <v>0</v>
      </c>
      <c r="I26" s="458">
        <f t="shared" si="9"/>
        <v>0</v>
      </c>
      <c r="J26" s="458">
        <f t="shared" si="10"/>
        <v>19.969340871249969</v>
      </c>
      <c r="K26" s="458">
        <f t="shared" si="11"/>
        <v>0</v>
      </c>
      <c r="L26" s="458">
        <f t="shared" si="12"/>
        <v>0</v>
      </c>
      <c r="M26" s="458">
        <f t="shared" si="13"/>
        <v>0</v>
      </c>
      <c r="N26" s="458">
        <f t="shared" si="14"/>
        <v>0</v>
      </c>
      <c r="O26" s="458">
        <f t="shared" si="15"/>
        <v>0</v>
      </c>
      <c r="P26" s="459">
        <f t="shared" si="16"/>
        <v>0</v>
      </c>
      <c r="Q26" s="457">
        <f t="shared" ca="1" si="17"/>
        <v>38338.807491651962</v>
      </c>
    </row>
    <row r="27" spans="1:17" s="463" customFormat="1">
      <c r="A27" s="461" t="s">
        <v>573</v>
      </c>
      <c r="B27" s="771">
        <f t="shared" ca="1" si="2"/>
        <v>1.8749018305840928</v>
      </c>
      <c r="C27" s="462">
        <f t="shared" ca="1" si="3"/>
        <v>0</v>
      </c>
      <c r="D27" s="462">
        <f t="shared" si="4"/>
        <v>3.3027898983269317</v>
      </c>
      <c r="E27" s="462">
        <f t="shared" si="5"/>
        <v>130.51793076469932</v>
      </c>
      <c r="F27" s="462">
        <f t="shared" si="6"/>
        <v>0</v>
      </c>
      <c r="G27" s="462">
        <f t="shared" si="7"/>
        <v>45838.452341803189</v>
      </c>
      <c r="H27" s="462">
        <f t="shared" si="8"/>
        <v>7399.4120025015418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53373.559966798341</v>
      </c>
    </row>
    <row r="28" spans="1:17">
      <c r="A28" s="457" t="s">
        <v>563</v>
      </c>
      <c r="B28" s="458">
        <f t="shared" ca="1" si="2"/>
        <v>0</v>
      </c>
      <c r="C28" s="458">
        <f t="shared" ca="1" si="3"/>
        <v>0</v>
      </c>
      <c r="D28" s="458">
        <f t="shared" si="4"/>
        <v>0</v>
      </c>
      <c r="E28" s="458">
        <f t="shared" si="5"/>
        <v>0</v>
      </c>
      <c r="F28" s="458">
        <f t="shared" si="6"/>
        <v>0</v>
      </c>
      <c r="G28" s="458">
        <f t="shared" si="7"/>
        <v>1034.7923155643216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1034.7923155643216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602.8859035840444</v>
      </c>
      <c r="C32" s="458">
        <f t="shared" ca="1" si="3"/>
        <v>0</v>
      </c>
      <c r="D32" s="458">
        <f t="shared" si="4"/>
        <v>2342.7653994991642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2945.6513030832084</v>
      </c>
    </row>
    <row r="33" spans="1:17" s="470" customFormat="1">
      <c r="A33" s="467" t="s">
        <v>567</v>
      </c>
      <c r="B33" s="468">
        <f ca="1">SUM(B22:B32)</f>
        <v>45551.163545059579</v>
      </c>
      <c r="C33" s="468">
        <f t="shared" ref="C33:Q33" ca="1" si="18">SUM(C22:C32)</f>
        <v>0</v>
      </c>
      <c r="D33" s="468">
        <f t="shared" ca="1" si="18"/>
        <v>85393.714630358256</v>
      </c>
      <c r="E33" s="468">
        <f t="shared" si="18"/>
        <v>4028.908897242959</v>
      </c>
      <c r="F33" s="468">
        <f t="shared" ca="1" si="18"/>
        <v>21340.631544674099</v>
      </c>
      <c r="G33" s="468">
        <f t="shared" si="18"/>
        <v>46873.244657367512</v>
      </c>
      <c r="H33" s="468">
        <f t="shared" si="18"/>
        <v>7399.4120025015418</v>
      </c>
      <c r="I33" s="468">
        <f t="shared" si="18"/>
        <v>0</v>
      </c>
      <c r="J33" s="468">
        <f t="shared" si="18"/>
        <v>2714.2331916699477</v>
      </c>
      <c r="K33" s="468">
        <f t="shared" si="18"/>
        <v>0</v>
      </c>
      <c r="L33" s="468">
        <f t="shared" ca="1" si="18"/>
        <v>0</v>
      </c>
      <c r="M33" s="468">
        <f t="shared" si="18"/>
        <v>0</v>
      </c>
      <c r="N33" s="468">
        <f t="shared" ca="1" si="18"/>
        <v>0</v>
      </c>
      <c r="O33" s="468">
        <f t="shared" si="18"/>
        <v>0</v>
      </c>
      <c r="P33" s="468">
        <f t="shared" si="18"/>
        <v>0</v>
      </c>
      <c r="Q33" s="468">
        <f t="shared" ca="1" si="18"/>
        <v>213301.30846887387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8464.710943</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14214.478007754793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54</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63.529411764705898</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2439</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6968.5714285714294</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25172.188950754793</v>
      </c>
      <c r="C10" s="1038">
        <f>SUM(C4:C9)</f>
        <v>0</v>
      </c>
      <c r="D10" s="1038">
        <f t="shared" ref="D10:H10" si="0">SUM(D8:D9)</f>
        <v>0</v>
      </c>
      <c r="E10" s="1038">
        <f t="shared" si="0"/>
        <v>0</v>
      </c>
      <c r="F10" s="1038">
        <f t="shared" si="0"/>
        <v>0</v>
      </c>
      <c r="G10" s="1038">
        <f t="shared" si="0"/>
        <v>0</v>
      </c>
      <c r="H10" s="1038">
        <f t="shared" si="0"/>
        <v>0</v>
      </c>
      <c r="I10" s="1038">
        <f>SUM(I8:I9)</f>
        <v>0</v>
      </c>
      <c r="J10" s="1038">
        <f>SUM(J8:J9)</f>
        <v>7032.1008403361357</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0.1969473010561503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77.142857142857139</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90.756302521008422</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77.142857142857139</v>
      </c>
      <c r="C20" s="1038">
        <f>SUM(C17:C19)</f>
        <v>0</v>
      </c>
      <c r="D20" s="1038">
        <f t="shared" ref="D20:H20" si="2">SUM(D17:D19)</f>
        <v>0</v>
      </c>
      <c r="E20" s="1038">
        <f t="shared" si="2"/>
        <v>0</v>
      </c>
      <c r="F20" s="1038">
        <f t="shared" si="2"/>
        <v>0</v>
      </c>
      <c r="G20" s="1038">
        <f t="shared" si="2"/>
        <v>0</v>
      </c>
      <c r="H20" s="1038">
        <f t="shared" si="2"/>
        <v>0</v>
      </c>
      <c r="I20" s="1038">
        <f>SUM(I17:I19)</f>
        <v>0</v>
      </c>
      <c r="J20" s="1038">
        <f>SUM(J17:J19)</f>
        <v>90.756302521008422</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0.1969473010561503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2020-06-20T16:20:50Z</dcterms:modified>
</cp:coreProperties>
</file>