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H9" i="18"/>
  <c r="G9" i="18"/>
  <c r="F9" i="18"/>
  <c r="F10" i="18" s="1"/>
  <c r="E9" i="18"/>
  <c r="D9"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J9" i="18" s="1"/>
  <c r="U37" i="18"/>
  <c r="T37" i="18"/>
  <c r="I9" i="18" s="1"/>
  <c r="S37" i="18"/>
  <c r="R37" i="18"/>
  <c r="Q37" i="18"/>
  <c r="P37" i="18"/>
  <c r="C9" i="18" s="1"/>
  <c r="O37" i="18"/>
  <c r="N37" i="18"/>
  <c r="B9" i="18" s="1"/>
  <c r="M37"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B46" i="18" s="1"/>
  <c r="N30" i="18"/>
  <c r="C46" i="18" s="1"/>
  <c r="M30" i="18"/>
  <c r="G22" i="18"/>
  <c r="F22" i="18"/>
  <c r="E22" i="18"/>
  <c r="D22" i="18"/>
  <c r="C22" i="18"/>
  <c r="L20" i="18"/>
  <c r="D20" i="18"/>
  <c r="B17" i="18"/>
  <c r="G12" i="18"/>
  <c r="F12" i="18"/>
  <c r="E12" i="18"/>
  <c r="D12" i="18"/>
  <c r="C12" i="18"/>
  <c r="L10" i="18"/>
  <c r="K10" i="18"/>
  <c r="G10" i="18"/>
  <c r="D10" i="18"/>
  <c r="B8" i="18"/>
  <c r="B6" i="18"/>
  <c r="B5" i="18"/>
  <c r="B4" i="18"/>
  <c r="I49" i="18" l="1"/>
  <c r="H8" i="18" s="1"/>
  <c r="H10" i="18" s="1"/>
  <c r="G49" i="18"/>
  <c r="F49" i="18"/>
  <c r="H49" i="18"/>
  <c r="D49" i="18"/>
  <c r="C49" i="18"/>
  <c r="B49" i="18"/>
  <c r="C8" i="18" s="1"/>
  <c r="C10" i="18" s="1"/>
  <c r="I50" i="18"/>
  <c r="H17" i="18" s="1"/>
  <c r="G50" i="18"/>
  <c r="F50" i="18"/>
  <c r="C50" i="18"/>
  <c r="B50" i="18"/>
  <c r="C17" i="18" s="1"/>
  <c r="C20" i="18" s="1"/>
  <c r="B20" i="18"/>
  <c r="F20" i="18"/>
  <c r="O18" i="18"/>
  <c r="H20" i="18"/>
  <c r="G20" i="18"/>
  <c r="K20" i="18"/>
  <c r="B10" i="18"/>
  <c r="O19" i="18"/>
  <c r="O9" i="18"/>
  <c r="D50" i="18"/>
  <c r="H50" i="18"/>
  <c r="E49" i="18"/>
  <c r="E8" i="18" s="1"/>
  <c r="E10" i="18" s="1"/>
  <c r="E50" i="18"/>
  <c r="E17" i="18" s="1"/>
  <c r="E20" i="18" s="1"/>
  <c r="N6" i="17"/>
  <c r="J8" i="18" l="1"/>
  <c r="J10" i="18" s="1"/>
  <c r="I8" i="18"/>
  <c r="I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4" i="48" l="1"/>
  <c r="P22" i="48" s="1"/>
  <c r="Q11" i="14"/>
  <c r="B7" i="48"/>
  <c r="C24" i="14"/>
  <c r="C26" i="14" s="1"/>
  <c r="D4" i="48"/>
  <c r="D22" i="48" s="1"/>
  <c r="E11" i="14"/>
  <c r="O4" i="48"/>
  <c r="O22" i="48" s="1"/>
  <c r="P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F24" i="14" l="1"/>
  <c r="F26" i="14" s="1"/>
  <c r="E7" i="48"/>
  <c r="E25" i="48" s="1"/>
  <c r="O8" i="48"/>
  <c r="O26" i="48" s="1"/>
  <c r="P13" i="14"/>
  <c r="P16" i="14" s="1"/>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E20" i="15"/>
  <c r="F40" i="14" s="1"/>
  <c r="F10" i="14"/>
  <c r="E5" i="48"/>
  <c r="N52" i="14"/>
  <c r="N61" i="14" s="1"/>
  <c r="K10" i="14"/>
  <c r="J5" i="48"/>
  <c r="J23" i="48" s="1"/>
  <c r="J20" i="15"/>
  <c r="K40"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E22" i="16" s="1"/>
  <c r="F43" i="14" s="1"/>
  <c r="F46" i="14" s="1"/>
  <c r="F61" i="14" s="1"/>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N63" i="14" l="1"/>
  <c r="E23" i="48"/>
  <c r="E33" i="48" s="1"/>
  <c r="E8" i="48"/>
  <c r="E26" i="48" s="1"/>
  <c r="F13" i="14"/>
  <c r="F16" i="14" s="1"/>
  <c r="F27" i="14" s="1"/>
  <c r="F63" i="14" s="1"/>
  <c r="Q5" i="48"/>
  <c r="J22" i="16"/>
  <c r="K43" i="14" s="1"/>
  <c r="K46" i="14" s="1"/>
  <c r="K61" i="14" s="1"/>
  <c r="K13" i="14"/>
  <c r="K16" i="14" s="1"/>
  <c r="K27" i="14" s="1"/>
  <c r="J8" i="48"/>
  <c r="E63" i="14"/>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E15" i="48"/>
  <c r="J26" i="48"/>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<sst xmlns="http://schemas.openxmlformats.org/spreadsheetml/2006/main" count="2465" uniqueCount="930">
  <si>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</si>
  <si>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</si>
  <si>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</si>
  <si>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</si>
  <si>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</si>
  <si>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</si>
  <si>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</si>
  <si>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</si>
  <si>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</si>
  <si>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</si>
  <si>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</si>
  <si>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</si>
  <si>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</si>
  <si>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</si>
  <si>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</si>
  <si>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</si>
  <si>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</si>
  <si>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</si>
  <si>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</si>
  <si>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</si>
  <si>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</si>
  <si>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</si>
  <si>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</si>
  <si>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</si>
  <si>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</si>
  <si>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</si>
  <si>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</si>
  <si>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</si>
  <si>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</si>
  <si>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</si>
  <si>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</si>
  <si>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</si>
  <si>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</si>
  <si>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</si>
  <si>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</si>
  <si>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</si>
  <si>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</si>
  <si>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</si>
  <si>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</si>
  <si>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</si>
  <si>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</si>
  <si>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</si>
  <si>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</si>
  <si>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</si>
  <si>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</si>
  <si>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</si>
  <si>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</si>
  <si>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</si>
  <si>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</si>
  <si>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</si>
  <si>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</si>
  <si>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</si>
  <si>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</si>
  <si>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</si>
  <si>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</si>
  <si>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</si>
  <si>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</si>
  <si>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</si>
  <si>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</si>
  <si>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</si>
  <si>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</si>
  <si>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</si>
  <si>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</si>
  <si>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</si>
  <si>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</si>
  <si>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</si>
  <si>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</si>
  <si>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</si>
  <si>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</si>
  <si>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</si>
  <si>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</si>
  <si>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</si>
  <si>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</si>
  <si>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</si>
  <si>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</si>
  <si>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</si>
  <si>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</si>
  <si>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</si>
  <si>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</si>
  <si>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</si>
  <si>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</si>
  <si>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</si>
  <si>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</si>
  <si>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</si>
  <si>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</si>
  <si>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</si>
  <si>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</si>
  <si>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</si>
  <si>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</si>
  <si>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</si>
  <si>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</si>
  <si>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</si>
  <si>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</si>
  <si>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</si>
  <si>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</si>
  <si>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</si>
  <si>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</si>
  <si>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</si>
  <si>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</si>
  <si>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</si>
  <si>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</si>
  <si>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</si>
  <si>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</si>
  <si>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</si>
  <si>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</si>
  <si>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</si>
  <si>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</si>
  <si>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</si>
  <si>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</si>
  <si>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</si>
  <si>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</si>
  <si>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</si>
  <si>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</si>
  <si>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</si>
  <si>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</si>
  <si>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</si>
  <si>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</si>
  <si>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</si>
  <si>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</si>
  <si>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</si>
  <si>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</si>
  <si>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</si>
  <si>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</si>
  <si>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</si>
  <si>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</si>
  <si>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</si>
  <si>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</si>
  <si>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</si>
  <si>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</si>
  <si>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</si>
  <si>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</si>
  <si>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</si>
  <si>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</si>
  <si>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</si>
  <si>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</si>
  <si>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</si>
  <si>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</si>
  <si>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</si>
  <si>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</si>
  <si>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</si>
  <si>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</si>
  <si>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</si>
  <si>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</si>
  <si>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</si>
  <si>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</si>
  <si>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</si>
  <si>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</si>
  <si>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</si>
  <si>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</si>
  <si>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</si>
  <si>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</si>
  <si>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</si>
  <si>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</si>
  <si>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</si>
  <si>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</si>
  <si>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</si>
  <si>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</si>
  <si>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</si>
  <si>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</si>
  <si>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</si>
  <si>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</si>
  <si>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</si>
  <si>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</si>
  <si>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</si>
  <si>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</si>
  <si>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</si>
  <si>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</si>
  <si>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</si>
  <si>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</si>
  <si>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</si>
  <si>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</si>
  <si>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</si>
  <si>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</si>
  <si>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</si>
  <si>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</si>
  <si>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</si>
  <si>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</si>
  <si>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</si>
  <si>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</si>
  <si>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</si>
  <si>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</si>
  <si>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</si>
  <si>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</si>
  <si>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</si>
  <si>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</si>
  <si>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</si>
  <si>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</si>
  <si>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</si>
  <si>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</si>
  <si>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</si>
  <si>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</si>
  <si>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</si>
  <si>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</si>
  <si>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</si>
  <si>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</si>
  <si>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</si>
  <si>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</si>
  <si>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</si>
  <si>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</si>
  <si>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</si>
  <si>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</si>
  <si>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</si>
  <si>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</si>
  <si>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</si>
  <si>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</si>
  <si>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</si>
  <si>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</si>
  <si>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</si>
  <si>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</si>
  <si>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</si>
  <si>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</si>
  <si>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</si>
  <si>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</si>
  <si>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</si>
  <si>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</si>
  <si>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</si>
  <si>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</si>
  <si>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</si>
  <si>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</si>
  <si>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</si>
  <si>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</si>
  <si>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</si>
  <si>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</si>
  <si>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</si>
  <si>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</si>
  <si>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</si>
  <si>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</si>
  <si>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</si>
  <si>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</si>
  <si>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</si>
  <si>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</si>
  <si>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</si>
  <si>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</si>
  <si>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</si>
  <si>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</si>
  <si>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</si>
  <si>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</si>
  <si>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</si>
  <si>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</si>
  <si>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</si>
  <si>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</si>
  <si>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</si>
  <si>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</si>
  <si>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</si>
  <si>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</si>
  <si>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</si>
  <si>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</si>
  <si>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</si>
  <si>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</si>
  <si>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</si>
  <si>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</si>
  <si>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</si>
  <si>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</si>
  <si>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</si>
  <si>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</si>
  <si>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</si>
  <si>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</si>
  <si>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</si>
  <si>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</si>
  <si>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</si>
  <si>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</si>
  <si>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</si>
  <si>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</si>
  <si>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</si>
  <si>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</si>
  <si>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</si>
  <si>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</si>
  <si>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</si>
  <si>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</si>
  <si>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</si>
  <si>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</si>
  <si>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</si>
  <si>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</si>
  <si>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</si>
  <si>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</si>
  <si>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</si>
  <si>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</si>
  <si>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</si>
  <si>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</si>
  <si>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</si>
  <si>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</si>
  <si>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</si>
  <si>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</si>
  <si>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</si>
  <si>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</si>
  <si>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</si>
  <si>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</si>
  <si>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</si>
  <si>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</si>
  <si>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</si>
  <si>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</si>
  <si>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</si>
  <si>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</si>
  <si>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</si>
  <si>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</si>
  <si>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</si>
  <si>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</si>
  <si>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</si>
  <si>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</si>
  <si>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</si>
  <si>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</si>
  <si>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</si>
  <si>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</si>
  <si>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</si>
  <si>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</si>
  <si>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</si>
  <si>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</si>
  <si>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</si>
  <si>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</si>
  <si>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</si>
  <si>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</si>
  <si>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</si>
  <si>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</si>
  <si>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</si>
  <si>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</si>
  <si>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</si>
  <si>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</si>
  <si>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</si>
  <si>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</si>
  <si>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</si>
  <si>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</si>
  <si>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</si>
  <si>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</si>
  <si>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</si>
  <si>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</si>
  <si>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</si>
  <si>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</si>
  <si>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</si>
  <si>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</si>
  <si>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</si>
  <si>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</si>
  <si>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</si>
  <si>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</si>
  <si>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</si>
  <si>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</si>
  <si>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</si>
  <si>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</si>
  <si>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</si>
  <si>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</si>
  <si>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</si>
  <si>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</si>
  <si>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</si>
  <si>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</si>
  <si>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</si>
  <si>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</si>
  <si>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</si>
  <si>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</si>
  <si>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</si>
  <si>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</si>
  <si>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</si>
  <si>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</si>
  <si>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</si>
  <si>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</si>
  <si>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</si>
  <si>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</si>
  <si>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</si>
  <si>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</si>
  <si>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</si>
  <si>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</si>
  <si>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</si>
  <si>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</si>
  <si>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</si>
  <si>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</si>
  <si>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</si>
  <si>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</si>
  <si>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</si>
  <si>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</si>
  <si>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</si>
  <si>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</si>
  <si>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</si>
  <si>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</si>
  <si>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</si>
  <si>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</si>
  <si>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</si>
  <si>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</si>
  <si>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</si>
  <si>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</si>
  <si>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</si>
  <si>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</si>
  <si>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</si>
  <si>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</si>
  <si>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</si>
  <si>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</si>
  <si>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</si>
  <si>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</si>
  <si>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</si>
  <si>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</si>
  <si>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</si>
  <si>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</si>
  <si>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</si>
  <si>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</si>
  <si>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</si>
  <si>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</si>
  <si>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</si>
  <si>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</si>
  <si>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</si>
  <si>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</si>
  <si>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</si>
  <si>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</si>
  <si>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</si>
  <si>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</si>
  <si>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</si>
  <si>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</si>
  <si>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</si>
  <si>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</si>
  <si>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</si>
  <si>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</si>
  <si>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</si>
  <si>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</si>
  <si>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</si>
  <si>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</si>
  <si>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</si>
  <si>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</si>
  <si>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</si>
  <si>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</si>
  <si>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</si>
  <si>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</si>
  <si>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</si>
  <si>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</si>
  <si>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</si>
  <si>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</si>
  <si>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</si>
  <si>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</si>
  <si>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</si>
  <si>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</si>
  <si>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</si>
  <si>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</si>
  <si>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</si>
  <si>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</si>
  <si>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</si>
  <si>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</si>
  <si>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</si>
  <si>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</si>
  <si>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</si>
  <si>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</si>
  <si>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</si>
  <si>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</si>
  <si>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</si>
  <si>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</si>
  <si>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</si>
  <si>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</si>
  <si>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</si>
  <si>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</si>
  <si>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</si>
  <si>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</si>
  <si>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</si>
  <si>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</si>
  <si>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</si>
  <si>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</si>
  <si>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</si>
  <si>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</si>
  <si>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</si>
  <si>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</si>
  <si>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</si>
  <si>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</si>
  <si>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</si>
  <si>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</si>
  <si>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</si>
  <si>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</si>
  <si>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</si>
  <si>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</si>
  <si>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</si>
  <si>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</si>
  <si>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</si>
  <si>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</si>
  <si>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</si>
  <si>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</si>
  <si>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</si>
  <si>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</si>
  <si>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</si>
  <si>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</si>
  <si>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</si>
  <si>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</si>
  <si>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</si>
  <si>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</si>
  <si>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</si>
  <si>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</si>
  <si>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</si>
  <si>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</si>
  <si>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</si>
  <si>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</si>
  <si>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</si>
  <si>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</si>
  <si>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</si>
  <si>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</si>
  <si>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</si>
  <si>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</si>
  <si>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</si>
  <si>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</si>
  <si>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</si>
  <si>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</si>
  <si>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</si>
  <si>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</si>
  <si>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</si>
  <si>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</si>
  <si>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</si>
  <si>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</si>
  <si>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</si>
  <si>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</si>
  <si>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</si>
  <si>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</si>
  <si>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</si>
  <si>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</si>
  <si>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</si>
  <si>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</si>
  <si>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</si>
  <si>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</si>
  <si>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</si>
  <si>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</si>
  <si>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</si>
  <si>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</si>
  <si>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</si>
  <si>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</si>
  <si>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</si>
  <si>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</si>
  <si>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</si>
  <si>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</si>
  <si>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</si>
  <si>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</si>
  <si>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</si>
  <si>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</si>
  <si>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</si>
  <si>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</si>
  <si>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</si>
  <si>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</si>
  <si>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</si>
  <si>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</si>
  <si>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</si>
  <si>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</si>
  <si>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</si>
  <si>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</si>
  <si>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</si>
  <si>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</si>
  <si>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</si>
  <si>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</si>
  <si>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</si>
  <si>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</si>
  <si>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</si>
  <si>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</si>
  <si>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</si>
  <si>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</si>
  <si>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</si>
  <si>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</si>
  <si>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</si>
  <si>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</si>
  <si>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</si>
  <si>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</si>
  <si>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</si>
  <si>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</si>
  <si>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</si>
  <si>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</si>
  <si>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</si>
  <si>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</si>
  <si>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</si>
  <si>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</si>
  <si>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</si>
  <si>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</si>
  <si>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</si>
  <si>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</si>
  <si>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</si>
  <si>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</si>
  <si>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</si>
  <si>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</si>
  <si>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</si>
  <si>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</si>
  <si>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</si>
  <si>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</si>
  <si>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</si>
  <si>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</si>
  <si>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</si>
  <si>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</si>
  <si>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</si>
  <si>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</si>
  <si>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</si>
  <si>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</si>
  <si>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</si>
  <si>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</si>
  <si>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</si>
  <si>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</si>
  <si>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</si>
  <si>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</si>
  <si>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</si>
  <si>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</si>
  <si>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</si>
  <si>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</si>
  <si>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</si>
  <si>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</si>
  <si>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</si>
  <si>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</si>
  <si>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</si>
  <si>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</si>
  <si>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</si>
  <si>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</si>
  <si>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</si>
  <si>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</si>
  <si>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</si>
  <si>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</si>
  <si>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</si>
  <si>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</si>
  <si>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</si>
  <si>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</si>
  <si>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</si>
  <si>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</si>
  <si>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</si>
  <si>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</si>
  <si>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</si>
  <si>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</si>
  <si>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</si>
  <si>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</si>
  <si>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</si>
  <si>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</si>
  <si>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</si>
  <si>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</si>
  <si>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</si>
  <si>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</si>
  <si>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</si>
  <si>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</si>
  <si>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</si>
  <si>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</si>
  <si>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</si>
  <si>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</si>
  <si>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</si>
  <si>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</si>
  <si>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</si>
  <si>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</si>
  <si>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</si>
  <si>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</si>
  <si>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</si>
  <si>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</si>
  <si>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</si>
  <si>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</si>
  <si>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</si>
  <si>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</si>
  <si>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</si>
  <si>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</si>
  <si>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</si>
  <si>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</si>
  <si>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</si>
  <si>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</si>
  <si>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</si>
  <si>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</si>
  <si>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</si>
  <si>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</si>
  <si>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</si>
  <si>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</si>
  <si>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</si>
  <si>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</si>
  <si>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</si>
  <si>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</si>
  <si>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</si>
  <si>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</si>
  <si>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</si>
  <si>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</si>
  <si>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</si>
  <si>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</si>
  <si>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</si>
  <si>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</si>
  <si>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</si>
  <si>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</si>
  <si>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</si>
  <si>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</si>
  <si>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</si>
  <si>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</si>
  <si>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</si>
  <si>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</si>
  <si>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</si>
  <si>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</si>
  <si>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</si>
  <si>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</si>
  <si>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</si>
  <si>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</si>
  <si>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</si>
  <si>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</si>
  <si>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</si>
  <si>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</si>
  <si>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</si>
  <si>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</si>
  <si>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</si>
  <si>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</si>
  <si>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</si>
  <si>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</si>
  <si>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</si>
  <si>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</si>
  <si>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</si>
  <si>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</si>
  <si>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</si>
  <si>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</si>
  <si>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</si>
  <si>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</si>
  <si>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</si>
  <si>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</si>
  <si>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</si>
  <si>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</si>
  <si>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</si>
  <si>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</si>
  <si>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</si>
  <si>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</si>
  <si>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</si>
  <si>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</si>
  <si>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</si>
  <si>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</si>
  <si>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</si>
  <si>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</si>
  <si>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</si>
  <si>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</si>
  <si>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</si>
  <si>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</si>
  <si>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</si>
  <si>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</si>
  <si>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</si>
  <si>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</si>
  <si>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</si>
  <si>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</si>
  <si>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</si>
  <si>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</si>
  <si>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</si>
  <si>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</si>
  <si>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</si>
  <si>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</si>
  <si>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</si>
  <si>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</si>
  <si>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</si>
  <si>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</si>
  <si>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</si>
  <si>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</si>
  <si>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</si>
  <si>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</si>
  <si>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</si>
  <si>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</si>
  <si>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</si>
  <si>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</si>
  <si>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</si>
  <si>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</si>
  <si>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</si>
  <si>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</si>
  <si>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</si>
  <si>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</si>
  <si>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</si>
  <si>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</si>
  <si>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</si>
  <si>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</si>
  <si>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</si>
  <si>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</si>
  <si>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</si>
  <si>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</si>
  <si>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</si>
  <si>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</si>
  <si>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</si>
  <si>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</si>
  <si>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</si>
  <si>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</si>
  <si>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</si>
  <si>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</si>
  <si>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</si>
  <si>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</si>
  <si>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</si>
  <si>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</si>
  <si>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</si>
  <si>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</si>
  <si>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</si>
  <si>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</si>
  <si>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</si>
  <si>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</si>
  <si>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</si>
  <si>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</si>
  <si>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</si>
  <si>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</si>
  <si>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</si>
  <si>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</si>
  <si>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</si>
  <si>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</si>
  <si>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</si>
  <si>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</si>
  <si>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</si>
  <si>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</si>
  <si>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</si>
  <si>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</si>
  <si>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</si>
  <si>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</si>
  <si>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</si>
  <si>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</si>
  <si>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</si>
  <si>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</si>
  <si>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</si>
  <si>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</si>
  <si>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</si>
  <si>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</si>
  <si>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</si>
  <si>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</si>
  <si>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</si>
  <si>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</si>
  <si>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</si>
  <si>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</si>
  <si>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</si>
  <si>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</si>
  <si>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</si>
  <si>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</si>
  <si>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</si>
  <si>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</si>
  <si>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</si>
  <si>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</si>
  <si>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</si>
  <si>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</si>
  <si>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</si>
  <si>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</si>
  <si>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</si>
  <si>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</si>
  <si>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</si>
  <si>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</si>
  <si>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</si>
  <si>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</si>
  <si>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</si>
  <si>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</si>
  <si>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</si>
  <si>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</si>
  <si>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</si>
  <si>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</si>
  <si>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</si>
  <si>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</si>
  <si>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</si>
  <si>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</si>
  <si>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</si>
  <si>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</si>
  <si>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</si>
  <si>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</si>
  <si>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</si>
  <si>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</si>
  <si>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</si>
  <si>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</si>
  <si>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</si>
  <si>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</si>
  <si>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</si>
  <si>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</si>
  <si>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</si>
  <si>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</si>
  <si>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</si>
  <si>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</si>
  <si>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</si>
  <si>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</si>
  <si>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</si>
  <si>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</si>
  <si>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</si>
  <si>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</si>
  <si>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</si>
  <si>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</si>
  <si>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</si>
  <si>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</si>
  <si>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</si>
  <si>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</si>
  <si>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</si>
  <si>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</si>
  <si>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</si>
  <si>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</si>
  <si>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</si>
  <si>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</si>
  <si>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</si>
  <si>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</si>
  <si>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</si>
  <si>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</si>
  <si>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</si>
  <si>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</si>
  <si>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</si>
  <si>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</si>
  <si>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</si>
  <si>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</si>
  <si>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</si>
  <si>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</si>
  <si>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</si>
  <si>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</si>
  <si>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</si>
  <si>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</si>
  <si>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</si>
  <si>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</si>
  <si>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</si>
  <si>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</si>
  <si>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</si>
  <si>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</si>
  <si>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</si>
  <si>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</si>
  <si>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</si>
  <si>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</si>
  <si>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</si>
  <si>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</si>
  <si>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</si>
  <si>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</si>
  <si>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</si>
  <si>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</si>
  <si>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</si>
  <si>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</si>
  <si>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</si>
  <si>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</si>
  <si>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</si>
  <si>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</si>
  <si>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</si>
  <si>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</si>
  <si>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</si>
  <si>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</si>
  <si>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</si>
  <si>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</si>
  <si>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</si>
  <si>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</si>
  <si>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</si>
  <si>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</si>
  <si>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</si>
  <si>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</si>
  <si>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</si>
  <si>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</si>
  <si>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</si>
  <si>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</si>
  <si>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</si>
  <si>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</si>
  <si>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</si>
  <si>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</si>
  <si>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38025</t>
  </si>
  <si>
    <t>VEURNE</t>
  </si>
  <si>
    <t>Cultuurgrond (ha)</t>
  </si>
  <si>
    <t>Paarden&amp;pony's 200 - 600 kg</t>
  </si>
  <si>
    <t>Paarden&amp;pony's &lt; 200 kg</t>
  </si>
  <si>
    <t>Fluvius</t>
  </si>
  <si>
    <t>referentietaak LNE (2017); Jaarverslag De Lijn</t>
  </si>
  <si>
    <t>AZ Sint-Augustinus Veurne</t>
  </si>
  <si>
    <t>Ieperse Steenweg 100 , 8630 Veurne</t>
  </si>
  <si>
    <t>WKK-0251 AZ Sint-Augustinus Veurne</t>
  </si>
  <si>
    <t>interne verbrandingsmotor</t>
  </si>
  <si>
    <t>WKK interne verbrandinsgmotor (gas)</t>
  </si>
  <si>
    <t>GASELWEST</t>
  </si>
  <si>
    <t>Biolectric nv</t>
  </si>
  <si>
    <t>Jan de Malschelaan 4 B, 9140 Temse</t>
  </si>
  <si>
    <t>WKK-0454 Pieter De Zeure</t>
  </si>
  <si>
    <t>Zwart-Paardstraat 2 , 8630 Veurne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</si>
</sst>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97414.934520057592</c:v>
                </c:pt>
                <c:pt idx="1">
                  <c:v>67352.929831314948</c:v>
                </c:pt>
                <c:pt idx="2">
                  <c:v>936.04600000000005</c:v>
                </c:pt>
                <c:pt idx="3">
                  <c:v>24981.93879854387</c:v>
                </c:pt>
                <c:pt idx="4">
                  <c:v>270067.68172423547</c:v>
                </c:pt>
                <c:pt idx="5">
                  <c:v>189699.30756759612</c:v>
                </c:pt>
                <c:pt idx="6">
                  <c:v>1201.4527707744944</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97414.934520057592</c:v>
                </c:pt>
                <c:pt idx="1">
                  <c:v>67352.929831314948</c:v>
                </c:pt>
                <c:pt idx="2">
                  <c:v>936.04600000000005</c:v>
                </c:pt>
                <c:pt idx="3">
                  <c:v>24981.93879854387</c:v>
                </c:pt>
                <c:pt idx="4">
                  <c:v>270067.68172423547</c:v>
                </c:pt>
                <c:pt idx="5">
                  <c:v>189699.30756759612</c:v>
                </c:pt>
                <c:pt idx="6">
                  <c:v>1201.4527707744944</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17950.581339681146</c:v>
                </c:pt>
                <c:pt idx="2">
                  <c:v>13682.328514186975</c:v>
                </c:pt>
                <c:pt idx="3">
                  <c:v>187.84554142085267</c:v>
                </c:pt>
                <c:pt idx="4">
                  <c:v>6363.7302113381729</c:v>
                </c:pt>
                <c:pt idx="5">
                  <c:v>55762.530041714846</c:v>
                </c:pt>
                <c:pt idx="6">
                  <c:v>48098.195347227134</c:v>
                </c:pt>
                <c:pt idx="7">
                  <c:v>307.11782148626315</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17950.581339681146</c:v>
                </c:pt>
                <c:pt idx="2">
                  <c:v>13682.328514186975</c:v>
                </c:pt>
                <c:pt idx="3">
                  <c:v>187.84554142085267</c:v>
                </c:pt>
                <c:pt idx="4">
                  <c:v>6363.7302113381729</c:v>
                </c:pt>
                <c:pt idx="5">
                  <c:v>55762.530041714846</c:v>
                </c:pt>
                <c:pt idx="6">
                  <c:v>48098.195347227134</c:v>
                </c:pt>
                <c:pt idx="7">
                  <c:v>307.11782148626315</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38025</v>
      </c>
      <c r="B6" s="395"/>
      <c r="C6" s="396"/>
    </row>
    <row r="7" spans="1:7" s="393" customFormat="1" ht="15.75" customHeight="1">
      <c r="A7" s="397" t="str">
        <f>txtMunicipality</f>
        <v>VEURNE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0.20067981853547012</v>
      </c>
      <c r="C17" s="508">
        <f ca="1">'EF ele_warmte'!B22</f>
        <v>0.22998102466793169</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0.20067981853547012</v>
      </c>
      <c r="C29" s="509">
        <f ca="1">'EF ele_warmte'!B22</f>
        <v>0.22998102466793169</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4814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8098</v>
      </c>
      <c r="C14" s="332"/>
      <c r="D14" s="332"/>
      <c r="E14" s="332"/>
      <c r="F14" s="332"/>
    </row>
    <row r="15" spans="1:6">
      <c r="A15" s="1306" t="s">
        <v>183</v>
      </c>
      <c r="B15" s="1307">
        <v>1341</v>
      </c>
      <c r="C15" s="332"/>
      <c r="D15" s="332"/>
      <c r="E15" s="332"/>
      <c r="F15" s="332"/>
    </row>
    <row r="16" spans="1:6">
      <c r="A16" s="1306" t="s">
        <v>6</v>
      </c>
      <c r="B16" s="1307">
        <v>2103</v>
      </c>
      <c r="C16" s="332"/>
      <c r="D16" s="332"/>
      <c r="E16" s="332"/>
      <c r="F16" s="332"/>
    </row>
    <row r="17" spans="1:6">
      <c r="A17" s="1306" t="s">
        <v>7</v>
      </c>
      <c r="B17" s="1307">
        <v>1938</v>
      </c>
      <c r="C17" s="332"/>
      <c r="D17" s="332"/>
      <c r="E17" s="332"/>
      <c r="F17" s="332"/>
    </row>
    <row r="18" spans="1:6">
      <c r="A18" s="1306" t="s">
        <v>8</v>
      </c>
      <c r="B18" s="1307">
        <v>2821</v>
      </c>
      <c r="C18" s="332"/>
      <c r="D18" s="332"/>
      <c r="E18" s="332"/>
      <c r="F18" s="332"/>
    </row>
    <row r="19" spans="1:6">
      <c r="A19" s="1306" t="s">
        <v>9</v>
      </c>
      <c r="B19" s="1307">
        <v>2788</v>
      </c>
      <c r="C19" s="332"/>
      <c r="D19" s="332"/>
      <c r="E19" s="332"/>
      <c r="F19" s="332"/>
    </row>
    <row r="20" spans="1:6">
      <c r="A20" s="1306" t="s">
        <v>10</v>
      </c>
      <c r="B20" s="1307">
        <v>1622</v>
      </c>
      <c r="C20" s="332"/>
      <c r="D20" s="332"/>
      <c r="E20" s="332"/>
      <c r="F20" s="332"/>
    </row>
    <row r="21" spans="1:6">
      <c r="A21" s="1306" t="s">
        <v>11</v>
      </c>
      <c r="B21" s="1307">
        <v>21748</v>
      </c>
      <c r="C21" s="332"/>
      <c r="D21" s="332"/>
      <c r="E21" s="332"/>
      <c r="F21" s="332"/>
    </row>
    <row r="22" spans="1:6">
      <c r="A22" s="1306" t="s">
        <v>12</v>
      </c>
      <c r="B22" s="1307">
        <v>45712</v>
      </c>
      <c r="C22" s="332"/>
      <c r="D22" s="332"/>
      <c r="E22" s="332"/>
      <c r="F22" s="332"/>
    </row>
    <row r="23" spans="1:6">
      <c r="A23" s="1306" t="s">
        <v>13</v>
      </c>
      <c r="B23" s="1307">
        <v>1019</v>
      </c>
      <c r="C23" s="332"/>
      <c r="D23" s="332"/>
      <c r="E23" s="332"/>
      <c r="F23" s="332"/>
    </row>
    <row r="24" spans="1:6">
      <c r="A24" s="1306" t="s">
        <v>14</v>
      </c>
      <c r="B24" s="1307">
        <v>66</v>
      </c>
      <c r="C24" s="332"/>
      <c r="D24" s="332"/>
      <c r="E24" s="332"/>
      <c r="F24" s="332"/>
    </row>
    <row r="25" spans="1:6">
      <c r="A25" s="1306" t="s">
        <v>15</v>
      </c>
      <c r="B25" s="1307">
        <v>6118</v>
      </c>
      <c r="C25" s="332"/>
      <c r="D25" s="332"/>
      <c r="E25" s="332"/>
      <c r="F25" s="332"/>
    </row>
    <row r="26" spans="1:6">
      <c r="A26" s="1306" t="s">
        <v>16</v>
      </c>
      <c r="B26" s="1307">
        <v>427</v>
      </c>
      <c r="C26" s="332"/>
      <c r="D26" s="332"/>
      <c r="E26" s="332"/>
      <c r="F26" s="332"/>
    </row>
    <row r="27" spans="1:6">
      <c r="A27" s="1306" t="s">
        <v>17</v>
      </c>
      <c r="B27" s="1307">
        <v>6</v>
      </c>
      <c r="C27" s="332"/>
      <c r="D27" s="332"/>
      <c r="E27" s="332"/>
      <c r="F27" s="332"/>
    </row>
    <row r="28" spans="1:6" s="43" customFormat="1">
      <c r="A28" s="1308" t="s">
        <v>18</v>
      </c>
      <c r="B28" s="1309">
        <v>769757</v>
      </c>
      <c r="C28" s="338"/>
      <c r="D28" s="338"/>
      <c r="E28" s="338"/>
      <c r="F28" s="338"/>
    </row>
    <row r="29" spans="1:6">
      <c r="A29" s="1308" t="s">
        <v>916</v>
      </c>
      <c r="B29" s="1309">
        <v>111</v>
      </c>
      <c r="C29" s="338"/>
      <c r="D29" s="338"/>
      <c r="E29" s="338"/>
      <c r="F29" s="338"/>
    </row>
    <row r="30" spans="1:6">
      <c r="A30" s="1301" t="s">
        <v>917</v>
      </c>
      <c r="B30" s="1310">
        <v>42</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11</v>
      </c>
      <c r="F36" s="1307">
        <v>135420.762066842</v>
      </c>
    </row>
    <row r="37" spans="1:6">
      <c r="A37" s="1306" t="s">
        <v>24</v>
      </c>
      <c r="B37" s="1306" t="s">
        <v>27</v>
      </c>
      <c r="C37" s="1307">
        <v>0</v>
      </c>
      <c r="D37" s="1307">
        <v>0</v>
      </c>
      <c r="E37" s="1307">
        <v>0</v>
      </c>
      <c r="F37" s="1307">
        <v>0</v>
      </c>
    </row>
    <row r="38" spans="1:6">
      <c r="A38" s="1306" t="s">
        <v>24</v>
      </c>
      <c r="B38" s="1306" t="s">
        <v>28</v>
      </c>
      <c r="C38" s="1307">
        <v>5</v>
      </c>
      <c r="D38" s="1307">
        <v>472172.69257779798</v>
      </c>
      <c r="E38" s="1307">
        <v>2</v>
      </c>
      <c r="F38" s="1307">
        <v>20941.653917440399</v>
      </c>
    </row>
    <row r="39" spans="1:6">
      <c r="A39" s="1306" t="s">
        <v>29</v>
      </c>
      <c r="B39" s="1306" t="s">
        <v>30</v>
      </c>
      <c r="C39" s="1307">
        <v>3419</v>
      </c>
      <c r="D39" s="1307">
        <v>56853141.373558402</v>
      </c>
      <c r="E39" s="1307">
        <v>4599</v>
      </c>
      <c r="F39" s="1307">
        <v>17349209.5266762</v>
      </c>
    </row>
    <row r="40" spans="1:6">
      <c r="A40" s="1306" t="s">
        <v>29</v>
      </c>
      <c r="B40" s="1306" t="s">
        <v>28</v>
      </c>
      <c r="C40" s="1307">
        <v>0</v>
      </c>
      <c r="D40" s="1307">
        <v>0</v>
      </c>
      <c r="E40" s="1307">
        <v>0</v>
      </c>
      <c r="F40" s="1307">
        <v>0</v>
      </c>
    </row>
    <row r="41" spans="1:6">
      <c r="A41" s="1306" t="s">
        <v>31</v>
      </c>
      <c r="B41" s="1306" t="s">
        <v>32</v>
      </c>
      <c r="C41" s="1307">
        <v>54</v>
      </c>
      <c r="D41" s="1307">
        <v>1788433.1375354901</v>
      </c>
      <c r="E41" s="1307">
        <v>128</v>
      </c>
      <c r="F41" s="1307">
        <v>6961445.3827399798</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6</v>
      </c>
      <c r="D44" s="1307">
        <v>205782.807078649</v>
      </c>
      <c r="E44" s="1307">
        <v>23</v>
      </c>
      <c r="F44" s="1307">
        <v>984216.53613239795</v>
      </c>
    </row>
    <row r="45" spans="1:6">
      <c r="A45" s="1306" t="s">
        <v>31</v>
      </c>
      <c r="B45" s="1306" t="s">
        <v>36</v>
      </c>
      <c r="C45" s="1307">
        <v>0</v>
      </c>
      <c r="D45" s="1307">
        <v>0</v>
      </c>
      <c r="E45" s="1307">
        <v>3</v>
      </c>
      <c r="F45" s="1307">
        <v>65762.068069148503</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34</v>
      </c>
      <c r="D48" s="1307">
        <v>171309038.24939501</v>
      </c>
      <c r="E48" s="1307">
        <v>34</v>
      </c>
      <c r="F48" s="1307">
        <v>23977443.055553801</v>
      </c>
    </row>
    <row r="49" spans="1:6">
      <c r="A49" s="1306" t="s">
        <v>31</v>
      </c>
      <c r="B49" s="1306" t="s">
        <v>39</v>
      </c>
      <c r="C49" s="1307">
        <v>0</v>
      </c>
      <c r="D49" s="1307">
        <v>0</v>
      </c>
      <c r="E49" s="1307">
        <v>0</v>
      </c>
      <c r="F49" s="1307">
        <v>0</v>
      </c>
    </row>
    <row r="50" spans="1:6">
      <c r="A50" s="1306" t="s">
        <v>31</v>
      </c>
      <c r="B50" s="1306" t="s">
        <v>40</v>
      </c>
      <c r="C50" s="1307">
        <v>13</v>
      </c>
      <c r="D50" s="1307">
        <v>5015671.8373813201</v>
      </c>
      <c r="E50" s="1307">
        <v>29</v>
      </c>
      <c r="F50" s="1307">
        <v>21505362.199297201</v>
      </c>
    </row>
    <row r="51" spans="1:6">
      <c r="A51" s="1306" t="s">
        <v>41</v>
      </c>
      <c r="B51" s="1306" t="s">
        <v>42</v>
      </c>
      <c r="C51" s="1307">
        <v>11</v>
      </c>
      <c r="D51" s="1307">
        <v>233665.615056287</v>
      </c>
      <c r="E51" s="1307">
        <v>194</v>
      </c>
      <c r="F51" s="1307">
        <v>5181128.9810281796</v>
      </c>
    </row>
    <row r="52" spans="1:6">
      <c r="A52" s="1306" t="s">
        <v>41</v>
      </c>
      <c r="B52" s="1306" t="s">
        <v>28</v>
      </c>
      <c r="C52" s="1307">
        <v>2</v>
      </c>
      <c r="D52" s="1307">
        <v>54071.361645474397</v>
      </c>
      <c r="E52" s="1307">
        <v>8</v>
      </c>
      <c r="F52" s="1307">
        <v>164363.68227006801</v>
      </c>
    </row>
    <row r="53" spans="1:6">
      <c r="A53" s="1306" t="s">
        <v>43</v>
      </c>
      <c r="B53" s="1306" t="s">
        <v>44</v>
      </c>
      <c r="C53" s="1307">
        <v>130</v>
      </c>
      <c r="D53" s="1307">
        <v>3013010.1791675198</v>
      </c>
      <c r="E53" s="1307">
        <v>237</v>
      </c>
      <c r="F53" s="1307">
        <v>896576.40640646603</v>
      </c>
    </row>
    <row r="54" spans="1:6">
      <c r="A54" s="1306" t="s">
        <v>45</v>
      </c>
      <c r="B54" s="1306" t="s">
        <v>46</v>
      </c>
      <c r="C54" s="1307">
        <v>0</v>
      </c>
      <c r="D54" s="1307">
        <v>0</v>
      </c>
      <c r="E54" s="1307">
        <v>1</v>
      </c>
      <c r="F54" s="1307">
        <v>936046</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45</v>
      </c>
      <c r="D57" s="1307">
        <v>1941564.7574904501</v>
      </c>
      <c r="E57" s="1307">
        <v>76</v>
      </c>
      <c r="F57" s="1307">
        <v>1108688.54784588</v>
      </c>
    </row>
    <row r="58" spans="1:6">
      <c r="A58" s="1306" t="s">
        <v>48</v>
      </c>
      <c r="B58" s="1306" t="s">
        <v>50</v>
      </c>
      <c r="C58" s="1307">
        <v>23</v>
      </c>
      <c r="D58" s="1307">
        <v>1180434.4252995399</v>
      </c>
      <c r="E58" s="1307">
        <v>26</v>
      </c>
      <c r="F58" s="1307">
        <v>940892.50658742595</v>
      </c>
    </row>
    <row r="59" spans="1:6">
      <c r="A59" s="1306" t="s">
        <v>48</v>
      </c>
      <c r="B59" s="1306" t="s">
        <v>51</v>
      </c>
      <c r="C59" s="1307">
        <v>141</v>
      </c>
      <c r="D59" s="1307">
        <v>7025201.1041094204</v>
      </c>
      <c r="E59" s="1307">
        <v>223</v>
      </c>
      <c r="F59" s="1307">
        <v>8541301.6952797491</v>
      </c>
    </row>
    <row r="60" spans="1:6">
      <c r="A60" s="1306" t="s">
        <v>48</v>
      </c>
      <c r="B60" s="1306" t="s">
        <v>52</v>
      </c>
      <c r="C60" s="1307">
        <v>75</v>
      </c>
      <c r="D60" s="1307">
        <v>3897528.4316368601</v>
      </c>
      <c r="E60" s="1307">
        <v>97</v>
      </c>
      <c r="F60" s="1307">
        <v>2422854.02628267</v>
      </c>
    </row>
    <row r="61" spans="1:6">
      <c r="A61" s="1306" t="s">
        <v>48</v>
      </c>
      <c r="B61" s="1306" t="s">
        <v>53</v>
      </c>
      <c r="C61" s="1307">
        <v>184</v>
      </c>
      <c r="D61" s="1307">
        <v>10562977.595914699</v>
      </c>
      <c r="E61" s="1307">
        <v>414</v>
      </c>
      <c r="F61" s="1307">
        <v>5356180.0441974197</v>
      </c>
    </row>
    <row r="62" spans="1:6">
      <c r="A62" s="1306" t="s">
        <v>48</v>
      </c>
      <c r="B62" s="1306" t="s">
        <v>54</v>
      </c>
      <c r="C62" s="1307">
        <v>14</v>
      </c>
      <c r="D62" s="1307">
        <v>2255812.8374992702</v>
      </c>
      <c r="E62" s="1307">
        <v>14</v>
      </c>
      <c r="F62" s="1307">
        <v>673977.97819410497</v>
      </c>
    </row>
    <row r="63" spans="1:6">
      <c r="A63" s="1306" t="s">
        <v>48</v>
      </c>
      <c r="B63" s="1306" t="s">
        <v>28</v>
      </c>
      <c r="C63" s="1307">
        <v>83</v>
      </c>
      <c r="D63" s="1307">
        <v>12318635.8804169</v>
      </c>
      <c r="E63" s="1307">
        <v>90</v>
      </c>
      <c r="F63" s="1307">
        <v>6734737.6999581102</v>
      </c>
    </row>
    <row r="64" spans="1:6">
      <c r="A64" s="1306" t="s">
        <v>55</v>
      </c>
      <c r="B64" s="1306" t="s">
        <v>56</v>
      </c>
      <c r="C64" s="1307">
        <v>0</v>
      </c>
      <c r="D64" s="1307">
        <v>0</v>
      </c>
      <c r="E64" s="1307">
        <v>0</v>
      </c>
      <c r="F64" s="1307">
        <v>0</v>
      </c>
    </row>
    <row r="65" spans="1:6">
      <c r="A65" s="1306" t="s">
        <v>55</v>
      </c>
      <c r="B65" s="1306" t="s">
        <v>28</v>
      </c>
      <c r="C65" s="1307">
        <v>3</v>
      </c>
      <c r="D65" s="1307">
        <v>805208.75116987806</v>
      </c>
      <c r="E65" s="1307">
        <v>3</v>
      </c>
      <c r="F65" s="1307">
        <v>229629.52169466999</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8</v>
      </c>
      <c r="F68" s="1310">
        <v>205708.209414668</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72134731</v>
      </c>
      <c r="E73" s="456"/>
      <c r="F73" s="332"/>
    </row>
    <row r="74" spans="1:6">
      <c r="A74" s="1306" t="s">
        <v>63</v>
      </c>
      <c r="B74" s="1306" t="s">
        <v>724</v>
      </c>
      <c r="C74" s="1320" t="s">
        <v>725</v>
      </c>
      <c r="D74" s="1321">
        <v>6997732.7192818876</v>
      </c>
      <c r="E74" s="456"/>
      <c r="F74" s="332"/>
    </row>
    <row r="75" spans="1:6">
      <c r="A75" s="1306" t="s">
        <v>64</v>
      </c>
      <c r="B75" s="1306" t="s">
        <v>722</v>
      </c>
      <c r="C75" s="1320" t="s">
        <v>726</v>
      </c>
      <c r="D75" s="1321">
        <v>17507504</v>
      </c>
      <c r="E75" s="456"/>
      <c r="F75" s="332"/>
    </row>
    <row r="76" spans="1:6">
      <c r="A76" s="1306" t="s">
        <v>64</v>
      </c>
      <c r="B76" s="1306" t="s">
        <v>724</v>
      </c>
      <c r="C76" s="1320" t="s">
        <v>727</v>
      </c>
      <c r="D76" s="1321">
        <v>2112966.7192818876</v>
      </c>
      <c r="E76" s="456"/>
      <c r="F76" s="332"/>
    </row>
    <row r="77" spans="1:6">
      <c r="A77" s="1306" t="s">
        <v>65</v>
      </c>
      <c r="B77" s="1306" t="s">
        <v>722</v>
      </c>
      <c r="C77" s="1320" t="s">
        <v>728</v>
      </c>
      <c r="D77" s="1321">
        <v>61029245</v>
      </c>
      <c r="E77" s="456"/>
      <c r="F77" s="332"/>
    </row>
    <row r="78" spans="1:6">
      <c r="A78" s="1301" t="s">
        <v>65</v>
      </c>
      <c r="B78" s="1301" t="s">
        <v>724</v>
      </c>
      <c r="C78" s="1301" t="s">
        <v>729</v>
      </c>
      <c r="D78" s="1322">
        <v>23409124</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317912.56143622461</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2541.5140580104853</v>
      </c>
      <c r="C91" s="332"/>
      <c r="D91" s="332"/>
      <c r="E91" s="332"/>
      <c r="F91" s="332"/>
    </row>
    <row r="92" spans="1:6">
      <c r="A92" s="1301" t="s">
        <v>68</v>
      </c>
      <c r="B92" s="1302">
        <v>7412.2269932348554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2583</v>
      </c>
      <c r="C97" s="332"/>
      <c r="D97" s="332"/>
      <c r="E97" s="332"/>
      <c r="F97" s="332"/>
    </row>
    <row r="98" spans="1:6">
      <c r="A98" s="1306" t="s">
        <v>71</v>
      </c>
      <c r="B98" s="1307">
        <v>0</v>
      </c>
      <c r="C98" s="332"/>
      <c r="D98" s="332"/>
      <c r="E98" s="332"/>
      <c r="F98" s="332"/>
    </row>
    <row r="99" spans="1:6">
      <c r="A99" s="1306" t="s">
        <v>72</v>
      </c>
      <c r="B99" s="1307">
        <v>141</v>
      </c>
      <c r="C99" s="332"/>
      <c r="D99" s="332"/>
      <c r="E99" s="332"/>
      <c r="F99" s="332"/>
    </row>
    <row r="100" spans="1:6">
      <c r="A100" s="1306" t="s">
        <v>73</v>
      </c>
      <c r="B100" s="1307">
        <v>366</v>
      </c>
      <c r="C100" s="332"/>
      <c r="D100" s="332"/>
      <c r="E100" s="332"/>
      <c r="F100" s="332"/>
    </row>
    <row r="101" spans="1:6">
      <c r="A101" s="1306" t="s">
        <v>74</v>
      </c>
      <c r="B101" s="1307">
        <v>85</v>
      </c>
      <c r="C101" s="332"/>
      <c r="D101" s="332"/>
      <c r="E101" s="332"/>
      <c r="F101" s="332"/>
    </row>
    <row r="102" spans="1:6">
      <c r="A102" s="1306" t="s">
        <v>75</v>
      </c>
      <c r="B102" s="1307">
        <v>65</v>
      </c>
      <c r="C102" s="332"/>
      <c r="D102" s="332"/>
      <c r="E102" s="332"/>
      <c r="F102" s="332"/>
    </row>
    <row r="103" spans="1:6">
      <c r="A103" s="1306" t="s">
        <v>76</v>
      </c>
      <c r="B103" s="1307">
        <v>106</v>
      </c>
      <c r="C103" s="332"/>
      <c r="D103" s="332"/>
      <c r="E103" s="332"/>
      <c r="F103" s="332"/>
    </row>
    <row r="104" spans="1:6">
      <c r="A104" s="1306" t="s">
        <v>77</v>
      </c>
      <c r="B104" s="1307">
        <v>1077</v>
      </c>
      <c r="C104" s="332"/>
      <c r="D104" s="332"/>
      <c r="E104" s="332"/>
      <c r="F104" s="332"/>
    </row>
    <row r="105" spans="1:6">
      <c r="A105" s="1301" t="s">
        <v>78</v>
      </c>
      <c r="B105" s="1310">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1</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8</v>
      </c>
      <c r="C123" s="1307">
        <v>5</v>
      </c>
      <c r="D123" s="332"/>
      <c r="E123" s="332"/>
      <c r="F123" s="332"/>
    </row>
    <row r="124" spans="1:6" s="43" customFormat="1">
      <c r="A124" s="1308" t="s">
        <v>88</v>
      </c>
      <c r="B124" s="1329">
        <v>1</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146</v>
      </c>
      <c r="C129" s="332"/>
      <c r="D129" s="332"/>
      <c r="E129" s="332"/>
      <c r="F129" s="332"/>
    </row>
    <row r="130" spans="1:6">
      <c r="A130" s="1306" t="s">
        <v>294</v>
      </c>
      <c r="B130" s="1307">
        <v>5</v>
      </c>
      <c r="C130" s="332"/>
      <c r="D130" s="332"/>
      <c r="E130" s="332"/>
      <c r="F130" s="332"/>
    </row>
    <row r="131" spans="1:6">
      <c r="A131" s="1306" t="s">
        <v>295</v>
      </c>
      <c r="B131" s="1307">
        <v>1</v>
      </c>
      <c r="C131" s="332"/>
      <c r="D131" s="332"/>
      <c r="E131" s="332"/>
      <c r="F131" s="332"/>
    </row>
    <row r="132" spans="1:6">
      <c r="A132" s="1301" t="s">
        <v>296</v>
      </c>
      <c r="B132" s="1302">
        <v>7</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107657.70485930161</v>
      </c>
      <c r="C3" s="43" t="s">
        <v>169</v>
      </c>
      <c r="D3" s="43"/>
      <c r="E3" s="156"/>
      <c r="F3" s="43"/>
      <c r="G3" s="43"/>
      <c r="H3" s="43"/>
      <c r="I3" s="43"/>
      <c r="J3" s="43"/>
      <c r="K3" s="96"/>
    </row>
    <row r="4" spans="1:11">
      <c r="A4" s="363" t="s">
        <v>170</v>
      </c>
      <c r="B4" s="49">
        <f>IF(ISERROR('SEAP template'!B78+'SEAP template'!C78),0,'SEAP template'!B78+'SEAP template'!C78)</f>
        <v>11306.89105124534</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311.19882352941175</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0.20067981853547012</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444.56974789915967</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1933.0714285714287</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0.22998102466793169</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936.04600000000005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936.04600000000005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0.20067981853547012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187.84554142085267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17349.209526676201</v>
      </c>
      <c r="C5" s="17">
        <f>IF(ISERROR('Eigen informatie GS &amp; warmtenet'!B57),0,'Eigen informatie GS &amp; warmtenet'!B57)</f>
        <v>0</v>
      </c>
      <c r="D5" s="30">
        <f>(SUM(HH_hh_gas_kWh,HH_rest_gas_kWh)/1000)*0.902</f>
        <v>51281.533518949676</v>
      </c>
      <c r="E5" s="17">
        <f>B46*B57</f>
        <v>5636.4506494330535</v>
      </c>
      <c r="F5" s="17">
        <f>B51*B62</f>
        <v>7639.3070808360844</v>
      </c>
      <c r="G5" s="18"/>
      <c r="H5" s="17"/>
      <c r="I5" s="17"/>
      <c r="J5" s="17">
        <f>B50*B61+C50*C61</f>
        <v>793.43356309223736</v>
      </c>
      <c r="K5" s="17"/>
      <c r="L5" s="17"/>
      <c r="M5" s="17"/>
      <c r="N5" s="17">
        <f>B48*B59+C48*C59</f>
        <v>11630.79278972652</v>
      </c>
      <c r="O5" s="17">
        <f>B69*B70*B71</f>
        <v>237.62666666666667</v>
      </c>
      <c r="P5" s="17">
        <f>B77*B78*B79/1000-B77*B78*B79/1000/B80</f>
        <v>305.06666666666666</v>
      </c>
    </row>
    <row r="6" spans="1:16">
      <c r="A6" s="16" t="s">
        <v>633</v>
      </c>
      <c r="B6" s="779">
        <f>kWh_PV_kleiner_dan_10kW</f>
        <v>2541.5140580104853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19890.723584686686</v>
      </c>
      <c r="C8" s="21">
        <f>C5</f>
        <v>0</v>
      </c>
      <c r="D8" s="21">
        <f>D5</f>
        <v>51281.533518949676</v>
      </c>
      <c r="E8" s="21">
        <f>E5</f>
        <v>5636.4506494330535</v>
      </c>
      <c r="F8" s="21">
        <f>F5</f>
        <v>7639.3070808360844</v>
      </c>
      <c r="G8" s="21"/>
      <c r="H8" s="21"/>
      <c r="I8" s="21"/>
      <c r="J8" s="21">
        <f>J5</f>
        <v>793.43356309223736</v>
      </c>
      <c r="K8" s="21"/>
      <c r="L8" s="21">
        <f>L5</f>
        <v>0</v>
      </c>
      <c r="M8" s="21">
        <f>M5</f>
        <v>0</v>
      </c>
      <c r="N8" s="21">
        <f>N5</f>
        <v>11630.79278972652</v>
      </c>
      <c r="O8" s="21">
        <f>O5</f>
        <v>237.62666666666667</v>
      </c>
      <c r="P8" s="21">
        <f>P5</f>
        <v>305.06666666666666</v>
      </c>
    </row>
    <row r="9" spans="1:16">
      <c r="B9" s="19"/>
      <c r="C9" s="19"/>
      <c r="D9" s="261"/>
      <c r="E9" s="19"/>
      <c r="F9" s="19"/>
      <c r="G9" s="19"/>
      <c r="H9" s="19"/>
      <c r="I9" s="19"/>
      <c r="J9" s="19"/>
      <c r="K9" s="19"/>
      <c r="L9" s="19"/>
      <c r="M9" s="19"/>
      <c r="N9" s="19"/>
      <c r="O9" s="19"/>
      <c r="P9" s="19"/>
    </row>
    <row r="10" spans="1:16">
      <c r="A10" s="24" t="s">
        <v>213</v>
      </c>
      <c r="B10" s="25">
        <f ca="1">'EF ele_warmte'!B12</f>
        <v>0.20067981853547012</v>
      </c>
      <c r="C10" s="25">
        <f ca="1">'EF ele_warmte'!B22</f>
        <v>0.22998102466793169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3991.6667995141202</v>
      </c>
      <c r="C12" s="23">
        <f ca="1">C10*C8</f>
        <v>0</v>
      </c>
      <c r="D12" s="23">
        <f>D8*D10</f>
        <v>10358.869770827836</v>
      </c>
      <c r="E12" s="23">
        <f>E10*E8</f>
        <v>1279.4742974213032</v>
      </c>
      <c r="F12" s="23">
        <f>F10*F8</f>
        <v>2039.6949905832346</v>
      </c>
      <c r="G12" s="23"/>
      <c r="H12" s="23"/>
      <c r="I12" s="23"/>
      <c r="J12" s="23">
        <f>J10*J8</f>
        <v>280.87548133465202</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2583</v>
      </c>
      <c r="C18" s="168" t="s">
        <v>110</v>
      </c>
      <c r="D18" s="230"/>
      <c r="E18" s="15"/>
    </row>
    <row r="19" spans="1:7">
      <c r="A19" s="173" t="s">
        <v>71</v>
      </c>
      <c r="B19" s="37">
        <f>aantalw2001_ander</f>
        <v>0</v>
      </c>
      <c r="C19" s="168" t="s">
        <v>110</v>
      </c>
      <c r="D19" s="231"/>
      <c r="E19" s="15"/>
    </row>
    <row r="20" spans="1:7">
      <c r="A20" s="173" t="s">
        <v>72</v>
      </c>
      <c r="B20" s="37">
        <f>aantalw2001_propaan</f>
        <v>141</v>
      </c>
      <c r="C20" s="169">
        <f>IF(ISERROR(B20/SUM($B$20,$B$21,$B$22)*100),0,B20/SUM($B$20,$B$21,$B$22)*100)</f>
        <v>23.817567567567568</v>
      </c>
      <c r="D20" s="231"/>
      <c r="E20" s="15"/>
    </row>
    <row r="21" spans="1:7">
      <c r="A21" s="173" t="s">
        <v>73</v>
      </c>
      <c r="B21" s="37">
        <f>aantalw2001_elektriciteit</f>
        <v>366</v>
      </c>
      <c r="C21" s="169">
        <f>IF(ISERROR(B21/SUM($B$20,$B$21,$B$22)*100),0,B21/SUM($B$20,$B$21,$B$22)*100)</f>
        <v>61.824324324324323</v>
      </c>
      <c r="D21" s="231"/>
      <c r="E21" s="15"/>
    </row>
    <row r="22" spans="1:7">
      <c r="A22" s="173" t="s">
        <v>74</v>
      </c>
      <c r="B22" s="37">
        <f>aantalw2001_hout</f>
        <v>85</v>
      </c>
      <c r="C22" s="169">
        <f>IF(ISERROR(B22/SUM($B$20,$B$21,$B$22)*100),0,B22/SUM($B$20,$B$21,$B$22)*100)</f>
        <v>14.358108108108109</v>
      </c>
      <c r="D22" s="231"/>
      <c r="E22" s="15"/>
    </row>
    <row r="23" spans="1:7">
      <c r="A23" s="173" t="s">
        <v>75</v>
      </c>
      <c r="B23" s="37">
        <f>aantalw2001_niet_gespec</f>
        <v>65</v>
      </c>
      <c r="C23" s="168" t="s">
        <v>110</v>
      </c>
      <c r="D23" s="230"/>
      <c r="E23" s="15"/>
    </row>
    <row r="24" spans="1:7">
      <c r="A24" s="173" t="s">
        <v>76</v>
      </c>
      <c r="B24" s="37">
        <f>aantalw2001_steenkool</f>
        <v>106</v>
      </c>
      <c r="C24" s="168" t="s">
        <v>110</v>
      </c>
      <c r="D24" s="231"/>
      <c r="E24" s="15"/>
    </row>
    <row r="25" spans="1:7">
      <c r="A25" s="173" t="s">
        <v>77</v>
      </c>
      <c r="B25" s="37">
        <f>aantalw2001_stookolie</f>
        <v>1077</v>
      </c>
      <c r="C25" s="168" t="s">
        <v>110</v>
      </c>
      <c r="D25" s="230"/>
      <c r="E25" s="52"/>
    </row>
    <row r="26" spans="1:7">
      <c r="A26" s="173" t="s">
        <v>78</v>
      </c>
      <c r="B26" s="37">
        <f>aantalw2001_WP</f>
        <v>2</v>
      </c>
      <c r="C26" s="168" t="s">
        <v>110</v>
      </c>
      <c r="D26" s="230"/>
      <c r="E26" s="15"/>
    </row>
    <row r="27" spans="1:7" s="15" customFormat="1">
      <c r="A27" s="173"/>
      <c r="B27" s="29"/>
      <c r="C27" s="36"/>
      <c r="D27" s="230"/>
    </row>
    <row r="28" spans="1:7" s="15" customFormat="1">
      <c r="A28" s="232" t="s">
        <v>742</v>
      </c>
      <c r="B28" s="37">
        <f>aantalHuishoudens</f>
        <v>4814</v>
      </c>
      <c r="C28" s="36"/>
      <c r="D28" s="230"/>
    </row>
    <row r="29" spans="1:7" s="15" customFormat="1">
      <c r="A29" s="232" t="s">
        <v>743</v>
      </c>
      <c r="B29" s="37">
        <f>SUM(HH_hh_gas_aantal,HH_rest_gas_aantal)</f>
        <v>3419</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3419</v>
      </c>
      <c r="C32" s="169">
        <f>IF(ISERROR(B32/SUM($B$32,$B$34,$B$35,$B$36,$B$38,$B$39)*100),0,B32/SUM($B$32,$B$34,$B$35,$B$36,$B$38,$B$39)*100)</f>
        <v>71.258857857440603</v>
      </c>
      <c r="D32" s="235"/>
      <c r="G32" s="15"/>
    </row>
    <row r="33" spans="1:7">
      <c r="A33" s="173" t="s">
        <v>71</v>
      </c>
      <c r="B33" s="34" t="s">
        <v>110</v>
      </c>
      <c r="C33" s="169"/>
      <c r="D33" s="235"/>
      <c r="G33" s="15"/>
    </row>
    <row r="34" spans="1:7">
      <c r="A34" s="173" t="s">
        <v>72</v>
      </c>
      <c r="B34" s="33">
        <f>IF((($B$28-$B$32-$B$39-$B$77-$B$38)*C20/100)&lt;0,0,($B$28-$B$32-$B$39-$B$77-$B$38)*C20/100)</f>
        <v>245.79729729729729</v>
      </c>
      <c r="C34" s="169">
        <f>IF(ISERROR(B34/SUM($B$32,$B$34,$B$35,$B$36,$B$38,$B$39)*100),0,B34/SUM($B$32,$B$34,$B$35,$B$36,$B$38,$B$39)*100)</f>
        <v>5.1229115735159914</v>
      </c>
      <c r="D34" s="235"/>
      <c r="G34" s="15"/>
    </row>
    <row r="35" spans="1:7">
      <c r="A35" s="173" t="s">
        <v>73</v>
      </c>
      <c r="B35" s="33">
        <f>IF((($B$28-$B$32-$B$39-$B$77-$B$38)*C21/100)&lt;0,0,($B$28-$B$32-$B$39-$B$77-$B$38)*C21/100)</f>
        <v>638.02702702702697</v>
      </c>
      <c r="C35" s="169">
        <f>IF(ISERROR(B35/SUM($B$32,$B$34,$B$35,$B$36,$B$38,$B$39)*100),0,B35/SUM($B$32,$B$34,$B$35,$B$36,$B$38,$B$39)*100)</f>
        <v>13.297770467424488</v>
      </c>
      <c r="D35" s="235"/>
      <c r="G35" s="15"/>
    </row>
    <row r="36" spans="1:7">
      <c r="A36" s="173" t="s">
        <v>74</v>
      </c>
      <c r="B36" s="33">
        <f>IF((($B$28-$B$32-$B$39-$B$77-$B$38)*C22/100)&lt;0,0,($B$28-$B$32-$B$39-$B$77-$B$38)*C22/100)</f>
        <v>148.17567567567568</v>
      </c>
      <c r="C36" s="169">
        <f>IF(ISERROR(B36/SUM($B$32,$B$34,$B$35,$B$36,$B$38,$B$39)*100),0,B36/SUM($B$32,$B$34,$B$35,$B$36,$B$38,$B$39)*100)</f>
        <v>3.0882800265876549</v>
      </c>
      <c r="D36" s="235"/>
      <c r="G36" s="15"/>
    </row>
    <row r="37" spans="1:7">
      <c r="A37" s="173" t="s">
        <v>75</v>
      </c>
      <c r="B37" s="34" t="s">
        <v>110</v>
      </c>
      <c r="C37" s="169"/>
      <c r="D37" s="175"/>
      <c r="G37" s="15"/>
    </row>
    <row r="38" spans="1:7">
      <c r="A38" s="173" t="s">
        <v>76</v>
      </c>
      <c r="B38" s="33">
        <f>IF((B24-(B29-B18)*0.1)&lt;0,0,B24-(B29-B18)*0.1)</f>
        <v>22.399999999999991</v>
      </c>
      <c r="C38" s="169">
        <f>IF(ISERROR(B38/SUM($B$32,$B$34,$B$35,$B$36,$B$38,$B$39)*100),0,B38/SUM($B$32,$B$34,$B$35,$B$36,$B$38,$B$39)*100)</f>
        <v>0.46686119216340127</v>
      </c>
      <c r="D38" s="236"/>
      <c r="G38" s="15"/>
    </row>
    <row r="39" spans="1:7">
      <c r="A39" s="173" t="s">
        <v>77</v>
      </c>
      <c r="B39" s="33">
        <f>IF((B25-(B29-B18))&lt;0,0,B25-(B29-B18)*0.9)</f>
        <v>324.60000000000002</v>
      </c>
      <c r="C39" s="169">
        <f>IF(ISERROR(B39/SUM($B$32,$B$34,$B$35,$B$36,$B$38,$B$39)*100),0,B39/SUM($B$32,$B$34,$B$35,$B$36,$B$38,$B$39)*100)</f>
        <v>6.7653188828678612</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3419</v>
      </c>
      <c r="C44" s="34" t="s">
        <v>110</v>
      </c>
      <c r="D44" s="176"/>
    </row>
    <row r="45" spans="1:7">
      <c r="A45" s="173" t="s">
        <v>71</v>
      </c>
      <c r="B45" s="33" t="str">
        <f t="shared" si="0"/>
        <v>-</v>
      </c>
      <c r="C45" s="34" t="s">
        <v>110</v>
      </c>
      <c r="D45" s="176"/>
    </row>
    <row r="46" spans="1:7">
      <c r="A46" s="173" t="s">
        <v>72</v>
      </c>
      <c r="B46" s="33">
        <f t="shared" si="0"/>
        <v>245.79729729729729</v>
      </c>
      <c r="C46" s="34" t="s">
        <v>110</v>
      </c>
      <c r="D46" s="176"/>
    </row>
    <row r="47" spans="1:7">
      <c r="A47" s="173" t="s">
        <v>73</v>
      </c>
      <c r="B47" s="33">
        <f t="shared" si="0"/>
        <v>638.02702702702697</v>
      </c>
      <c r="C47" s="34" t="s">
        <v>110</v>
      </c>
      <c r="D47" s="176"/>
    </row>
    <row r="48" spans="1:7">
      <c r="A48" s="173" t="s">
        <v>74</v>
      </c>
      <c r="B48" s="33">
        <f t="shared" si="0"/>
        <v>148.17567567567568</v>
      </c>
      <c r="C48" s="33">
        <f>B48*10</f>
        <v>1481.7567567567567</v>
      </c>
      <c r="D48" s="236"/>
    </row>
    <row r="49" spans="1:6">
      <c r="A49" s="173" t="s">
        <v>75</v>
      </c>
      <c r="B49" s="33" t="str">
        <f t="shared" si="0"/>
        <v>-</v>
      </c>
      <c r="C49" s="34" t="s">
        <v>110</v>
      </c>
      <c r="D49" s="236"/>
    </row>
    <row r="50" spans="1:6">
      <c r="A50" s="173" t="s">
        <v>76</v>
      </c>
      <c r="B50" s="33">
        <f t="shared" si="0"/>
        <v>22.399999999999991</v>
      </c>
      <c r="C50" s="33">
        <f>B50*2</f>
        <v>44.799999999999983</v>
      </c>
      <c r="D50" s="236"/>
    </row>
    <row r="51" spans="1:6">
      <c r="A51" s="173" t="s">
        <v>77</v>
      </c>
      <c r="B51" s="33">
        <f t="shared" si="0"/>
        <v>324.60000000000002</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152</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16</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25778.632498345356</v>
      </c>
      <c r="C5" s="17">
        <f>IF(ISERROR('Eigen informatie GS &amp; warmtenet'!B58),0,'Eigen informatie GS &amp; warmtenet'!B58)</f>
        <v>0</v>
      </c>
      <c r="D5" s="30">
        <f>SUM(D6:D12)</f>
        <v>35342.303839195156</v>
      </c>
      <c r="E5" s="17">
        <f>SUM(E6:E12)</f>
        <v>368.81707411023865</v>
      </c>
      <c r="F5" s="17">
        <f>SUM(F6:F12)</f>
        <v>5052.2843885875445</v>
      </c>
      <c r="G5" s="18"/>
      <c r="H5" s="17"/>
      <c r="I5" s="17"/>
      <c r="J5" s="17">
        <f>SUM(J6:J12)</f>
        <v>0</v>
      </c>
      <c r="K5" s="17"/>
      <c r="L5" s="17"/>
      <c r="M5" s="17"/>
      <c r="N5" s="17">
        <f>SUM(N6:N12)</f>
        <v>1345.2229834576192</v>
      </c>
      <c r="O5" s="17">
        <f>B38*B39*B40</f>
        <v>7.8166666666666664</v>
      </c>
      <c r="P5" s="17">
        <f>B46*B47*B48/1000-B46*B47*B48/1000/B49</f>
        <v>19.066666666666666</v>
      </c>
      <c r="R5" s="32"/>
    </row>
    <row r="6" spans="1:18">
      <c r="A6" s="32" t="s">
        <v>53</v>
      </c>
      <c r="B6" s="37">
        <f>B26</f>
        <v>5356.1800441974201</v>
      </c>
      <c r="C6" s="33"/>
      <c r="D6" s="37">
        <f>IF(ISERROR(TER_kantoor_gas_kWh/1000),0,TER_kantoor_gas_kWh/1000)*0.902</f>
        <v>9527.8057915150584</v>
      </c>
      <c r="E6" s="33">
        <f>$C$26*'E Balans VL '!I12/100/3.6*1000000</f>
        <v>20.809893441092886</v>
      </c>
      <c r="F6" s="33">
        <f>$C$26*('E Balans VL '!L12+'E Balans VL '!N12)/100/3.6*1000000</f>
        <v>814.6262473697044</v>
      </c>
      <c r="G6" s="34"/>
      <c r="H6" s="33"/>
      <c r="I6" s="33"/>
      <c r="J6" s="33">
        <f>$C$26*('E Balans VL '!D12+'E Balans VL '!E12)/100/3.6*1000000</f>
        <v>0</v>
      </c>
      <c r="K6" s="33"/>
      <c r="L6" s="33"/>
      <c r="M6" s="33"/>
      <c r="N6" s="33">
        <f>$C$26*'E Balans VL '!Y12/100/3.6*1000000</f>
        <v>2.9518968589200831</v>
      </c>
      <c r="O6" s="33"/>
      <c r="P6" s="33"/>
      <c r="R6" s="32"/>
    </row>
    <row r="7" spans="1:18">
      <c r="A7" s="32" t="s">
        <v>52</v>
      </c>
      <c r="B7" s="37">
        <f t="shared" ref="B7:B12" si="0">B27</f>
        <v>2422.85402628267</v>
      </c>
      <c r="C7" s="33"/>
      <c r="D7" s="37">
        <f>IF(ISERROR(TER_horeca_gas_kWh/1000),0,TER_horeca_gas_kWh/1000)*0.902</f>
        <v>3515.5706453364478</v>
      </c>
      <c r="E7" s="33">
        <f>$C$27*'E Balans VL '!I9/100/3.6*1000000</f>
        <v>136.48001506434628</v>
      </c>
      <c r="F7" s="33">
        <f>$C$27*('E Balans VL '!L9+'E Balans VL '!N9)/100/3.6*1000000</f>
        <v>698.60604787048612</v>
      </c>
      <c r="G7" s="34"/>
      <c r="H7" s="33"/>
      <c r="I7" s="33"/>
      <c r="J7" s="33">
        <f>$C$27*('E Balans VL '!D9+'E Balans VL '!E9)/100/3.6*1000000</f>
        <v>0</v>
      </c>
      <c r="K7" s="33"/>
      <c r="L7" s="33"/>
      <c r="M7" s="33"/>
      <c r="N7" s="33">
        <f>$C$27*'E Balans VL '!Y9/100/3.6*1000000</f>
        <v>0.66893740632253862</v>
      </c>
      <c r="O7" s="33"/>
      <c r="P7" s="33"/>
      <c r="R7" s="32"/>
    </row>
    <row r="8" spans="1:18">
      <c r="A8" s="6" t="s">
        <v>51</v>
      </c>
      <c r="B8" s="37">
        <f t="shared" si="0"/>
        <v>8541.3016952797498</v>
      </c>
      <c r="C8" s="33"/>
      <c r="D8" s="37">
        <f>IF(ISERROR(TER_handel_gas_kWh/1000),0,TER_handel_gas_kWh/1000)*0.902</f>
        <v>6336.7313959066969</v>
      </c>
      <c r="E8" s="33">
        <f>$C$28*'E Balans VL '!I13/100/3.6*1000000</f>
        <v>123.10913518305159</v>
      </c>
      <c r="F8" s="33">
        <f>$C$28*('E Balans VL '!L13+'E Balans VL '!N13)/100/3.6*1000000</f>
        <v>1483.8230179641216</v>
      </c>
      <c r="G8" s="34"/>
      <c r="H8" s="33"/>
      <c r="I8" s="33"/>
      <c r="J8" s="33">
        <f>$C$28*('E Balans VL '!D13+'E Balans VL '!E13)/100/3.6*1000000</f>
        <v>0</v>
      </c>
      <c r="K8" s="33"/>
      <c r="L8" s="33"/>
      <c r="M8" s="33"/>
      <c r="N8" s="33">
        <f>$C$28*'E Balans VL '!Y13/100/3.6*1000000</f>
        <v>25.590690716350242</v>
      </c>
      <c r="O8" s="33"/>
      <c r="P8" s="33"/>
      <c r="R8" s="32"/>
    </row>
    <row r="9" spans="1:18">
      <c r="A9" s="32" t="s">
        <v>50</v>
      </c>
      <c r="B9" s="37">
        <f t="shared" si="0"/>
        <v>940.89250658742594</v>
      </c>
      <c r="C9" s="33"/>
      <c r="D9" s="37">
        <f>IF(ISERROR(TER_gezond_gas_kWh/1000),0,TER_gezond_gas_kWh/1000)*0.902</f>
        <v>1064.7518516201851</v>
      </c>
      <c r="E9" s="33">
        <f>$C$29*'E Balans VL '!I10/100/3.6*1000000</f>
        <v>1.0051170674172225</v>
      </c>
      <c r="F9" s="33">
        <f>$C$29*('E Balans VL '!L10+'E Balans VL '!N10)/100/3.6*1000000</f>
        <v>153.48816262071094</v>
      </c>
      <c r="G9" s="34"/>
      <c r="H9" s="33"/>
      <c r="I9" s="33"/>
      <c r="J9" s="33">
        <f>$C$29*('E Balans VL '!D10+'E Balans VL '!E10)/100/3.6*1000000</f>
        <v>0</v>
      </c>
      <c r="K9" s="33"/>
      <c r="L9" s="33"/>
      <c r="M9" s="33"/>
      <c r="N9" s="33">
        <f>$C$29*'E Balans VL '!Y10/100/3.6*1000000</f>
        <v>9.6859514927638646</v>
      </c>
      <c r="O9" s="33"/>
      <c r="P9" s="33"/>
      <c r="R9" s="32"/>
    </row>
    <row r="10" spans="1:18">
      <c r="A10" s="32" t="s">
        <v>49</v>
      </c>
      <c r="B10" s="37">
        <f t="shared" si="0"/>
        <v>1108.6885478458801</v>
      </c>
      <c r="C10" s="33"/>
      <c r="D10" s="37">
        <f>IF(ISERROR(TER_ander_gas_kWh/1000),0,TER_ander_gas_kWh/1000)*0.902</f>
        <v>1751.291411256386</v>
      </c>
      <c r="E10" s="33">
        <f>$C$30*'E Balans VL '!I14/100/3.6*1000000</f>
        <v>5.098689987496015</v>
      </c>
      <c r="F10" s="33">
        <f>$C$30*('E Balans VL '!L14+'E Balans VL '!N14)/100/3.6*1000000</f>
        <v>332.30892896935944</v>
      </c>
      <c r="G10" s="34"/>
      <c r="H10" s="33"/>
      <c r="I10" s="33"/>
      <c r="J10" s="33">
        <f>$C$30*('E Balans VL '!D14+'E Balans VL '!E14)/100/3.6*1000000</f>
        <v>0</v>
      </c>
      <c r="K10" s="33"/>
      <c r="L10" s="33"/>
      <c r="M10" s="33"/>
      <c r="N10" s="33">
        <f>$C$30*'E Balans VL '!Y14/100/3.6*1000000</f>
        <v>771.7204146840088</v>
      </c>
      <c r="O10" s="33"/>
      <c r="P10" s="33"/>
      <c r="R10" s="32"/>
    </row>
    <row r="11" spans="1:18">
      <c r="A11" s="32" t="s">
        <v>54</v>
      </c>
      <c r="B11" s="37">
        <f t="shared" si="0"/>
        <v>673.97797819410494</v>
      </c>
      <c r="C11" s="33"/>
      <c r="D11" s="37">
        <f>IF(ISERROR(TER_onderwijs_gas_kWh/1000),0,TER_onderwijs_gas_kWh/1000)*0.902</f>
        <v>2034.7431794243419</v>
      </c>
      <c r="E11" s="33">
        <f>$C$31*'E Balans VL '!I11/100/3.6*1000000</f>
        <v>0.62520320879549418</v>
      </c>
      <c r="F11" s="33">
        <f>$C$31*('E Balans VL '!L11+'E Balans VL '!N11)/100/3.6*1000000</f>
        <v>236.75297346945203</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6734.7376999581102</v>
      </c>
      <c r="C12" s="33"/>
      <c r="D12" s="37">
        <f>IF(ISERROR(TER_rest_gas_kWh/1000),0,TER_rest_gas_kWh/1000)*0.902</f>
        <v>11111.409564136044</v>
      </c>
      <c r="E12" s="33">
        <f>$C$32*'E Balans VL '!I8/100/3.6*1000000</f>
        <v>81.689020158039114</v>
      </c>
      <c r="F12" s="33">
        <f>$C$32*('E Balans VL '!L8+'E Balans VL '!N8)/100/3.6*1000000</f>
        <v>1332.6790103237099</v>
      </c>
      <c r="G12" s="34"/>
      <c r="H12" s="33"/>
      <c r="I12" s="33"/>
      <c r="J12" s="33">
        <f>$C$32*('E Balans VL '!D8+'E Balans VL '!E8)/100/3.6*1000000</f>
        <v>0</v>
      </c>
      <c r="K12" s="33"/>
      <c r="L12" s="33"/>
      <c r="M12" s="33"/>
      <c r="N12" s="33">
        <f>$C$32*'E Balans VL '!Y8/100/3.6*1000000</f>
        <v>534.60509229925356</v>
      </c>
      <c r="O12" s="33"/>
      <c r="P12" s="33"/>
      <c r="R12" s="32"/>
    </row>
    <row r="13" spans="1:18">
      <c r="A13" s="16" t="s">
        <v>496</v>
      </c>
      <c r="B13" s="249">
        <f ca="1">'lokale energieproductie'!N39+'lokale energieproductie'!N32</f>
        <v>1309.5</v>
      </c>
      <c r="C13" s="249">
        <f ca="1">'lokale energieproductie'!O39+'lokale energieproductie'!O32</f>
        <v>1870.7142857142858</v>
      </c>
      <c r="D13" s="310">
        <f ca="1">('lokale energieproductie'!P32+'lokale energieproductie'!P39)*(-1)</f>
        <v>-3741.4285714285716</v>
      </c>
      <c r="E13" s="250"/>
      <c r="F13" s="310">
        <f ca="1">('lokale energieproductie'!S32+'lokale energieproductie'!S39)*(-1)</f>
        <v>0</v>
      </c>
      <c r="G13" s="251"/>
      <c r="H13" s="250"/>
      <c r="I13" s="250"/>
      <c r="J13" s="250"/>
      <c r="K13" s="250"/>
      <c r="L13" s="310">
        <f ca="1">('lokale energieproductie'!U32+'lokale energieproductie'!T32+'lokale energieproductie'!U39+'lokale energieproductie'!T39)*(-1)</f>
        <v>0</v>
      </c>
      <c r="M13" s="250"/>
      <c r="N13" s="310">
        <f ca="1">('lokale energieproductie'!Q32+'lokale energieproductie'!R32+'lokale energieproductie'!V32+'lokale energieproductie'!Q39+'lokale energieproductie'!R39+'lokale energieproductie'!V39)*(-1)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27088.132498345356</v>
      </c>
      <c r="C16" s="21">
        <f t="shared" ca="1" si="1"/>
        <v>1870.7142857142858</v>
      </c>
      <c r="D16" s="21">
        <f t="shared" ca="1" si="1"/>
        <v>31600.875267766583</v>
      </c>
      <c r="E16" s="21">
        <f t="shared" si="1"/>
        <v>368.81707411023865</v>
      </c>
      <c r="F16" s="21">
        <f t="shared" ca="1" si="1"/>
        <v>5052.2843885875445</v>
      </c>
      <c r="G16" s="21">
        <f t="shared" si="1"/>
        <v>0</v>
      </c>
      <c r="H16" s="21">
        <f t="shared" si="1"/>
        <v>0</v>
      </c>
      <c r="I16" s="21">
        <f t="shared" si="1"/>
        <v>0</v>
      </c>
      <c r="J16" s="21">
        <f t="shared" si="1"/>
        <v>0</v>
      </c>
      <c r="K16" s="21">
        <f t="shared" si="1"/>
        <v>0</v>
      </c>
      <c r="L16" s="21">
        <f t="shared" ca="1" si="1"/>
        <v>0</v>
      </c>
      <c r="M16" s="21">
        <f t="shared" si="1"/>
        <v>0</v>
      </c>
      <c r="N16" s="21">
        <f t="shared" ca="1" si="1"/>
        <v>1345.2229834576192</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0.20067981853547012</v>
      </c>
      <c r="C18" s="25">
        <f ca="1">'EF ele_warmte'!B22</f>
        <v>0.22998102466793169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5436.0415142327174</v>
      </c>
      <c r="C20" s="23">
        <f t="shared" ref="C20:P20" ca="1" si="2">C16*C18</f>
        <v>430.22878828950934</v>
      </c>
      <c r="D20" s="23">
        <f t="shared" ca="1" si="2"/>
        <v>6383.3768040888499</v>
      </c>
      <c r="E20" s="23">
        <f t="shared" si="2"/>
        <v>83.721475823024178</v>
      </c>
      <c r="F20" s="23">
        <f t="shared" ca="1" si="2"/>
        <v>1348.9599317528744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5356.1800441974201</v>
      </c>
      <c r="C26" s="39">
        <f>IF(ISERROR(B26*3.6/1000000/'E Balans VL '!Z12*100),0,B26*3.6/1000000/'E Balans VL '!Z12*100)</f>
        <v>0.11376791724544795</v>
      </c>
      <c r="D26" s="239" t="s">
        <v>689</v>
      </c>
      <c r="F26" s="6"/>
    </row>
    <row r="27" spans="1:18">
      <c r="A27" s="233" t="s">
        <v>52</v>
      </c>
      <c r="B27" s="33">
        <f>IF(ISERROR(TER_horeca_ele_kWh/1000),0,TER_horeca_ele_kWh/1000)</f>
        <v>2422.85402628267</v>
      </c>
      <c r="C27" s="39">
        <f>IF(ISERROR(B27*3.6/1000000/'E Balans VL '!Z9*100),0,B27*3.6/1000000/'E Balans VL '!Z9*100)</f>
        <v>0.18839165591419688</v>
      </c>
      <c r="D27" s="239" t="s">
        <v>689</v>
      </c>
      <c r="F27" s="6"/>
    </row>
    <row r="28" spans="1:18">
      <c r="A28" s="173" t="s">
        <v>51</v>
      </c>
      <c r="B28" s="33">
        <f>IF(ISERROR(TER_handel_ele_kWh/1000),0,TER_handel_ele_kWh/1000)</f>
        <v>8541.3016952797498</v>
      </c>
      <c r="C28" s="39">
        <f>IF(ISERROR(B28*3.6/1000000/'E Balans VL '!Z13*100),0,B28*3.6/1000000/'E Balans VL '!Z13*100)</f>
        <v>0.24437669360848571</v>
      </c>
      <c r="D28" s="239" t="s">
        <v>689</v>
      </c>
      <c r="F28" s="6"/>
    </row>
    <row r="29" spans="1:18">
      <c r="A29" s="233" t="s">
        <v>50</v>
      </c>
      <c r="B29" s="33">
        <f>IF(ISERROR(TER_gezond_ele_kWh/1000),0,TER_gezond_ele_kWh/1000)</f>
        <v>940.89250658742594</v>
      </c>
      <c r="C29" s="39">
        <f>IF(ISERROR(B29*3.6/1000000/'E Balans VL '!Z10*100),0,B29*3.6/1000000/'E Balans VL '!Z10*100)</f>
        <v>0.1025791469377267</v>
      </c>
      <c r="D29" s="239" t="s">
        <v>689</v>
      </c>
      <c r="F29" s="6"/>
    </row>
    <row r="30" spans="1:18">
      <c r="A30" s="233" t="s">
        <v>49</v>
      </c>
      <c r="B30" s="33">
        <f>IF(ISERROR(TER_ander_ele_kWh/1000),0,TER_ander_ele_kWh/1000)</f>
        <v>1108.6885478458801</v>
      </c>
      <c r="C30" s="39">
        <f>IF(ISERROR(B30*3.6/1000000/'E Balans VL '!Z14*100),0,B30*3.6/1000000/'E Balans VL '!Z14*100)</f>
        <v>8.1131312931009933E-2</v>
      </c>
      <c r="D30" s="239" t="s">
        <v>689</v>
      </c>
      <c r="F30" s="6"/>
    </row>
    <row r="31" spans="1:18">
      <c r="A31" s="233" t="s">
        <v>54</v>
      </c>
      <c r="B31" s="33">
        <f>IF(ISERROR(TER_onderwijs_ele_kWh/1000),0,TER_onderwijs_ele_kWh/1000)</f>
        <v>673.97797819410494</v>
      </c>
      <c r="C31" s="39">
        <f>IF(ISERROR(B31*3.6/1000000/'E Balans VL '!Z11*100),0,B31*3.6/1000000/'E Balans VL '!Z11*100)</f>
        <v>0.13536897740253184</v>
      </c>
      <c r="D31" s="239" t="s">
        <v>689</v>
      </c>
    </row>
    <row r="32" spans="1:18">
      <c r="A32" s="233" t="s">
        <v>259</v>
      </c>
      <c r="B32" s="33">
        <f>IF(ISERROR(TER_rest_ele_kWh/1000),0,TER_rest_ele_kWh/1000)</f>
        <v>6734.7376999581102</v>
      </c>
      <c r="C32" s="39">
        <f>IF(ISERROR(B32*3.6/1000000/'E Balans VL '!Z8*100),0,B32*3.6/1000000/'E Balans VL '!Z8*100)</f>
        <v>5.4884025150010993E-2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5</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53494.229241792527</v>
      </c>
      <c r="C5" s="17">
        <f>IF(ISERROR('Eigen informatie GS &amp; warmtenet'!B59),0,'Eigen informatie GS &amp; warmtenet'!B59)</f>
        <v>0</v>
      </c>
      <c r="D5" s="30">
        <f>SUM(D6:D15)</f>
        <v>160843.67128031419</v>
      </c>
      <c r="E5" s="17">
        <f>SUM(E6:E15)</f>
        <v>5004.7590691439018</v>
      </c>
      <c r="F5" s="17">
        <f>SUM(F6:F15)</f>
        <v>42617.347773504858</v>
      </c>
      <c r="G5" s="18"/>
      <c r="H5" s="17"/>
      <c r="I5" s="17"/>
      <c r="J5" s="17">
        <f>SUM(J6:J15)</f>
        <v>62.10186986484478</v>
      </c>
      <c r="K5" s="17"/>
      <c r="L5" s="17"/>
      <c r="M5" s="17"/>
      <c r="N5" s="17">
        <f>SUM(N6:N15)</f>
        <v>8045.5724896151632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984.21653613239789</v>
      </c>
      <c r="C8" s="33"/>
      <c r="D8" s="37">
        <f>IF( ISERROR(IND_metaal_Gas_kWH/1000),0,IND_metaal_Gas_kWH/1000)*0.902</f>
        <v>185.61609198494139</v>
      </c>
      <c r="E8" s="33">
        <f>C30*'E Balans VL '!I18/100/3.6*1000000</f>
        <v>28.270393213388243</v>
      </c>
      <c r="F8" s="33">
        <f>C30*'E Balans VL '!L18/100/3.6*1000000+C30*'E Balans VL '!N18/100/3.6*1000000</f>
        <v>252.43261231362999</v>
      </c>
      <c r="G8" s="34"/>
      <c r="H8" s="33"/>
      <c r="I8" s="33"/>
      <c r="J8" s="40">
        <f>C30*'E Balans VL '!D18/100/3.6*1000000+C30*'E Balans VL '!E18/100/3.6*1000000</f>
        <v>0</v>
      </c>
      <c r="K8" s="33"/>
      <c r="L8" s="33"/>
      <c r="M8" s="33"/>
      <c r="N8" s="33">
        <f>C30*'E Balans VL '!Y18/100/3.6*1000000</f>
        <v>26.723488026585393</v>
      </c>
      <c r="O8" s="33"/>
      <c r="P8" s="33"/>
      <c r="R8" s="32"/>
    </row>
    <row r="9" spans="1:18">
      <c r="A9" s="6" t="s">
        <v>32</v>
      </c>
      <c r="B9" s="37">
        <f t="shared" si="0"/>
        <v>6961.4453827399793</v>
      </c>
      <c r="C9" s="33"/>
      <c r="D9" s="37">
        <f>IF( ISERROR(IND_andere_gas_kWh/1000),0,IND_andere_gas_kWh/1000)*0.902</f>
        <v>1613.1666900570119</v>
      </c>
      <c r="E9" s="33">
        <f>C31*'E Balans VL '!I19/100/3.6*1000000</f>
        <v>1884.2921037685262</v>
      </c>
      <c r="F9" s="33">
        <f>C31*'E Balans VL '!L19/100/3.6*1000000+C31*'E Balans VL '!N19/100/3.6*1000000</f>
        <v>4637.0592997105059</v>
      </c>
      <c r="G9" s="34"/>
      <c r="H9" s="33"/>
      <c r="I9" s="33"/>
      <c r="J9" s="40">
        <f>C31*'E Balans VL '!D19/100/3.6*1000000+C31*'E Balans VL '!E19/100/3.6*1000000</f>
        <v>0</v>
      </c>
      <c r="K9" s="33"/>
      <c r="L9" s="33"/>
      <c r="M9" s="33"/>
      <c r="N9" s="33">
        <f>C31*'E Balans VL '!Y19/100/3.6*1000000</f>
        <v>588.54409280097173</v>
      </c>
      <c r="O9" s="33"/>
      <c r="P9" s="33"/>
      <c r="R9" s="32"/>
    </row>
    <row r="10" spans="1:18">
      <c r="A10" s="6" t="s">
        <v>40</v>
      </c>
      <c r="B10" s="37">
        <f t="shared" si="0"/>
        <v>21505.3621992972</v>
      </c>
      <c r="C10" s="33"/>
      <c r="D10" s="37">
        <f>IF( ISERROR(IND_voed_gas_kWh/1000),0,IND_voed_gas_kWh/1000)*0.902</f>
        <v>4524.1359973179506</v>
      </c>
      <c r="E10" s="33">
        <f>C32*'E Balans VL '!I20/100/3.6*1000000</f>
        <v>1754.0267482586883</v>
      </c>
      <c r="F10" s="33">
        <f>C32*'E Balans VL '!L20/100/3.6*1000000+C32*'E Balans VL '!N20/100/3.6*1000000</f>
        <v>32066.446176572023</v>
      </c>
      <c r="G10" s="34"/>
      <c r="H10" s="33"/>
      <c r="I10" s="33"/>
      <c r="J10" s="40">
        <f>C32*'E Balans VL '!D20/100/3.6*1000000+C32*'E Balans VL '!E20/100/3.6*1000000</f>
        <v>0.28448983788886067</v>
      </c>
      <c r="K10" s="33"/>
      <c r="L10" s="33"/>
      <c r="M10" s="33"/>
      <c r="N10" s="33">
        <f>C32*'E Balans VL '!Y20/100/3.6*1000000</f>
        <v>6317.5165717458576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65.762068069148498</v>
      </c>
      <c r="C12" s="33"/>
      <c r="D12" s="37">
        <f>IF( ISERROR(IND_min_gas_kWh/1000),0,IND_min_gas_kWh/1000)*0.902</f>
        <v>0</v>
      </c>
      <c r="E12" s="33">
        <f>C34*'E Balans VL '!I22/100/3.6*1000000</f>
        <v>0.51227218131395391</v>
      </c>
      <c r="F12" s="33">
        <f>C34*'E Balans VL '!L22/100/3.6*1000000+C34*'E Balans VL '!N22/100/3.6*1000000</f>
        <v>24.801410873172571</v>
      </c>
      <c r="G12" s="34"/>
      <c r="H12" s="33"/>
      <c r="I12" s="33"/>
      <c r="J12" s="40">
        <f>C34*'E Balans VL '!D22/100/3.6*1000000+C34*'E Balans VL '!E22/100/3.6*1000000</f>
        <v>0.36168562461019127</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23977.443055553802</v>
      </c>
      <c r="C15" s="33"/>
      <c r="D15" s="37">
        <f>IF( ISERROR(IND_rest_gas_kWh/1000),0,IND_rest_gas_kWh/1000)*0.902</f>
        <v>154520.75250095429</v>
      </c>
      <c r="E15" s="33">
        <f>C37*'E Balans VL '!I15/100/3.6*1000000</f>
        <v>1337.6575517219856</v>
      </c>
      <c r="F15" s="33">
        <f>C37*'E Balans VL '!L15/100/3.6*1000000+C37*'E Balans VL '!N15/100/3.6*1000000</f>
        <v>5636.6082740355287</v>
      </c>
      <c r="G15" s="34"/>
      <c r="H15" s="33"/>
      <c r="I15" s="33"/>
      <c r="J15" s="40">
        <f>C37*'E Balans VL '!D15/100/3.6*1000000+C37*'E Balans VL '!E15/100/3.6*1000000</f>
        <v>61.455694402345728</v>
      </c>
      <c r="K15" s="33"/>
      <c r="L15" s="33"/>
      <c r="M15" s="33"/>
      <c r="N15" s="33">
        <f>C37*'E Balans VL '!Y15/100/3.6*1000000</f>
        <v>1112.7883370417483</v>
      </c>
      <c r="O15" s="33"/>
      <c r="P15" s="33"/>
      <c r="R15" s="32"/>
    </row>
    <row r="16" spans="1:18">
      <c r="A16" s="16" t="s">
        <v>496</v>
      </c>
      <c r="B16" s="249">
        <f>'lokale energieproductie'!N38+'lokale energieproductie'!N31</f>
        <v>0</v>
      </c>
      <c r="C16" s="249">
        <f>'lokale energieproductie'!O38+'lokale energieproductie'!O31</f>
        <v>0</v>
      </c>
      <c r="D16" s="310">
        <f>('lokale energieproductie'!P31+'lokale energieproductie'!P38)*(-1)</f>
        <v>0</v>
      </c>
      <c r="E16" s="250"/>
      <c r="F16" s="310">
        <f>('lokale energieproductie'!S31+'lokale energieproductie'!S38)*(-1)</f>
        <v>0</v>
      </c>
      <c r="G16" s="251"/>
      <c r="H16" s="250"/>
      <c r="I16" s="250"/>
      <c r="J16" s="250"/>
      <c r="K16" s="250"/>
      <c r="L16" s="310">
        <f>('lokale energieproductie'!T31+'lokale energieproductie'!U31+'lokale energieproductie'!T38+'lokale energieproductie'!U38)*(-1)</f>
        <v>0</v>
      </c>
      <c r="M16" s="250"/>
      <c r="N16" s="310">
        <f>('lokale energieproductie'!Q31+'lokale energieproductie'!R31+'lokale energieproductie'!V31+'lokale energieproductie'!Q38+'lokale energieproductie'!R38+'lokale energieproductie'!V38)*(-1)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53494.229241792527</v>
      </c>
      <c r="C18" s="21">
        <f>C5+C16</f>
        <v>0</v>
      </c>
      <c r="D18" s="21">
        <f>MAX((D5+D16),0)</f>
        <v>160843.67128031419</v>
      </c>
      <c r="E18" s="21">
        <f>MAX((E5+E16),0)</f>
        <v>5004.7590691439018</v>
      </c>
      <c r="F18" s="21">
        <f>MAX((F5+F16),0)</f>
        <v>42617.347773504858</v>
      </c>
      <c r="G18" s="21"/>
      <c r="H18" s="21"/>
      <c r="I18" s="21"/>
      <c r="J18" s="21">
        <f>MAX((J5+J16),0)</f>
        <v>62.10186986484478</v>
      </c>
      <c r="K18" s="21"/>
      <c r="L18" s="21">
        <f>MAX((L5+L16),0)</f>
        <v>0</v>
      </c>
      <c r="M18" s="21"/>
      <c r="N18" s="21">
        <f>MAX((N5+N16),0)</f>
        <v>8045.5724896151632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0.20067981853547012</v>
      </c>
      <c r="C20" s="25">
        <f ca="1">'EF ele_warmte'!B22</f>
        <v>0.22998102466793169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10735.212216937764</v>
      </c>
      <c r="C22" s="23">
        <f ca="1">C18*C20</f>
        <v>0</v>
      </c>
      <c r="D22" s="23">
        <f>D18*D20</f>
        <v>32490.421598623467</v>
      </c>
      <c r="E22" s="23">
        <f>E18*E20</f>
        <v>1136.0803086956657</v>
      </c>
      <c r="F22" s="23">
        <f>F18*F20</f>
        <v>11378.831855525797</v>
      </c>
      <c r="G22" s="23"/>
      <c r="H22" s="23"/>
      <c r="I22" s="23"/>
      <c r="J22" s="23">
        <f>J18*J20</f>
        <v>21.984061932155051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984.21653613239789</v>
      </c>
      <c r="C30" s="39">
        <f>IF(ISERROR(B30*3.6/1000000/'E Balans VL '!Z18*100),0,B30*3.6/1000000/'E Balans VL '!Z18*100)</f>
        <v>9.6844394718248725E-2</v>
      </c>
      <c r="D30" s="239" t="s">
        <v>689</v>
      </c>
    </row>
    <row r="31" spans="1:18">
      <c r="A31" s="6" t="s">
        <v>32</v>
      </c>
      <c r="B31" s="37">
        <f>IF( ISERROR(IND_ander_ele_kWh/1000),0,IND_ander_ele_kWh/1000)</f>
        <v>6961.4453827399793</v>
      </c>
      <c r="C31" s="39">
        <f>IF(ISERROR(B31*3.6/1000000/'E Balans VL '!Z19*100),0,B31*3.6/1000000/'E Balans VL '!Z19*100)</f>
        <v>0.30316539332804587</v>
      </c>
      <c r="D31" s="239" t="s">
        <v>689</v>
      </c>
    </row>
    <row r="32" spans="1:18">
      <c r="A32" s="173" t="s">
        <v>40</v>
      </c>
      <c r="B32" s="37">
        <f>IF( ISERROR(IND_voed_ele_kWh/1000),0,IND_voed_ele_kWh/1000)</f>
        <v>21505.3621992972</v>
      </c>
      <c r="C32" s="39">
        <f>IF(ISERROR(B32*3.6/1000000/'E Balans VL '!Z20*100),0,B32*3.6/1000000/'E Balans VL '!Z20*100)</f>
        <v>4.0803323362544139</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65.762068069148498</v>
      </c>
      <c r="C34" s="39">
        <f>IF(ISERROR(B34*3.6/1000000/'E Balans VL '!Z22*100),0,B34*3.6/1000000/'E Balans VL '!Z22*100)</f>
        <v>9.246807132626586E-3</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23977.443055553802</v>
      </c>
      <c r="C37" s="39">
        <f>IF(ISERROR(B37*3.6/1000000/'E Balans VL '!Z15*100),0,B37*3.6/1000000/'E Balans VL '!Z15*100)</f>
        <v>0.18477564911367636</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5345.492663298247</v>
      </c>
      <c r="C5" s="17">
        <f>'Eigen informatie GS &amp; warmtenet'!B60</f>
        <v>0</v>
      </c>
      <c r="D5" s="30">
        <f>IF(ISERROR(SUM(LB_lb_gas_kWh,LB_rest_gas_kWh)/1000),0,SUM(LB_lb_gas_kWh,LB_rest_gas_kWh)/1000)*0.902</f>
        <v>259.53875298498883</v>
      </c>
      <c r="E5" s="17">
        <f>B17*'E Balans VL '!I25/3.6*1000000/100</f>
        <v>67.360093952253976</v>
      </c>
      <c r="F5" s="17">
        <f>B17*('E Balans VL '!L25/3.6*1000000+'E Balans VL '!N25/3.6*1000000)/100</f>
        <v>18443.288814307165</v>
      </c>
      <c r="G5" s="18"/>
      <c r="H5" s="17"/>
      <c r="I5" s="17"/>
      <c r="J5" s="17">
        <f>('E Balans VL '!D25+'E Balans VL '!E25)/3.6*1000000*landbouw!B17/100</f>
        <v>803.90133114407115</v>
      </c>
      <c r="K5" s="17"/>
      <c r="L5" s="17">
        <f>L6*(-1)</f>
        <v>0</v>
      </c>
      <c r="M5" s="17"/>
      <c r="N5" s="17">
        <f>N6*(-1)</f>
        <v>124.71428571428569</v>
      </c>
      <c r="O5" s="17"/>
      <c r="P5" s="17"/>
      <c r="R5" s="32"/>
    </row>
    <row r="6" spans="1:18">
      <c r="A6" s="16" t="s">
        <v>496</v>
      </c>
      <c r="B6" s="17" t="s">
        <v>210</v>
      </c>
      <c r="C6" s="17">
        <f>'lokale energieproductie'!O40+'lokale energieproductie'!O33</f>
        <v>62.357142857142847</v>
      </c>
      <c r="D6" s="310">
        <f>('lokale energieproductie'!P33+'lokale energieproductie'!P40)*(-1)</f>
        <v>0</v>
      </c>
      <c r="E6" s="250"/>
      <c r="F6" s="310">
        <f>('lokale energieproductie'!S33+'lokale energieproductie'!S40)*(-1)</f>
        <v>0</v>
      </c>
      <c r="G6" s="251"/>
      <c r="H6" s="250"/>
      <c r="I6" s="250"/>
      <c r="J6" s="250"/>
      <c r="K6" s="250"/>
      <c r="L6" s="310">
        <f>('lokale energieproductie'!T33+'lokale energieproductie'!U33+'lokale energieproductie'!T40+'lokale energieproductie'!U40)*(-1)</f>
        <v>0</v>
      </c>
      <c r="M6" s="250"/>
      <c r="N6" s="1030">
        <f>('lokale energieproductie'!V33+'lokale energieproductie'!R33+'lokale energieproductie'!Q33+'lokale energieproductie'!Q40+'lokale energieproductie'!R40+'lokale energieproductie'!V40)*(-1)</f>
        <v>-124.71428571428569</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5345.492663298247</v>
      </c>
      <c r="C8" s="21">
        <f>C5+C6</f>
        <v>62.357142857142847</v>
      </c>
      <c r="D8" s="21">
        <f>MAX((D5+D6),0)</f>
        <v>259.53875298498883</v>
      </c>
      <c r="E8" s="21">
        <f>MAX((E5+E6),0)</f>
        <v>67.360093952253976</v>
      </c>
      <c r="F8" s="21">
        <f>MAX((F5+F6),0)</f>
        <v>18443.288814307165</v>
      </c>
      <c r="G8" s="21"/>
      <c r="H8" s="21"/>
      <c r="I8" s="21"/>
      <c r="J8" s="21">
        <f>MAX((J5+J6),0)</f>
        <v>803.90133114407115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0.20067981853547012</v>
      </c>
      <c r="C10" s="31">
        <f ca="1">'EF ele_warmte'!B22</f>
        <v>0.22998102466793169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1072.7324976533791</v>
      </c>
      <c r="C12" s="23">
        <f ca="1">C8*C10</f>
        <v>14.340959609650309</v>
      </c>
      <c r="D12" s="23">
        <f>D8*D10</f>
        <v>52.426828102967747</v>
      </c>
      <c r="E12" s="23">
        <f>E8*E10</f>
        <v>15.290741327161653</v>
      </c>
      <c r="F12" s="23">
        <f>F8*F10</f>
        <v>4924.3581134200131</v>
      </c>
      <c r="G12" s="23"/>
      <c r="H12" s="23"/>
      <c r="I12" s="23"/>
      <c r="J12" s="23">
        <f>J8*J10</f>
        <v>284.58107122500115</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0.74552774638100761</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903.55547803903119</v>
      </c>
      <c r="C26" s="249">
        <f>B26*'GWP N2O_CH4'!B5</f>
        <v>18974.665038819654</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480.16448157218446</v>
      </c>
      <c r="C27" s="249">
        <f>B27*'GWP N2O_CH4'!B5</f>
        <v>10083.454113015874</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14.788473844585257</v>
      </c>
      <c r="C28" s="249">
        <f>B28*'GWP N2O_CH4'!B4</f>
        <v>4584.4268918214293</v>
      </c>
      <c r="D28" s="50"/>
    </row>
    <row r="29" spans="1:4">
      <c r="A29" s="41" t="s">
        <v>276</v>
      </c>
      <c r="B29" s="249">
        <f>B34*'ha_N2O bodem landbouw'!B4</f>
        <v>48.2367424126844</v>
      </c>
      <c r="C29" s="249">
        <f>B29*'GWP N2O_CH4'!B4</f>
        <v>14953.390147932165</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1.2044232585464524E-2</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2.3416073180445997E-5</v>
      </c>
      <c r="C5" s="444" t="s">
        <v>210</v>
      </c>
      <c r="D5" s="429">
        <f>SUM(D6:D11)</f>
        <v>3.7486892626841298E-5</v>
      </c>
      <c r="E5" s="429">
        <f>SUM(E6:E11)</f>
        <v>1.45411875772888E-3</v>
      </c>
      <c r="F5" s="442" t="s">
        <v>210</v>
      </c>
      <c r="G5" s="429">
        <f>SUM(G6:G11)</f>
        <v>0.58216136720829659</v>
      </c>
      <c r="H5" s="429">
        <f>SUM(H6:H11)</f>
        <v>6.977534844084643E-2</v>
      </c>
      <c r="I5" s="444" t="s">
        <v>210</v>
      </c>
      <c r="J5" s="444" t="s">
        <v>210</v>
      </c>
      <c r="K5" s="444" t="s">
        <v>210</v>
      </c>
      <c r="L5" s="444" t="s">
        <v>210</v>
      </c>
      <c r="M5" s="429">
        <f>SUM(M6:M11)</f>
        <v>2.9465769870666937E-2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1.121056314006995E-5</v>
      </c>
      <c r="C6" s="883"/>
      <c r="D6" s="883">
        <f>vkm_GW_PW*SUMIFS(TableVerdeelsleutelVkm[CNG],TableVerdeelsleutelVkm[Voertuigtype],"Lichte voertuigen")*SUMIFS(TableECFTransport[EnergieConsumptieFactor (PJ per km)],TableECFTransport[Index],CONCATENATE($A6,"_CNG_CNG"))</f>
        <v>1.661372065996623E-5</v>
      </c>
      <c r="E6" s="883">
        <f>vkm_GW_PW*SUMIFS(TableVerdeelsleutelVkm[LPG],TableVerdeelsleutelVkm[Voertuigtype],"Lichte voertuigen")*SUMIFS(TableECFTransport[EnergieConsumptieFactor (PJ per km)],TableECFTransport[Index],CONCATENATE($A6,"_LPG_LPG"))</f>
        <v>5.9504276687425838E-4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0.11975414688748895</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3.059290852297664E-2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6.8016177051626759E-3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6.6255895596718503E-2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1.5394123530869484E-6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2.9915571030812004E-3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2.7208665825207997E-6</v>
      </c>
      <c r="C8" s="883"/>
      <c r="D8" s="432">
        <f>vkm_NGW_PW*SUMIFS(TableVerdeelsleutelVkm[CNG],TableVerdeelsleutelVkm[Voertuigtype],"Lichte voertuigen")*SUMIFS(TableECFTransport[EnergieConsumptieFactor (PJ per km)],TableECFTransport[Index],CONCATENATE($A8,"_CNG_CNG"))</f>
        <v>6.8428181258590104E-6</v>
      </c>
      <c r="E8" s="432">
        <f>vkm_NGW_PW*SUMIFS(TableVerdeelsleutelVkm[LPG],TableVerdeelsleutelVkm[Voertuigtype],"Lichte voertuigen")*SUMIFS(TableECFTransport[EnergieConsumptieFactor (PJ per km)],TableECFTransport[Index],CONCATENATE($A8,"_LPG_LPG"))</f>
        <v>2.317431419311669E-4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4.4303278477775779E-2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1.2107993954189558E-2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2.552289879279569E-3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2.5841290267143619E-2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6.9592451719427693E-7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1.1667789449621353E-3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9.4846434578552502E-6</v>
      </c>
      <c r="C10" s="883"/>
      <c r="D10" s="432">
        <f>vkm_SW_PW*SUMIFS(TableVerdeelsleutelVkm[CNG],TableVerdeelsleutelVkm[Voertuigtype],"Lichte voertuigen")*SUMIFS(TableECFTransport[EnergieConsumptieFactor (PJ per km)],TableECFTransport[Index],CONCATENATE($A10,"_CNG_CNG"))</f>
        <v>1.4030353841016059E-5</v>
      </c>
      <c r="E10" s="432">
        <f>vkm_SW_PW*SUMIFS(TableVerdeelsleutelVkm[LPG],TableVerdeelsleutelVkm[Voertuigtype],"Lichte voertuigen")*SUMIFS(TableECFTransport[EnergieConsumptieFactor (PJ per km)],TableECFTransport[Index],CONCATENATE($A10,"_LPG_LPG"))</f>
        <v>6.2733284892345473E-4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0.11445202220294118</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2.7066967556672473E-2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6.4014848579569562E-3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0.21155473377622863</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5.2430701374827684E-6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9.5520413802244013E-3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6.5044647723461102</v>
      </c>
      <c r="C14" s="21"/>
      <c r="D14" s="21">
        <f t="shared" ref="D14:M14" si="0">((D5)*10^9/3600)+D12</f>
        <v>10.413025729678138</v>
      </c>
      <c r="E14" s="21">
        <f t="shared" si="0"/>
        <v>403.92187714691113</v>
      </c>
      <c r="F14" s="21"/>
      <c r="G14" s="21">
        <f t="shared" si="0"/>
        <v>161711.49089119348</v>
      </c>
      <c r="H14" s="21">
        <f t="shared" si="0"/>
        <v>19382.041233568452</v>
      </c>
      <c r="I14" s="21"/>
      <c r="J14" s="21"/>
      <c r="K14" s="21"/>
      <c r="L14" s="21"/>
      <c r="M14" s="21">
        <f t="shared" si="0"/>
        <v>8184.9360751852601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0.20067981853547012</v>
      </c>
      <c r="C16" s="56">
        <f ca="1">'EF ele_warmte'!B22</f>
        <v>0.22998102466793169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1.3053148101847754</v>
      </c>
      <c r="C18" s="23"/>
      <c r="D18" s="23">
        <f t="shared" ref="D18:M18" si="1">D14*D16</f>
        <v>2.103431197394984</v>
      </c>
      <c r="E18" s="23">
        <f t="shared" si="1"/>
        <v>91.690266112348823</v>
      </c>
      <c r="F18" s="23"/>
      <c r="G18" s="23">
        <f t="shared" si="1"/>
        <v>43176.968067948663</v>
      </c>
      <c r="H18" s="23">
        <f t="shared" si="1"/>
        <v>4826.128267158545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4.1409144470057951E-3</v>
      </c>
      <c r="H50" s="321">
        <f t="shared" si="2"/>
        <v>0</v>
      </c>
      <c r="I50" s="321">
        <f t="shared" si="2"/>
        <v>0</v>
      </c>
      <c r="J50" s="321">
        <f t="shared" si="2"/>
        <v>0</v>
      </c>
      <c r="K50" s="321">
        <f t="shared" si="2"/>
        <v>0</v>
      </c>
      <c r="L50" s="321">
        <f t="shared" si="2"/>
        <v>0</v>
      </c>
      <c r="M50" s="321">
        <f t="shared" si="2"/>
        <v>1.8431552778238466E-4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4.1409144470057951E-3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1.8431552778238466E-4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1150.2540130571654</v>
      </c>
      <c r="H54" s="21">
        <f t="shared" si="3"/>
        <v>0</v>
      </c>
      <c r="I54" s="21">
        <f t="shared" si="3"/>
        <v>0</v>
      </c>
      <c r="J54" s="21">
        <f t="shared" si="3"/>
        <v>0</v>
      </c>
      <c r="K54" s="21">
        <f t="shared" si="3"/>
        <v>0</v>
      </c>
      <c r="L54" s="21">
        <f t="shared" si="3"/>
        <v>0</v>
      </c>
      <c r="M54" s="21">
        <f t="shared" si="3"/>
        <v>51.198757717329073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0.20067981853547012</v>
      </c>
      <c r="C56" s="56">
        <f ca="1">'EF ele_warmte'!B22</f>
        <v>0.22998102466793169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307.11782148626315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28024.178498345354</v>
      </c>
      <c r="D10" s="686">
        <f ca="1">tertiair!C16</f>
        <v>1870.7142857142858</v>
      </c>
      <c r="E10" s="686">
        <f ca="1">tertiair!D16</f>
        <v>31600.875267766583</v>
      </c>
      <c r="F10" s="686">
        <f>tertiair!E16</f>
        <v>368.81707411023865</v>
      </c>
      <c r="G10" s="686">
        <f ca="1">tertiair!F16</f>
        <v>5052.2843885875445</v>
      </c>
      <c r="H10" s="686">
        <f>tertiair!G16</f>
        <v>0</v>
      </c>
      <c r="I10" s="686">
        <f>tertiair!H16</f>
        <v>0</v>
      </c>
      <c r="J10" s="686">
        <f>tertiair!I16</f>
        <v>0</v>
      </c>
      <c r="K10" s="686">
        <f>tertiair!J16</f>
        <v>0</v>
      </c>
      <c r="L10" s="686">
        <f>tertiair!K16</f>
        <v>0</v>
      </c>
      <c r="M10" s="686">
        <f ca="1">tertiair!L16</f>
        <v>0</v>
      </c>
      <c r="N10" s="686">
        <f>tertiair!M16</f>
        <v>0</v>
      </c>
      <c r="O10" s="686">
        <f ca="1">tertiair!N16</f>
        <v>1345.2229834576192</v>
      </c>
      <c r="P10" s="686">
        <f>tertiair!O16</f>
        <v>7.8166666666666664</v>
      </c>
      <c r="Q10" s="687">
        <f>tertiair!P16</f>
        <v>19.066666666666666</v>
      </c>
      <c r="R10" s="689">
        <f ca="1">SUM(C10:Q10)</f>
        <v>68288.97583131495</v>
      </c>
      <c r="S10" s="67"/>
    </row>
    <row r="11" spans="1:19" s="454" customFormat="1">
      <c r="A11" s="801" t="s">
        <v>224</v>
      </c>
      <c r="B11" s="806"/>
      <c r="C11" s="686">
        <f>huishoudens!B8</f>
        <v>19890.723584686686</v>
      </c>
      <c r="D11" s="686">
        <f>huishoudens!C8</f>
        <v>0</v>
      </c>
      <c r="E11" s="686">
        <f>huishoudens!D8</f>
        <v>51281.533518949676</v>
      </c>
      <c r="F11" s="686">
        <f>huishoudens!E8</f>
        <v>5636.4506494330535</v>
      </c>
      <c r="G11" s="686">
        <f>huishoudens!F8</f>
        <v>7639.3070808360844</v>
      </c>
      <c r="H11" s="686">
        <f>huishoudens!G8</f>
        <v>0</v>
      </c>
      <c r="I11" s="686">
        <f>huishoudens!H8</f>
        <v>0</v>
      </c>
      <c r="J11" s="686">
        <f>huishoudens!I8</f>
        <v>0</v>
      </c>
      <c r="K11" s="686">
        <f>huishoudens!J8</f>
        <v>793.43356309223736</v>
      </c>
      <c r="L11" s="686">
        <f>huishoudens!K8</f>
        <v>0</v>
      </c>
      <c r="M11" s="686">
        <f>huishoudens!L8</f>
        <v>0</v>
      </c>
      <c r="N11" s="686">
        <f>huishoudens!M8</f>
        <v>0</v>
      </c>
      <c r="O11" s="686">
        <f>huishoudens!N8</f>
        <v>11630.79278972652</v>
      </c>
      <c r="P11" s="686">
        <f>huishoudens!O8</f>
        <v>237.62666666666667</v>
      </c>
      <c r="Q11" s="687">
        <f>huishoudens!P8</f>
        <v>305.06666666666666</v>
      </c>
      <c r="R11" s="689">
        <f>SUM(C11:Q11)</f>
        <v>97414.934520057592</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53494.229241792527</v>
      </c>
      <c r="D13" s="686">
        <f>industrie!C18</f>
        <v>0</v>
      </c>
      <c r="E13" s="686">
        <f>industrie!D18</f>
        <v>160843.67128031419</v>
      </c>
      <c r="F13" s="686">
        <f>industrie!E18</f>
        <v>5004.7590691439018</v>
      </c>
      <c r="G13" s="686">
        <f>industrie!F18</f>
        <v>42617.347773504858</v>
      </c>
      <c r="H13" s="686">
        <f>industrie!G18</f>
        <v>0</v>
      </c>
      <c r="I13" s="686">
        <f>industrie!H18</f>
        <v>0</v>
      </c>
      <c r="J13" s="686">
        <f>industrie!I18</f>
        <v>0</v>
      </c>
      <c r="K13" s="686">
        <f>industrie!J18</f>
        <v>62.10186986484478</v>
      </c>
      <c r="L13" s="686">
        <f>industrie!K18</f>
        <v>0</v>
      </c>
      <c r="M13" s="686">
        <f>industrie!L18</f>
        <v>0</v>
      </c>
      <c r="N13" s="686">
        <f>industrie!M18</f>
        <v>0</v>
      </c>
      <c r="O13" s="686">
        <f>industrie!N18</f>
        <v>8045.5724896151632</v>
      </c>
      <c r="P13" s="686">
        <f>industrie!O18</f>
        <v>0</v>
      </c>
      <c r="Q13" s="687">
        <f>industrie!P18</f>
        <v>0</v>
      </c>
      <c r="R13" s="689">
        <f>SUM(C13:Q13)</f>
        <v>270067.68172423547</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101409.13132482456</v>
      </c>
      <c r="D16" s="721">
        <f t="shared" ref="D16:R16" ca="1" si="0">SUM(D9:D15)</f>
        <v>1870.7142857142858</v>
      </c>
      <c r="E16" s="721">
        <f t="shared" ca="1" si="0"/>
        <v>243726.08006703045</v>
      </c>
      <c r="F16" s="721">
        <f t="shared" si="0"/>
        <v>11010.026792687193</v>
      </c>
      <c r="G16" s="721">
        <f t="shared" ca="1" si="0"/>
        <v>55308.939242928485</v>
      </c>
      <c r="H16" s="721">
        <f t="shared" si="0"/>
        <v>0</v>
      </c>
      <c r="I16" s="721">
        <f t="shared" si="0"/>
        <v>0</v>
      </c>
      <c r="J16" s="721">
        <f t="shared" si="0"/>
        <v>0</v>
      </c>
      <c r="K16" s="721">
        <f t="shared" si="0"/>
        <v>855.53543295708209</v>
      </c>
      <c r="L16" s="721">
        <f t="shared" si="0"/>
        <v>0</v>
      </c>
      <c r="M16" s="721">
        <f t="shared" ca="1" si="0"/>
        <v>0</v>
      </c>
      <c r="N16" s="721">
        <f t="shared" si="0"/>
        <v>0</v>
      </c>
      <c r="O16" s="721">
        <f t="shared" ca="1" si="0"/>
        <v>21021.588262799301</v>
      </c>
      <c r="P16" s="721">
        <f t="shared" si="0"/>
        <v>245.44333333333333</v>
      </c>
      <c r="Q16" s="721">
        <f t="shared" si="0"/>
        <v>324.13333333333333</v>
      </c>
      <c r="R16" s="721">
        <f t="shared" ca="1" si="0"/>
        <v>435771.59207560803</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1150.2540130571654</v>
      </c>
      <c r="I19" s="686">
        <f>transport!H54</f>
        <v>0</v>
      </c>
      <c r="J19" s="686">
        <f>transport!I54</f>
        <v>0</v>
      </c>
      <c r="K19" s="686">
        <f>transport!J54</f>
        <v>0</v>
      </c>
      <c r="L19" s="686">
        <f>transport!K54</f>
        <v>0</v>
      </c>
      <c r="M19" s="686">
        <f>transport!L54</f>
        <v>0</v>
      </c>
      <c r="N19" s="686">
        <f>transport!M54</f>
        <v>51.198757717329073</v>
      </c>
      <c r="O19" s="686">
        <f>transport!N54</f>
        <v>0</v>
      </c>
      <c r="P19" s="686">
        <f>transport!O54</f>
        <v>0</v>
      </c>
      <c r="Q19" s="687">
        <f>transport!P54</f>
        <v>0</v>
      </c>
      <c r="R19" s="689">
        <f>SUM(C19:Q19)</f>
        <v>1201.4527707744944</v>
      </c>
      <c r="S19" s="67"/>
    </row>
    <row r="20" spans="1:19" s="454" customFormat="1">
      <c r="A20" s="801" t="s">
        <v>306</v>
      </c>
      <c r="B20" s="806"/>
      <c r="C20" s="686">
        <f>transport!B14</f>
        <v>6.5044647723461102</v>
      </c>
      <c r="D20" s="686">
        <f>transport!C14</f>
        <v>0</v>
      </c>
      <c r="E20" s="686">
        <f>transport!D14</f>
        <v>10.413025729678138</v>
      </c>
      <c r="F20" s="686">
        <f>transport!E14</f>
        <v>403.92187714691113</v>
      </c>
      <c r="G20" s="686">
        <f>transport!F14</f>
        <v>0</v>
      </c>
      <c r="H20" s="686">
        <f>transport!G14</f>
        <v>161711.49089119348</v>
      </c>
      <c r="I20" s="686">
        <f>transport!H14</f>
        <v>19382.041233568452</v>
      </c>
      <c r="J20" s="686">
        <f>transport!I14</f>
        <v>0</v>
      </c>
      <c r="K20" s="686">
        <f>transport!J14</f>
        <v>0</v>
      </c>
      <c r="L20" s="686">
        <f>transport!K14</f>
        <v>0</v>
      </c>
      <c r="M20" s="686">
        <f>transport!L14</f>
        <v>0</v>
      </c>
      <c r="N20" s="686">
        <f>transport!M14</f>
        <v>8184.9360751852601</v>
      </c>
      <c r="O20" s="686">
        <f>transport!N14</f>
        <v>0</v>
      </c>
      <c r="P20" s="686">
        <f>transport!O14</f>
        <v>0</v>
      </c>
      <c r="Q20" s="687">
        <f>transport!P14</f>
        <v>0</v>
      </c>
      <c r="R20" s="689">
        <f>SUM(C20:Q20)</f>
        <v>189699.30756759612</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6.5044647723461102</v>
      </c>
      <c r="D22" s="804">
        <f t="shared" ref="D22:R22" si="1">SUM(D18:D21)</f>
        <v>0</v>
      </c>
      <c r="E22" s="804">
        <f t="shared" si="1"/>
        <v>10.413025729678138</v>
      </c>
      <c r="F22" s="804">
        <f t="shared" si="1"/>
        <v>403.92187714691113</v>
      </c>
      <c r="G22" s="804">
        <f t="shared" si="1"/>
        <v>0</v>
      </c>
      <c r="H22" s="804">
        <f t="shared" si="1"/>
        <v>162861.74490425063</v>
      </c>
      <c r="I22" s="804">
        <f t="shared" si="1"/>
        <v>19382.041233568452</v>
      </c>
      <c r="J22" s="804">
        <f t="shared" si="1"/>
        <v>0</v>
      </c>
      <c r="K22" s="804">
        <f t="shared" si="1"/>
        <v>0</v>
      </c>
      <c r="L22" s="804">
        <f t="shared" si="1"/>
        <v>0</v>
      </c>
      <c r="M22" s="804">
        <f t="shared" si="1"/>
        <v>0</v>
      </c>
      <c r="N22" s="804">
        <f t="shared" si="1"/>
        <v>8236.1348329025896</v>
      </c>
      <c r="O22" s="804">
        <f t="shared" si="1"/>
        <v>0</v>
      </c>
      <c r="P22" s="804">
        <f t="shared" si="1"/>
        <v>0</v>
      </c>
      <c r="Q22" s="804">
        <f t="shared" si="1"/>
        <v>0</v>
      </c>
      <c r="R22" s="804">
        <f t="shared" si="1"/>
        <v>190900.7603383706</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5345.492663298247</v>
      </c>
      <c r="D24" s="686">
        <f>+landbouw!C8</f>
        <v>62.357142857142847</v>
      </c>
      <c r="E24" s="686">
        <f>+landbouw!D8</f>
        <v>259.53875298498883</v>
      </c>
      <c r="F24" s="686">
        <f>+landbouw!E8</f>
        <v>67.360093952253976</v>
      </c>
      <c r="G24" s="686">
        <f>+landbouw!F8</f>
        <v>18443.288814307165</v>
      </c>
      <c r="H24" s="686">
        <f>+landbouw!G8</f>
        <v>0</v>
      </c>
      <c r="I24" s="686">
        <f>+landbouw!H8</f>
        <v>0</v>
      </c>
      <c r="J24" s="686">
        <f>+landbouw!I8</f>
        <v>0</v>
      </c>
      <c r="K24" s="686">
        <f>+landbouw!J8</f>
        <v>803.90133114407115</v>
      </c>
      <c r="L24" s="686">
        <f>+landbouw!K8</f>
        <v>0</v>
      </c>
      <c r="M24" s="686">
        <f>+landbouw!L8</f>
        <v>0</v>
      </c>
      <c r="N24" s="686">
        <f>+landbouw!M8</f>
        <v>0</v>
      </c>
      <c r="O24" s="686">
        <f>+landbouw!N8</f>
        <v>0</v>
      </c>
      <c r="P24" s="686">
        <f>+landbouw!O8</f>
        <v>0</v>
      </c>
      <c r="Q24" s="687">
        <f>+landbouw!P8</f>
        <v>0</v>
      </c>
      <c r="R24" s="689">
        <f>SUM(C24:Q24)</f>
        <v>24981.93879854387</v>
      </c>
      <c r="S24" s="67"/>
    </row>
    <row r="25" spans="1:19" s="454" customFormat="1" ht="15" thickBot="1">
      <c r="A25" s="823" t="s">
        <v>856</v>
      </c>
      <c r="B25" s="991"/>
      <c r="C25" s="992">
        <f>IF(Onbekend_ele_kWh="---",0,Onbekend_ele_kWh)/1000+IF(REST_rest_ele_kWh="---",0,REST_rest_ele_kWh)/1000</f>
        <v>896.57640640646605</v>
      </c>
      <c r="D25" s="992"/>
      <c r="E25" s="992">
        <f>IF(onbekend_gas_kWh="---",0,onbekend_gas_kWh)/1000+IF(REST_rest_gas_kWh="---",0,REST_rest_gas_kWh)/1000</f>
        <v>3013.0101791675197</v>
      </c>
      <c r="F25" s="992"/>
      <c r="G25" s="992"/>
      <c r="H25" s="992"/>
      <c r="I25" s="992"/>
      <c r="J25" s="992"/>
      <c r="K25" s="992"/>
      <c r="L25" s="992"/>
      <c r="M25" s="992"/>
      <c r="N25" s="992"/>
      <c r="O25" s="992"/>
      <c r="P25" s="992"/>
      <c r="Q25" s="993"/>
      <c r="R25" s="689">
        <f>SUM(C25:Q25)</f>
        <v>3909.5865855739858</v>
      </c>
      <c r="S25" s="67"/>
    </row>
    <row r="26" spans="1:19" s="454" customFormat="1" ht="15.75" thickBot="1">
      <c r="A26" s="694" t="s">
        <v>857</v>
      </c>
      <c r="B26" s="809"/>
      <c r="C26" s="804">
        <f>SUM(C24:C25)</f>
        <v>6242.069069704713</v>
      </c>
      <c r="D26" s="804">
        <f t="shared" ref="D26:R26" si="2">SUM(D24:D25)</f>
        <v>62.357142857142847</v>
      </c>
      <c r="E26" s="804">
        <f t="shared" si="2"/>
        <v>3272.5489321525083</v>
      </c>
      <c r="F26" s="804">
        <f t="shared" si="2"/>
        <v>67.360093952253976</v>
      </c>
      <c r="G26" s="804">
        <f t="shared" si="2"/>
        <v>18443.288814307165</v>
      </c>
      <c r="H26" s="804">
        <f t="shared" si="2"/>
        <v>0</v>
      </c>
      <c r="I26" s="804">
        <f t="shared" si="2"/>
        <v>0</v>
      </c>
      <c r="J26" s="804">
        <f t="shared" si="2"/>
        <v>0</v>
      </c>
      <c r="K26" s="804">
        <f t="shared" si="2"/>
        <v>803.90133114407115</v>
      </c>
      <c r="L26" s="804">
        <f t="shared" si="2"/>
        <v>0</v>
      </c>
      <c r="M26" s="804">
        <f t="shared" si="2"/>
        <v>0</v>
      </c>
      <c r="N26" s="804">
        <f t="shared" si="2"/>
        <v>0</v>
      </c>
      <c r="O26" s="804">
        <f t="shared" si="2"/>
        <v>0</v>
      </c>
      <c r="P26" s="804">
        <f t="shared" si="2"/>
        <v>0</v>
      </c>
      <c r="Q26" s="804">
        <f t="shared" si="2"/>
        <v>0</v>
      </c>
      <c r="R26" s="804">
        <f t="shared" si="2"/>
        <v>28891.525384117856</v>
      </c>
      <c r="S26" s="67"/>
    </row>
    <row r="27" spans="1:19" s="454" customFormat="1" ht="17.25" thickTop="1" thickBot="1">
      <c r="A27" s="695" t="s">
        <v>115</v>
      </c>
      <c r="B27" s="796"/>
      <c r="C27" s="696">
        <f ca="1">C22+C16+C26</f>
        <v>107657.70485930161</v>
      </c>
      <c r="D27" s="696">
        <f t="shared" ref="D27:R27" ca="1" si="3">D22+D16+D26</f>
        <v>1933.0714285714287</v>
      </c>
      <c r="E27" s="696">
        <f t="shared" ca="1" si="3"/>
        <v>247009.04202491263</v>
      </c>
      <c r="F27" s="696">
        <f t="shared" si="3"/>
        <v>11481.308763786359</v>
      </c>
      <c r="G27" s="696">
        <f t="shared" ca="1" si="3"/>
        <v>73752.228057235654</v>
      </c>
      <c r="H27" s="696">
        <f t="shared" si="3"/>
        <v>162861.74490425063</v>
      </c>
      <c r="I27" s="696">
        <f t="shared" si="3"/>
        <v>19382.041233568452</v>
      </c>
      <c r="J27" s="696">
        <f t="shared" si="3"/>
        <v>0</v>
      </c>
      <c r="K27" s="696">
        <f t="shared" si="3"/>
        <v>1659.4367641011531</v>
      </c>
      <c r="L27" s="696">
        <f t="shared" si="3"/>
        <v>0</v>
      </c>
      <c r="M27" s="696">
        <f t="shared" ca="1" si="3"/>
        <v>0</v>
      </c>
      <c r="N27" s="696">
        <f t="shared" si="3"/>
        <v>8236.1348329025896</v>
      </c>
      <c r="O27" s="696">
        <f t="shared" ca="1" si="3"/>
        <v>21021.588262799301</v>
      </c>
      <c r="P27" s="696">
        <f t="shared" si="3"/>
        <v>245.44333333333333</v>
      </c>
      <c r="Q27" s="696">
        <f t="shared" si="3"/>
        <v>324.13333333333333</v>
      </c>
      <c r="R27" s="696">
        <f t="shared" ca="1" si="3"/>
        <v>655563.87779809651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5623.8870556535703</v>
      </c>
      <c r="D40" s="686">
        <f ca="1">tertiair!C20</f>
        <v>430.22878828950934</v>
      </c>
      <c r="E40" s="686">
        <f ca="1">tertiair!D20</f>
        <v>6383.3768040888499</v>
      </c>
      <c r="F40" s="686">
        <f>tertiair!E20</f>
        <v>83.721475823024178</v>
      </c>
      <c r="G40" s="686">
        <f ca="1">tertiair!F20</f>
        <v>1348.9599317528744</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13870.174055607828</v>
      </c>
    </row>
    <row r="41" spans="1:18">
      <c r="A41" s="814" t="s">
        <v>224</v>
      </c>
      <c r="B41" s="821"/>
      <c r="C41" s="686">
        <f ca="1">huishoudens!B12</f>
        <v>3991.6667995141202</v>
      </c>
      <c r="D41" s="686">
        <f ca="1">huishoudens!C12</f>
        <v>0</v>
      </c>
      <c r="E41" s="686">
        <f>huishoudens!D12</f>
        <v>10358.869770827836</v>
      </c>
      <c r="F41" s="686">
        <f>huishoudens!E12</f>
        <v>1279.4742974213032</v>
      </c>
      <c r="G41" s="686">
        <f>huishoudens!F12</f>
        <v>2039.6949905832346</v>
      </c>
      <c r="H41" s="686">
        <f>huishoudens!G12</f>
        <v>0</v>
      </c>
      <c r="I41" s="686">
        <f>huishoudens!H12</f>
        <v>0</v>
      </c>
      <c r="J41" s="686">
        <f>huishoudens!I12</f>
        <v>0</v>
      </c>
      <c r="K41" s="686">
        <f>huishoudens!J12</f>
        <v>280.87548133465202</v>
      </c>
      <c r="L41" s="686">
        <f>huishoudens!K12</f>
        <v>0</v>
      </c>
      <c r="M41" s="686">
        <f>huishoudens!L12</f>
        <v>0</v>
      </c>
      <c r="N41" s="686">
        <f>huishoudens!M12</f>
        <v>0</v>
      </c>
      <c r="O41" s="686">
        <f>huishoudens!N12</f>
        <v>0</v>
      </c>
      <c r="P41" s="686">
        <f>huishoudens!O12</f>
        <v>0</v>
      </c>
      <c r="Q41" s="763">
        <f>huishoudens!P12</f>
        <v>0</v>
      </c>
      <c r="R41" s="842">
        <f t="shared" ca="1" si="4"/>
        <v>17950.581339681146</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10735.212216937764</v>
      </c>
      <c r="D43" s="686">
        <f ca="1">industrie!C22</f>
        <v>0</v>
      </c>
      <c r="E43" s="686">
        <f>industrie!D22</f>
        <v>32490.421598623467</v>
      </c>
      <c r="F43" s="686">
        <f>industrie!E22</f>
        <v>1136.0803086956657</v>
      </c>
      <c r="G43" s="686">
        <f>industrie!F22</f>
        <v>11378.831855525797</v>
      </c>
      <c r="H43" s="686">
        <f>industrie!G22</f>
        <v>0</v>
      </c>
      <c r="I43" s="686">
        <f>industrie!H22</f>
        <v>0</v>
      </c>
      <c r="J43" s="686">
        <f>industrie!I22</f>
        <v>0</v>
      </c>
      <c r="K43" s="686">
        <f>industrie!J22</f>
        <v>21.984061932155051</v>
      </c>
      <c r="L43" s="686">
        <f>industrie!K22</f>
        <v>0</v>
      </c>
      <c r="M43" s="686">
        <f>industrie!L22</f>
        <v>0</v>
      </c>
      <c r="N43" s="686">
        <f>industrie!M22</f>
        <v>0</v>
      </c>
      <c r="O43" s="686">
        <f>industrie!N22</f>
        <v>0</v>
      </c>
      <c r="P43" s="686">
        <f>industrie!O22</f>
        <v>0</v>
      </c>
      <c r="Q43" s="763">
        <f>industrie!P22</f>
        <v>0</v>
      </c>
      <c r="R43" s="841">
        <f t="shared" ca="1" si="4"/>
        <v>55762.530041714846</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20350.766072105456</v>
      </c>
      <c r="D46" s="721">
        <f t="shared" ref="D46:Q46" ca="1" si="5">SUM(D39:D45)</f>
        <v>430.22878828950934</v>
      </c>
      <c r="E46" s="721">
        <f t="shared" ca="1" si="5"/>
        <v>49232.668173540151</v>
      </c>
      <c r="F46" s="721">
        <f t="shared" si="5"/>
        <v>2499.2760819399928</v>
      </c>
      <c r="G46" s="721">
        <f t="shared" ca="1" si="5"/>
        <v>14767.486777861906</v>
      </c>
      <c r="H46" s="721">
        <f t="shared" si="5"/>
        <v>0</v>
      </c>
      <c r="I46" s="721">
        <f t="shared" si="5"/>
        <v>0</v>
      </c>
      <c r="J46" s="721">
        <f t="shared" si="5"/>
        <v>0</v>
      </c>
      <c r="K46" s="721">
        <f t="shared" si="5"/>
        <v>302.85954326680707</v>
      </c>
      <c r="L46" s="721">
        <f t="shared" si="5"/>
        <v>0</v>
      </c>
      <c r="M46" s="721">
        <f t="shared" ca="1" si="5"/>
        <v>0</v>
      </c>
      <c r="N46" s="721">
        <f t="shared" si="5"/>
        <v>0</v>
      </c>
      <c r="O46" s="721">
        <f t="shared" ca="1" si="5"/>
        <v>0</v>
      </c>
      <c r="P46" s="721">
        <f t="shared" si="5"/>
        <v>0</v>
      </c>
      <c r="Q46" s="721">
        <f t="shared" si="5"/>
        <v>0</v>
      </c>
      <c r="R46" s="721">
        <f ca="1">SUM(R39:R45)</f>
        <v>87583.285437003826</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307.11782148626315</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307.11782148626315</v>
      </c>
    </row>
    <row r="50" spans="1:18">
      <c r="A50" s="817" t="s">
        <v>306</v>
      </c>
      <c r="B50" s="827"/>
      <c r="C50" s="692">
        <f ca="1">transport!B18</f>
        <v>1.3053148101847754</v>
      </c>
      <c r="D50" s="692">
        <f>transport!C18</f>
        <v>0</v>
      </c>
      <c r="E50" s="692">
        <f>transport!D18</f>
        <v>2.103431197394984</v>
      </c>
      <c r="F50" s="692">
        <f>transport!E18</f>
        <v>91.690266112348823</v>
      </c>
      <c r="G50" s="692">
        <f>transport!F18</f>
        <v>0</v>
      </c>
      <c r="H50" s="692">
        <f>transport!G18</f>
        <v>43176.968067948663</v>
      </c>
      <c r="I50" s="692">
        <f>transport!H18</f>
        <v>4826.128267158545</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48098.195347227134</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1.3053148101847754</v>
      </c>
      <c r="D52" s="721">
        <f t="shared" ref="D52:Q52" ca="1" si="6">SUM(D48:D51)</f>
        <v>0</v>
      </c>
      <c r="E52" s="721">
        <f t="shared" si="6"/>
        <v>2.103431197394984</v>
      </c>
      <c r="F52" s="721">
        <f t="shared" si="6"/>
        <v>91.690266112348823</v>
      </c>
      <c r="G52" s="721">
        <f t="shared" si="6"/>
        <v>0</v>
      </c>
      <c r="H52" s="721">
        <f t="shared" si="6"/>
        <v>43484.085889434929</v>
      </c>
      <c r="I52" s="721">
        <f t="shared" si="6"/>
        <v>4826.128267158545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48405.313168713401</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1072.7324976533791</v>
      </c>
      <c r="D54" s="692">
        <f ca="1">+landbouw!C12</f>
        <v>14.340959609650309</v>
      </c>
      <c r="E54" s="692">
        <f>+landbouw!D12</f>
        <v>52.426828102967747</v>
      </c>
      <c r="F54" s="692">
        <f>+landbouw!E12</f>
        <v>15.290741327161653</v>
      </c>
      <c r="G54" s="692">
        <f>+landbouw!F12</f>
        <v>4924.3581134200131</v>
      </c>
      <c r="H54" s="692">
        <f>+landbouw!G12</f>
        <v>0</v>
      </c>
      <c r="I54" s="692">
        <f>+landbouw!H12</f>
        <v>0</v>
      </c>
      <c r="J54" s="692">
        <f>+landbouw!I12</f>
        <v>0</v>
      </c>
      <c r="K54" s="692">
        <f>+landbouw!J12</f>
        <v>284.58107122500115</v>
      </c>
      <c r="L54" s="692">
        <f>+landbouw!K12</f>
        <v>0</v>
      </c>
      <c r="M54" s="692">
        <f>+landbouw!L12</f>
        <v>0</v>
      </c>
      <c r="N54" s="692">
        <f>+landbouw!M12</f>
        <v>0</v>
      </c>
      <c r="O54" s="692">
        <f>+landbouw!N12</f>
        <v>0</v>
      </c>
      <c r="P54" s="692">
        <f>+landbouw!O12</f>
        <v>0</v>
      </c>
      <c r="Q54" s="693">
        <f>+landbouw!P12</f>
        <v>0</v>
      </c>
      <c r="R54" s="720">
        <f ca="1">SUM(C54:Q54)</f>
        <v>6363.7302113381729</v>
      </c>
    </row>
    <row r="55" spans="1:18" ht="15" thickBot="1">
      <c r="A55" s="817" t="s">
        <v>856</v>
      </c>
      <c r="B55" s="827"/>
      <c r="C55" s="692">
        <f ca="1">C25*'EF ele_warmte'!B12</f>
        <v>179.92479054083353</v>
      </c>
      <c r="D55" s="692"/>
      <c r="E55" s="692">
        <f>E25*EF_CO2_aardgas</f>
        <v>608.62805619183905</v>
      </c>
      <c r="F55" s="692"/>
      <c r="G55" s="692"/>
      <c r="H55" s="692"/>
      <c r="I55" s="692"/>
      <c r="J55" s="692"/>
      <c r="K55" s="692"/>
      <c r="L55" s="692"/>
      <c r="M55" s="692"/>
      <c r="N55" s="692"/>
      <c r="O55" s="692"/>
      <c r="P55" s="692"/>
      <c r="Q55" s="693"/>
      <c r="R55" s="720">
        <f ca="1">SUM(C55:Q55)</f>
        <v>788.55284673267261</v>
      </c>
    </row>
    <row r="56" spans="1:18" ht="15.75" thickBot="1">
      <c r="A56" s="815" t="s">
        <v>857</v>
      </c>
      <c r="B56" s="828"/>
      <c r="C56" s="721">
        <f ca="1">SUM(C54:C55)</f>
        <v>1252.6572881942127</v>
      </c>
      <c r="D56" s="721">
        <f t="shared" ref="D56:Q56" ca="1" si="7">SUM(D54:D55)</f>
        <v>14.340959609650309</v>
      </c>
      <c r="E56" s="721">
        <f t="shared" si="7"/>
        <v>661.05488429480681</v>
      </c>
      <c r="F56" s="721">
        <f t="shared" si="7"/>
        <v>15.290741327161653</v>
      </c>
      <c r="G56" s="721">
        <f t="shared" si="7"/>
        <v>4924.3581134200131</v>
      </c>
      <c r="H56" s="721">
        <f t="shared" si="7"/>
        <v>0</v>
      </c>
      <c r="I56" s="721">
        <f t="shared" si="7"/>
        <v>0</v>
      </c>
      <c r="J56" s="721">
        <f t="shared" si="7"/>
        <v>0</v>
      </c>
      <c r="K56" s="721">
        <f t="shared" si="7"/>
        <v>284.58107122500115</v>
      </c>
      <c r="L56" s="721">
        <f t="shared" si="7"/>
        <v>0</v>
      </c>
      <c r="M56" s="721">
        <f t="shared" si="7"/>
        <v>0</v>
      </c>
      <c r="N56" s="721">
        <f t="shared" si="7"/>
        <v>0</v>
      </c>
      <c r="O56" s="721">
        <f t="shared" si="7"/>
        <v>0</v>
      </c>
      <c r="P56" s="721">
        <f t="shared" si="7"/>
        <v>0</v>
      </c>
      <c r="Q56" s="722">
        <f t="shared" si="7"/>
        <v>0</v>
      </c>
      <c r="R56" s="723">
        <f ca="1">SUM(R54:R55)</f>
        <v>7152.2830580708451</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21604.728675109855</v>
      </c>
      <c r="D61" s="729">
        <f t="shared" ref="D61:Q61" ca="1" si="8">D46+D52+D56</f>
        <v>444.56974789915967</v>
      </c>
      <c r="E61" s="729">
        <f t="shared" ca="1" si="8"/>
        <v>49895.826489032348</v>
      </c>
      <c r="F61" s="729">
        <f t="shared" si="8"/>
        <v>2606.2570893795037</v>
      </c>
      <c r="G61" s="729">
        <f t="shared" ca="1" si="8"/>
        <v>19691.844891281919</v>
      </c>
      <c r="H61" s="729">
        <f t="shared" si="8"/>
        <v>43484.085889434929</v>
      </c>
      <c r="I61" s="729">
        <f t="shared" si="8"/>
        <v>4826.128267158545</v>
      </c>
      <c r="J61" s="729">
        <f t="shared" si="8"/>
        <v>0</v>
      </c>
      <c r="K61" s="729">
        <f t="shared" si="8"/>
        <v>587.44061449180822</v>
      </c>
      <c r="L61" s="729">
        <f t="shared" si="8"/>
        <v>0</v>
      </c>
      <c r="M61" s="729">
        <f t="shared" ca="1" si="8"/>
        <v>0</v>
      </c>
      <c r="N61" s="729">
        <f t="shared" si="8"/>
        <v>0</v>
      </c>
      <c r="O61" s="729">
        <f t="shared" ca="1" si="8"/>
        <v>0</v>
      </c>
      <c r="P61" s="729">
        <f t="shared" si="8"/>
        <v>0</v>
      </c>
      <c r="Q61" s="729">
        <f t="shared" si="8"/>
        <v>0</v>
      </c>
      <c r="R61" s="729">
        <f ca="1">R46+R52+R56</f>
        <v>143140.88166378808</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0.20067981853547021</v>
      </c>
      <c r="D63" s="772">
        <f t="shared" ca="1" si="9"/>
        <v>0.22998102466793169</v>
      </c>
      <c r="E63" s="998">
        <f t="shared" ca="1" si="9"/>
        <v>0.20199999999999999</v>
      </c>
      <c r="F63" s="772">
        <f t="shared" si="9"/>
        <v>0.22700000000000001</v>
      </c>
      <c r="G63" s="772">
        <f t="shared" ca="1" si="9"/>
        <v>0.26699999999999996</v>
      </c>
      <c r="H63" s="772">
        <f t="shared" si="9"/>
        <v>0.26700000000000007</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9953.7410512453407</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43.65</v>
      </c>
      <c r="C76" s="739">
        <f>'lokale energieproductie'!B8*IFERROR(SUM(D76:H76)/SUM(D76:O76),0)</f>
        <v>1309.5000000000002</v>
      </c>
      <c r="D76" s="1008">
        <f>'lokale energieproductie'!C8</f>
        <v>1540.5882352941176</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51.35294117647058</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311.19882352941175</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9997.3910512453403</v>
      </c>
      <c r="C78" s="744">
        <f>SUM(C72:C77)</f>
        <v>1309.5000000000002</v>
      </c>
      <c r="D78" s="745">
        <f t="shared" ref="D78:H78" si="10">SUM(D76:D77)</f>
        <v>1540.5882352941176</v>
      </c>
      <c r="E78" s="745">
        <f t="shared" si="10"/>
        <v>0</v>
      </c>
      <c r="F78" s="745">
        <f t="shared" si="10"/>
        <v>0</v>
      </c>
      <c r="G78" s="745">
        <f t="shared" si="10"/>
        <v>0</v>
      </c>
      <c r="H78" s="745">
        <f t="shared" si="10"/>
        <v>0</v>
      </c>
      <c r="I78" s="745">
        <f>SUM(I76:I77)</f>
        <v>0</v>
      </c>
      <c r="J78" s="745">
        <f>SUM(J76:J77)</f>
        <v>51.35294117647058</v>
      </c>
      <c r="K78" s="745">
        <f t="shared" ref="K78:L78" si="11">SUM(K76:K77)</f>
        <v>0</v>
      </c>
      <c r="L78" s="745">
        <f t="shared" si="11"/>
        <v>0</v>
      </c>
      <c r="M78" s="745">
        <f>SUM(M76:M77)</f>
        <v>0</v>
      </c>
      <c r="N78" s="745">
        <f>SUM(N76:N77)</f>
        <v>0</v>
      </c>
      <c r="O78" s="852">
        <f>SUM(O76:O77)</f>
        <v>0</v>
      </c>
      <c r="P78" s="746">
        <v>0</v>
      </c>
      <c r="Q78" s="746">
        <f>SUM(Q76:Q77)</f>
        <v>311.19882352941175</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62.357142857142847</v>
      </c>
      <c r="C87" s="755">
        <f>'lokale energieproductie'!B17*IFERROR(SUM(D87:H87)/SUM(D87:O87),0)</f>
        <v>1870.7142857142858</v>
      </c>
      <c r="D87" s="766">
        <f>'lokale energieproductie'!C17</f>
        <v>2200.8403361344535</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73.3613445378151</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444.56974789915967</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62.357142857142847</v>
      </c>
      <c r="C90" s="744">
        <f>SUM(C87:C89)</f>
        <v>1870.7142857142858</v>
      </c>
      <c r="D90" s="744">
        <f t="shared" ref="D90:H90" si="12">SUM(D87:D89)</f>
        <v>2200.8403361344535</v>
      </c>
      <c r="E90" s="744">
        <f t="shared" si="12"/>
        <v>0</v>
      </c>
      <c r="F90" s="744">
        <f t="shared" si="12"/>
        <v>0</v>
      </c>
      <c r="G90" s="744">
        <f t="shared" si="12"/>
        <v>0</v>
      </c>
      <c r="H90" s="744">
        <f t="shared" si="12"/>
        <v>0</v>
      </c>
      <c r="I90" s="744">
        <f>SUM(I87:I89)</f>
        <v>0</v>
      </c>
      <c r="J90" s="744">
        <f>SUM(J87:J89)</f>
        <v>73.3613445378151</v>
      </c>
      <c r="K90" s="744">
        <f t="shared" ref="K90:L90" si="13">SUM(K87:K89)</f>
        <v>0</v>
      </c>
      <c r="L90" s="744">
        <f t="shared" si="13"/>
        <v>0</v>
      </c>
      <c r="M90" s="744">
        <f>SUM(M87:M89)</f>
        <v>0</v>
      </c>
      <c r="N90" s="744">
        <f>SUM(N87:N89)</f>
        <v>0</v>
      </c>
      <c r="O90" s="744">
        <f>SUM(O87:O89)</f>
        <v>0</v>
      </c>
      <c r="P90" s="744">
        <v>0</v>
      </c>
      <c r="Q90" s="744">
        <f>SUM(Q87:Q89)</f>
        <v>444.56974789915967</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67"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9953.7410512453407</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N30</f>
        <v>1353.15</v>
      </c>
      <c r="C8" s="556">
        <f>B49</f>
        <v>1540.5882352941176</v>
      </c>
      <c r="D8" s="1015"/>
      <c r="E8" s="1015">
        <f>E49</f>
        <v>0</v>
      </c>
      <c r="F8" s="1016"/>
      <c r="G8" s="557"/>
      <c r="H8" s="1015">
        <f>I49</f>
        <v>0</v>
      </c>
      <c r="I8" s="1015">
        <f>G49+F49</f>
        <v>0</v>
      </c>
      <c r="J8" s="1015">
        <f>H49+D49+C49</f>
        <v>51.35294117647058</v>
      </c>
      <c r="K8" s="1015"/>
      <c r="L8" s="1015"/>
      <c r="M8" s="1015"/>
      <c r="N8" s="558"/>
      <c r="O8" s="559">
        <f>C8*$C$12+D8*$D$12+E8*$E$12+F8*$F$12+G8*$G$12+H8*$H$12+I8*$I$12+J8*$J$12</f>
        <v>311.19882352941175</v>
      </c>
      <c r="P8" s="1254"/>
      <c r="Q8" s="1255"/>
      <c r="S8" s="1027"/>
      <c r="T8" s="1275"/>
      <c r="U8" s="1275"/>
    </row>
    <row r="9" spans="1:21" s="544" customFormat="1" ht="17.45" customHeight="1" thickBot="1">
      <c r="A9" s="560" t="s">
        <v>247</v>
      </c>
      <c r="B9" s="561">
        <f>N37+'Eigen informatie GS &amp; warmtenet'!B12</f>
        <v>0</v>
      </c>
      <c r="C9" s="562">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11306.89105124534</v>
      </c>
      <c r="C10" s="569">
        <f t="shared" ref="C10:L10" si="0">SUM(C8:C9)</f>
        <v>1540.5882352941176</v>
      </c>
      <c r="D10" s="569">
        <f t="shared" si="0"/>
        <v>0</v>
      </c>
      <c r="E10" s="569">
        <f t="shared" si="0"/>
        <v>0</v>
      </c>
      <c r="F10" s="569">
        <f t="shared" si="0"/>
        <v>0</v>
      </c>
      <c r="G10" s="569">
        <f t="shared" si="0"/>
        <v>0</v>
      </c>
      <c r="H10" s="569">
        <f t="shared" si="0"/>
        <v>0</v>
      </c>
      <c r="I10" s="569">
        <f t="shared" si="0"/>
        <v>0</v>
      </c>
      <c r="J10" s="569">
        <f t="shared" si="0"/>
        <v>51.35294117647058</v>
      </c>
      <c r="K10" s="569">
        <f t="shared" si="0"/>
        <v>0</v>
      </c>
      <c r="L10" s="569">
        <f t="shared" si="0"/>
        <v>0</v>
      </c>
      <c r="M10" s="1018"/>
      <c r="N10" s="1018"/>
      <c r="O10" s="570">
        <f>SUM(O4:O9)</f>
        <v>311.19882352941175</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O30</f>
        <v>1933.0714285714287</v>
      </c>
      <c r="C17" s="581">
        <f>B50</f>
        <v>2200.8403361344535</v>
      </c>
      <c r="D17" s="582"/>
      <c r="E17" s="582">
        <f>E50</f>
        <v>0</v>
      </c>
      <c r="F17" s="1021"/>
      <c r="G17" s="583"/>
      <c r="H17" s="581">
        <f>I50</f>
        <v>0</v>
      </c>
      <c r="I17" s="582">
        <f>G50+F50</f>
        <v>0</v>
      </c>
      <c r="J17" s="582">
        <f>H50+D50+C50</f>
        <v>73.3613445378151</v>
      </c>
      <c r="K17" s="582"/>
      <c r="L17" s="582"/>
      <c r="M17" s="582"/>
      <c r="N17" s="1022"/>
      <c r="O17" s="584">
        <f>C17*$C$22+E17*$E$22+H17*$H$22+I17*$I$22+J17*$J$22+D17*$D$22+F17*$F$22+G17*$G$22+K17*$K$22+L17*$L$22</f>
        <v>444.56974789915967</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1933.0714285714287</v>
      </c>
      <c r="C20" s="568">
        <f>SUM(C17:C19)</f>
        <v>2200.8403361344535</v>
      </c>
      <c r="D20" s="568">
        <f t="shared" ref="D20:L20" si="1">SUM(D17:D19)</f>
        <v>0</v>
      </c>
      <c r="E20" s="568">
        <f t="shared" si="1"/>
        <v>0</v>
      </c>
      <c r="F20" s="568">
        <f t="shared" si="1"/>
        <v>0</v>
      </c>
      <c r="G20" s="568">
        <f t="shared" si="1"/>
        <v>0</v>
      </c>
      <c r="H20" s="568">
        <f t="shared" si="1"/>
        <v>0</v>
      </c>
      <c r="I20" s="568">
        <f t="shared" si="1"/>
        <v>0</v>
      </c>
      <c r="J20" s="568">
        <f t="shared" si="1"/>
        <v>73.3613445378151</v>
      </c>
      <c r="K20" s="568">
        <f t="shared" si="1"/>
        <v>0</v>
      </c>
      <c r="L20" s="568">
        <f t="shared" si="1"/>
        <v>0</v>
      </c>
      <c r="M20" s="568"/>
      <c r="N20" s="568"/>
      <c r="O20" s="588">
        <f>SUM(O17:O19)</f>
        <v>444.56974789915967</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51">
      <c r="A28" s="592"/>
      <c r="B28" s="787">
        <v>38025</v>
      </c>
      <c r="C28" s="787">
        <v>8630</v>
      </c>
      <c r="D28" s="640" t="s">
        <v>920</v>
      </c>
      <c r="E28" s="639" t="s">
        <v>921</v>
      </c>
      <c r="F28" s="639" t="s">
        <v>922</v>
      </c>
      <c r="G28" s="639" t="s">
        <v>923</v>
      </c>
      <c r="H28" s="639" t="s">
        <v>924</v>
      </c>
      <c r="I28" s="639" t="s">
        <v>921</v>
      </c>
      <c r="J28" s="786">
        <v>40345</v>
      </c>
      <c r="K28" s="786">
        <v>40452</v>
      </c>
      <c r="L28" s="639" t="s">
        <v>925</v>
      </c>
      <c r="M28" s="639">
        <v>291</v>
      </c>
      <c r="N28" s="639">
        <v>1309.5</v>
      </c>
      <c r="O28" s="639">
        <v>1870.7142857142858</v>
      </c>
      <c r="P28" s="639">
        <v>3741.4285714285716</v>
      </c>
      <c r="Q28" s="639">
        <v>0</v>
      </c>
      <c r="R28" s="639">
        <v>0</v>
      </c>
      <c r="S28" s="639">
        <v>0</v>
      </c>
      <c r="T28" s="639">
        <v>0</v>
      </c>
      <c r="U28" s="639">
        <v>0</v>
      </c>
      <c r="V28" s="639">
        <v>0</v>
      </c>
      <c r="W28" s="639">
        <v>0</v>
      </c>
      <c r="X28" s="639">
        <v>1500</v>
      </c>
      <c r="Y28" s="639" t="s">
        <v>50</v>
      </c>
      <c r="Z28" s="641" t="s">
        <v>155</v>
      </c>
    </row>
    <row r="29" spans="1:26" s="593" customFormat="1" ht="25.5">
      <c r="A29" s="592"/>
      <c r="B29" s="787">
        <v>38025</v>
      </c>
      <c r="C29" s="787">
        <v>8630</v>
      </c>
      <c r="D29" s="640" t="s">
        <v>926</v>
      </c>
      <c r="E29" s="639" t="s">
        <v>927</v>
      </c>
      <c r="F29" s="639" t="s">
        <v>928</v>
      </c>
      <c r="G29" s="639" t="s">
        <v>923</v>
      </c>
      <c r="H29" s="639" t="s">
        <v>924</v>
      </c>
      <c r="I29" s="639" t="s">
        <v>929</v>
      </c>
      <c r="J29" s="786">
        <v>41117</v>
      </c>
      <c r="K29" s="786">
        <v>41244</v>
      </c>
      <c r="L29" s="639" t="s">
        <v>925</v>
      </c>
      <c r="M29" s="639">
        <v>9.6999999999999993</v>
      </c>
      <c r="N29" s="639">
        <v>43.649999999999991</v>
      </c>
      <c r="O29" s="639">
        <v>62.357142857142847</v>
      </c>
      <c r="P29" s="639">
        <v>0</v>
      </c>
      <c r="Q29" s="639">
        <v>124.71428571428569</v>
      </c>
      <c r="R29" s="639">
        <v>0</v>
      </c>
      <c r="S29" s="639">
        <v>0</v>
      </c>
      <c r="T29" s="639">
        <v>0</v>
      </c>
      <c r="U29" s="639">
        <v>0</v>
      </c>
      <c r="V29" s="639">
        <v>0</v>
      </c>
      <c r="W29" s="639">
        <v>0</v>
      </c>
      <c r="X29" s="639">
        <v>10</v>
      </c>
      <c r="Y29" s="639" t="s">
        <v>111</v>
      </c>
      <c r="Z29" s="641" t="s">
        <v>111</v>
      </c>
    </row>
    <row r="30" spans="1:26" s="576" customFormat="1">
      <c r="A30" s="595" t="s">
        <v>279</v>
      </c>
      <c r="B30" s="596"/>
      <c r="C30" s="596"/>
      <c r="D30" s="596"/>
      <c r="E30" s="596"/>
      <c r="F30" s="596"/>
      <c r="G30" s="596"/>
      <c r="H30" s="596"/>
      <c r="I30" s="596"/>
      <c r="J30" s="596"/>
      <c r="K30" s="596"/>
      <c r="L30" s="597"/>
      <c r="M30" s="597">
        <f>SUM(M28:M29)</f>
        <v>300.7</v>
      </c>
      <c r="N30" s="597">
        <f>SUM(N28:N29)</f>
        <v>1353.15</v>
      </c>
      <c r="O30" s="597">
        <f>SUM(O28:O29)</f>
        <v>1933.0714285714287</v>
      </c>
      <c r="P30" s="597">
        <f>SUM(P28:P29)</f>
        <v>3741.4285714285716</v>
      </c>
      <c r="Q30" s="597">
        <f>SUM(Q28:Q29)</f>
        <v>124.71428571428569</v>
      </c>
      <c r="R30" s="597">
        <f>SUM(R28:R29)</f>
        <v>0</v>
      </c>
      <c r="S30" s="597">
        <f>SUM(S28:S29)</f>
        <v>0</v>
      </c>
      <c r="T30" s="597">
        <f>SUM(T28:T29)</f>
        <v>0</v>
      </c>
      <c r="U30" s="597">
        <f>SUM(U28:U29)</f>
        <v>0</v>
      </c>
      <c r="V30" s="597">
        <f>SUM(V28:V29)</f>
        <v>0</v>
      </c>
      <c r="W30" s="597">
        <f>SUM(W28:W29)</f>
        <v>0</v>
      </c>
      <c r="X30" s="598"/>
      <c r="Y30" s="598"/>
      <c r="Z30" s="599"/>
    </row>
    <row r="31" spans="1:26" s="576" customFormat="1">
      <c r="A31" s="595" t="s">
        <v>286</v>
      </c>
      <c r="B31" s="596"/>
      <c r="C31" s="596"/>
      <c r="D31" s="596"/>
      <c r="E31" s="596"/>
      <c r="F31" s="596"/>
      <c r="G31" s="596"/>
      <c r="H31" s="596"/>
      <c r="I31" s="596"/>
      <c r="J31" s="596"/>
      <c r="K31" s="596"/>
      <c r="L31" s="597"/>
      <c r="M31" s="597">
        <f>SUMIF($Z$28:$Z$29,"industrie",M28:M29)</f>
        <v>0</v>
      </c>
      <c r="N31" s="597">
        <f>SUMIF($Z$28:$Z$29,"industrie",N28:N29)</f>
        <v>0</v>
      </c>
      <c r="O31" s="597">
        <f>SUMIF($Z$28:$Z$29,"industrie",O28:O29)</f>
        <v>0</v>
      </c>
      <c r="P31" s="597">
        <f>SUMIF($Z$28:$Z$29,"industrie",P28:P29)</f>
        <v>0</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6" customFormat="1">
      <c r="A32" s="595" t="s">
        <v>287</v>
      </c>
      <c r="B32" s="596"/>
      <c r="C32" s="596"/>
      <c r="D32" s="596"/>
      <c r="E32" s="596"/>
      <c r="F32" s="596"/>
      <c r="G32" s="596"/>
      <c r="H32" s="596"/>
      <c r="I32" s="596"/>
      <c r="J32" s="596"/>
      <c r="K32" s="596"/>
      <c r="L32" s="597"/>
      <c r="M32" s="597">
        <f ca="1">SUMIF($Z$28:AC29,"tertiair",M28:M29)</f>
        <v>291</v>
      </c>
      <c r="N32" s="597">
        <f ca="1">SUMIF($Z$28:AD29,"tertiair",N28:N29)</f>
        <v>1309.5</v>
      </c>
      <c r="O32" s="597">
        <f ca="1">SUMIF($Z$28:AE29,"tertiair",O28:O29)</f>
        <v>1870.7142857142858</v>
      </c>
      <c r="P32" s="597">
        <f ca="1">SUMIF($Z$28:AF29,"tertiair",P28:P29)</f>
        <v>3741.4285714285716</v>
      </c>
      <c r="Q32" s="597">
        <f ca="1">SUMIF($Z$28:AG29,"tertiair",Q28:Q29)</f>
        <v>0</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6" customFormat="1" ht="15.75" thickBot="1">
      <c r="A33" s="600" t="s">
        <v>288</v>
      </c>
      <c r="B33" s="601"/>
      <c r="C33" s="601"/>
      <c r="D33" s="601"/>
      <c r="E33" s="601"/>
      <c r="F33" s="601"/>
      <c r="G33" s="601"/>
      <c r="H33" s="601"/>
      <c r="I33" s="601"/>
      <c r="J33" s="601"/>
      <c r="K33" s="601"/>
      <c r="L33" s="602"/>
      <c r="M33" s="602">
        <f>SUMIF($Z$28:$Z$29,"landbouw",M28:M29)</f>
        <v>9.6999999999999993</v>
      </c>
      <c r="N33" s="602">
        <f>SUMIF($Z$28:$Z$29,"landbouw",N28:N29)</f>
        <v>43.649999999999991</v>
      </c>
      <c r="O33" s="602">
        <f>SUMIF($Z$28:$Z$29,"landbouw",O28:O29)</f>
        <v>62.357142857142847</v>
      </c>
      <c r="P33" s="602">
        <f>SUMIF($Z$28:$Z$29,"landbouw",P28:P29)</f>
        <v>0</v>
      </c>
      <c r="Q33" s="602">
        <f>SUMIF($Z$28:$Z$29,"landbouw",Q28:Q29)</f>
        <v>124.71428571428569</v>
      </c>
      <c r="R33" s="602">
        <f>SUMIF($Z$28:$Z$29,"landbouw",R28:R29)</f>
        <v>0</v>
      </c>
      <c r="S33" s="602">
        <f>SUMIF($Z$28:$Z$29,"landbouw",S28:S29)</f>
        <v>0</v>
      </c>
      <c r="T33" s="602">
        <f>SUMIF($Z$28:$Z$29,"landbouw",T28:T29)</f>
        <v>0</v>
      </c>
      <c r="U33" s="602">
        <f>SUMIF($Z$28:$Z$29,"landbouw",U28:U29)</f>
        <v>0</v>
      </c>
      <c r="V33" s="602">
        <f>SUMIF($Z$28:$Z$29,"landbouw",V28:V29)</f>
        <v>0</v>
      </c>
      <c r="W33" s="602">
        <f>SUMIF($Z$28:$Z$29,"landbouw",W28:W29)</f>
        <v>0</v>
      </c>
      <c r="X33" s="603"/>
      <c r="Y33" s="603"/>
      <c r="Z33" s="604"/>
    </row>
    <row r="34" spans="1:27" s="544" customFormat="1" ht="15.75" thickBot="1">
      <c r="A34" s="605"/>
      <c r="B34" s="606"/>
      <c r="C34" s="606"/>
      <c r="D34" s="606"/>
      <c r="E34" s="606"/>
      <c r="F34" s="606"/>
      <c r="G34" s="606"/>
      <c r="H34" s="606"/>
      <c r="I34" s="606"/>
      <c r="J34" s="606"/>
      <c r="K34" s="606"/>
      <c r="L34" s="589"/>
      <c r="M34" s="589"/>
      <c r="N34" s="589"/>
      <c r="O34" s="590"/>
      <c r="P34" s="590"/>
    </row>
    <row r="35" spans="1:27" s="54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546</v>
      </c>
      <c r="Q35" s="637" t="s">
        <v>102</v>
      </c>
      <c r="R35" s="637" t="s">
        <v>103</v>
      </c>
      <c r="S35" s="637" t="s">
        <v>104</v>
      </c>
      <c r="T35" s="637" t="s">
        <v>105</v>
      </c>
      <c r="U35" s="637" t="s">
        <v>106</v>
      </c>
      <c r="V35" s="637" t="s">
        <v>107</v>
      </c>
      <c r="W35" s="636" t="s">
        <v>108</v>
      </c>
      <c r="X35" s="636" t="s">
        <v>298</v>
      </c>
      <c r="Y35" s="636" t="s">
        <v>109</v>
      </c>
      <c r="Z35" s="638" t="s">
        <v>299</v>
      </c>
    </row>
    <row r="36" spans="1:27" s="608" customFormat="1" ht="12.75">
      <c r="A36" s="594"/>
      <c r="B36" s="787"/>
      <c r="C36" s="787"/>
      <c r="D36" s="642"/>
      <c r="E36" s="642"/>
      <c r="F36" s="642"/>
      <c r="G36" s="642"/>
      <c r="H36" s="642"/>
      <c r="I36" s="642"/>
      <c r="J36" s="786"/>
      <c r="K36" s="786"/>
      <c r="L36" s="642"/>
      <c r="M36" s="642"/>
      <c r="N36" s="642"/>
      <c r="O36" s="642"/>
      <c r="P36" s="642"/>
      <c r="Q36" s="642"/>
      <c r="R36" s="642"/>
      <c r="S36" s="642"/>
      <c r="T36" s="642"/>
      <c r="U36" s="642"/>
      <c r="V36" s="642"/>
      <c r="W36" s="642"/>
      <c r="X36" s="642"/>
      <c r="Y36" s="642"/>
      <c r="Z36" s="643"/>
    </row>
    <row r="37" spans="1:27" s="576" customFormat="1">
      <c r="A37" s="595" t="s">
        <v>279</v>
      </c>
      <c r="B37" s="596"/>
      <c r="C37" s="596"/>
      <c r="D37" s="596"/>
      <c r="E37" s="596"/>
      <c r="F37" s="596"/>
      <c r="G37" s="596"/>
      <c r="H37" s="596"/>
      <c r="I37" s="596"/>
      <c r="J37" s="596"/>
      <c r="K37" s="596"/>
      <c r="L37" s="597"/>
      <c r="M37" s="597">
        <f>SUM(M36:M36)</f>
        <v>0</v>
      </c>
      <c r="N37" s="597">
        <f>SUM(N36:N36)</f>
        <v>0</v>
      </c>
      <c r="O37" s="597">
        <f>SUM(O36:O36)</f>
        <v>0</v>
      </c>
      <c r="P37" s="597">
        <f>SUM(P36:P36)</f>
        <v>0</v>
      </c>
      <c r="Q37" s="597">
        <f>SUM(Q36:Q36)</f>
        <v>0</v>
      </c>
      <c r="R37" s="597">
        <f>SUM(R36:R36)</f>
        <v>0</v>
      </c>
      <c r="S37" s="597">
        <f>SUM(S36:S36)</f>
        <v>0</v>
      </c>
      <c r="T37" s="597">
        <f>SUM(T36:T36)</f>
        <v>0</v>
      </c>
      <c r="U37" s="597">
        <f>SUM(U36:U36)</f>
        <v>0</v>
      </c>
      <c r="V37" s="597">
        <f>SUM(V36:V36)</f>
        <v>0</v>
      </c>
      <c r="W37" s="597">
        <f>SUM(W36:W36)</f>
        <v>0</v>
      </c>
      <c r="X37" s="598"/>
      <c r="Y37" s="598"/>
      <c r="Z37" s="599"/>
    </row>
    <row r="38" spans="1:27" s="576"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6" customFormat="1">
      <c r="A39" s="595" t="s">
        <v>287</v>
      </c>
      <c r="B39" s="596"/>
      <c r="C39" s="596"/>
      <c r="D39" s="596"/>
      <c r="E39" s="596"/>
      <c r="F39" s="596"/>
      <c r="G39" s="596"/>
      <c r="H39" s="596"/>
      <c r="I39" s="596"/>
      <c r="J39" s="596"/>
      <c r="K39" s="596"/>
      <c r="L39" s="597"/>
      <c r="M39" s="597">
        <f>SUMIF($Z$36:$Z$37,"tertiair",M36:M37)</f>
        <v>0</v>
      </c>
      <c r="N39" s="597">
        <f>SUMIF($Z$36:$Z$37,"tertiair",N36:N37)</f>
        <v>0</v>
      </c>
      <c r="O39" s="597">
        <f>SUMIF($Z$36:$Z$37,"tertiair",O36:O37)</f>
        <v>0</v>
      </c>
      <c r="P39" s="597">
        <f>SUMIF($Z$36:$Z$37,"tertiair",P36:P37)</f>
        <v>0</v>
      </c>
      <c r="Q39" s="597">
        <f>SUMIF($Z$36:$Z$37,"tertiair",Q36:Q37)</f>
        <v>0</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6" customFormat="1" ht="15.75" thickBot="1">
      <c r="A40" s="600" t="s">
        <v>288</v>
      </c>
      <c r="B40" s="601"/>
      <c r="C40" s="601"/>
      <c r="D40" s="601"/>
      <c r="E40" s="601"/>
      <c r="F40" s="601"/>
      <c r="G40" s="601"/>
      <c r="H40" s="601"/>
      <c r="I40" s="601"/>
      <c r="J40" s="601"/>
      <c r="K40" s="601"/>
      <c r="L40" s="602"/>
      <c r="M40" s="602">
        <f>SUMIF($Z$36:$Z$38,"landbouw",M36:M38)</f>
        <v>0</v>
      </c>
      <c r="N40" s="602">
        <f>SUMIF($Z$36:$Z$38,"landbouw",N36:N38)</f>
        <v>0</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0.58823529411764697</v>
      </c>
      <c r="C46" s="622">
        <f>IF(ISERROR(N30/(O30+N30)),0,N30/(N30+O30))</f>
        <v>0.41176470588235292</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546</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1540.5882352941176</v>
      </c>
      <c r="C49" s="631">
        <f t="shared" si="2"/>
        <v>51.35294117647058</v>
      </c>
      <c r="D49" s="631">
        <f t="shared" si="2"/>
        <v>0</v>
      </c>
      <c r="E49" s="631">
        <f t="shared" si="2"/>
        <v>0</v>
      </c>
      <c r="F49" s="631">
        <f t="shared" si="2"/>
        <v>0</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2200.8403361344535</v>
      </c>
      <c r="C50" s="634">
        <f t="shared" si="3"/>
        <v>73.3613445378151</v>
      </c>
      <c r="D50" s="634">
        <f t="shared" si="3"/>
        <v>0</v>
      </c>
      <c r="E50" s="634">
        <f t="shared" si="3"/>
        <v>0</v>
      </c>
      <c r="F50" s="634">
        <f t="shared" si="3"/>
        <v>0</v>
      </c>
      <c r="G50" s="634">
        <f t="shared" si="3"/>
        <v>0</v>
      </c>
      <c r="H50" s="634">
        <f t="shared" si="3"/>
        <v>0</v>
      </c>
      <c r="I50" s="635">
        <f t="shared" si="3"/>
        <v>0</v>
      </c>
      <c r="J50" s="589"/>
      <c r="K50" s="589"/>
      <c r="L50" s="627"/>
      <c r="M50" s="627"/>
      <c r="N50" s="627"/>
      <c r="O50" s="614"/>
      <c r="P50" s="614"/>
    </row>
    <row r="51" spans="1:16">
      <c r="J51" s="574"/>
      <c r="K51" s="574"/>
      <c r="L51" s="574"/>
      <c r="M51" s="574"/>
      <c r="N51" s="574"/>
    </row>
    <row r="52" spans="1:16">
      <c r="J52" s="574"/>
      <c r="K52" s="574"/>
      <c r="L52" s="574"/>
      <c r="M52" s="574"/>
      <c r="N52"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19890.723584686686</v>
      </c>
      <c r="C4" s="458">
        <f>huishoudens!C8</f>
        <v>0</v>
      </c>
      <c r="D4" s="458">
        <f>huishoudens!D8</f>
        <v>51281.533518949676</v>
      </c>
      <c r="E4" s="458">
        <f>huishoudens!E8</f>
        <v>5636.4506494330535</v>
      </c>
      <c r="F4" s="458">
        <f>huishoudens!F8</f>
        <v>7639.3070808360844</v>
      </c>
      <c r="G4" s="458">
        <f>huishoudens!G8</f>
        <v>0</v>
      </c>
      <c r="H4" s="458">
        <f>huishoudens!H8</f>
        <v>0</v>
      </c>
      <c r="I4" s="458">
        <f>huishoudens!I8</f>
        <v>0</v>
      </c>
      <c r="J4" s="458">
        <f>huishoudens!J8</f>
        <v>793.43356309223736</v>
      </c>
      <c r="K4" s="458">
        <f>huishoudens!K8</f>
        <v>0</v>
      </c>
      <c r="L4" s="458">
        <f>huishoudens!L8</f>
        <v>0</v>
      </c>
      <c r="M4" s="458">
        <f>huishoudens!M8</f>
        <v>0</v>
      </c>
      <c r="N4" s="458">
        <f>huishoudens!N8</f>
        <v>11630.79278972652</v>
      </c>
      <c r="O4" s="458">
        <f>huishoudens!O8</f>
        <v>237.62666666666667</v>
      </c>
      <c r="P4" s="459">
        <f>huishoudens!P8</f>
        <v>305.06666666666666</v>
      </c>
      <c r="Q4" s="460">
        <f>SUM(B4:P4)</f>
        <v>97414.934520057592</v>
      </c>
    </row>
    <row r="5" spans="1:17">
      <c r="A5" s="457" t="s">
        <v>155</v>
      </c>
      <c r="B5" s="458">
        <f ca="1">tertiair!B16</f>
        <v>27088.132498345356</v>
      </c>
      <c r="C5" s="458">
        <f ca="1">tertiair!C16</f>
        <v>1870.7142857142858</v>
      </c>
      <c r="D5" s="458">
        <f ca="1">tertiair!D16</f>
        <v>31600.875267766583</v>
      </c>
      <c r="E5" s="458">
        <f>tertiair!E16</f>
        <v>368.81707411023865</v>
      </c>
      <c r="F5" s="458">
        <f ca="1">tertiair!F16</f>
        <v>5052.2843885875445</v>
      </c>
      <c r="G5" s="458">
        <f>tertiair!G16</f>
        <v>0</v>
      </c>
      <c r="H5" s="458">
        <f>tertiair!H16</f>
        <v>0</v>
      </c>
      <c r="I5" s="458">
        <f>tertiair!I16</f>
        <v>0</v>
      </c>
      <c r="J5" s="458">
        <f>tertiair!J16</f>
        <v>0</v>
      </c>
      <c r="K5" s="458">
        <f>tertiair!K16</f>
        <v>0</v>
      </c>
      <c r="L5" s="458">
        <f ca="1">tertiair!L16</f>
        <v>0</v>
      </c>
      <c r="M5" s="458">
        <f>tertiair!M16</f>
        <v>0</v>
      </c>
      <c r="N5" s="458">
        <f ca="1">tertiair!N16</f>
        <v>1345.2229834576192</v>
      </c>
      <c r="O5" s="458">
        <f>tertiair!O16</f>
        <v>7.8166666666666664</v>
      </c>
      <c r="P5" s="459">
        <f>tertiair!P16</f>
        <v>19.066666666666666</v>
      </c>
      <c r="Q5" s="457">
        <f t="shared" ref="Q5:Q14" ca="1" si="0">SUM(B5:P5)</f>
        <v>67352.929831314948</v>
      </c>
    </row>
    <row r="6" spans="1:17">
      <c r="A6" s="457" t="s">
        <v>193</v>
      </c>
      <c r="B6" s="458">
        <f>'openbare verlichting'!B8</f>
        <v>936.04600000000005</v>
      </c>
      <c r="C6" s="458"/>
      <c r="D6" s="458"/>
      <c r="E6" s="458"/>
      <c r="F6" s="458"/>
      <c r="G6" s="458"/>
      <c r="H6" s="458"/>
      <c r="I6" s="458"/>
      <c r="J6" s="458"/>
      <c r="K6" s="458"/>
      <c r="L6" s="458"/>
      <c r="M6" s="458"/>
      <c r="N6" s="458"/>
      <c r="O6" s="458"/>
      <c r="P6" s="459"/>
      <c r="Q6" s="457">
        <f t="shared" si="0"/>
        <v>936.04600000000005</v>
      </c>
    </row>
    <row r="7" spans="1:17">
      <c r="A7" s="457" t="s">
        <v>111</v>
      </c>
      <c r="B7" s="458">
        <f>landbouw!B8</f>
        <v>5345.492663298247</v>
      </c>
      <c r="C7" s="458">
        <f>landbouw!C8</f>
        <v>62.357142857142847</v>
      </c>
      <c r="D7" s="458">
        <f>landbouw!D8</f>
        <v>259.53875298498883</v>
      </c>
      <c r="E7" s="458">
        <f>landbouw!E8</f>
        <v>67.360093952253976</v>
      </c>
      <c r="F7" s="458">
        <f>landbouw!F8</f>
        <v>18443.288814307165</v>
      </c>
      <c r="G7" s="458">
        <f>landbouw!G8</f>
        <v>0</v>
      </c>
      <c r="H7" s="458">
        <f>landbouw!H8</f>
        <v>0</v>
      </c>
      <c r="I7" s="458">
        <f>landbouw!I8</f>
        <v>0</v>
      </c>
      <c r="J7" s="458">
        <f>landbouw!J8</f>
        <v>803.90133114407115</v>
      </c>
      <c r="K7" s="458">
        <f>landbouw!K8</f>
        <v>0</v>
      </c>
      <c r="L7" s="458">
        <f>landbouw!L8</f>
        <v>0</v>
      </c>
      <c r="M7" s="458">
        <f>landbouw!M8</f>
        <v>0</v>
      </c>
      <c r="N7" s="458">
        <f>landbouw!N8</f>
        <v>0</v>
      </c>
      <c r="O7" s="458">
        <f>landbouw!O8</f>
        <v>0</v>
      </c>
      <c r="P7" s="459">
        <f>landbouw!P8</f>
        <v>0</v>
      </c>
      <c r="Q7" s="457">
        <f t="shared" si="0"/>
        <v>24981.93879854387</v>
      </c>
    </row>
    <row r="8" spans="1:17">
      <c r="A8" s="457" t="s">
        <v>655</v>
      </c>
      <c r="B8" s="458">
        <f>industrie!B18</f>
        <v>53494.229241792527</v>
      </c>
      <c r="C8" s="458">
        <f>industrie!C18</f>
        <v>0</v>
      </c>
      <c r="D8" s="458">
        <f>industrie!D18</f>
        <v>160843.67128031419</v>
      </c>
      <c r="E8" s="458">
        <f>industrie!E18</f>
        <v>5004.7590691439018</v>
      </c>
      <c r="F8" s="458">
        <f>industrie!F18</f>
        <v>42617.347773504858</v>
      </c>
      <c r="G8" s="458">
        <f>industrie!G18</f>
        <v>0</v>
      </c>
      <c r="H8" s="458">
        <f>industrie!H18</f>
        <v>0</v>
      </c>
      <c r="I8" s="458">
        <f>industrie!I18</f>
        <v>0</v>
      </c>
      <c r="J8" s="458">
        <f>industrie!J18</f>
        <v>62.10186986484478</v>
      </c>
      <c r="K8" s="458">
        <f>industrie!K18</f>
        <v>0</v>
      </c>
      <c r="L8" s="458">
        <f>industrie!L18</f>
        <v>0</v>
      </c>
      <c r="M8" s="458">
        <f>industrie!M18</f>
        <v>0</v>
      </c>
      <c r="N8" s="458">
        <f>industrie!N18</f>
        <v>8045.5724896151632</v>
      </c>
      <c r="O8" s="458">
        <f>industrie!O18</f>
        <v>0</v>
      </c>
      <c r="P8" s="459">
        <f>industrie!P18</f>
        <v>0</v>
      </c>
      <c r="Q8" s="457">
        <f t="shared" si="0"/>
        <v>270067.68172423547</v>
      </c>
    </row>
    <row r="9" spans="1:17" s="463" customFormat="1">
      <c r="A9" s="461" t="s">
        <v>573</v>
      </c>
      <c r="B9" s="462">
        <f>transport!B14</f>
        <v>6.5044647723461102</v>
      </c>
      <c r="C9" s="462">
        <f>transport!C14</f>
        <v>0</v>
      </c>
      <c r="D9" s="462">
        <f>transport!D14</f>
        <v>10.413025729678138</v>
      </c>
      <c r="E9" s="462">
        <f>transport!E14</f>
        <v>403.92187714691113</v>
      </c>
      <c r="F9" s="462">
        <f>transport!F14</f>
        <v>0</v>
      </c>
      <c r="G9" s="462">
        <f>transport!G14</f>
        <v>161711.49089119348</v>
      </c>
      <c r="H9" s="462">
        <f>transport!H14</f>
        <v>19382.041233568452</v>
      </c>
      <c r="I9" s="462">
        <f>transport!I14</f>
        <v>0</v>
      </c>
      <c r="J9" s="462">
        <f>transport!J14</f>
        <v>0</v>
      </c>
      <c r="K9" s="462">
        <f>transport!K14</f>
        <v>0</v>
      </c>
      <c r="L9" s="462">
        <f>transport!L14</f>
        <v>0</v>
      </c>
      <c r="M9" s="462">
        <f>transport!M14</f>
        <v>8184.9360751852601</v>
      </c>
      <c r="N9" s="462">
        <f>transport!N14</f>
        <v>0</v>
      </c>
      <c r="O9" s="462">
        <f>transport!O14</f>
        <v>0</v>
      </c>
      <c r="P9" s="462">
        <f>transport!P14</f>
        <v>0</v>
      </c>
      <c r="Q9" s="461">
        <f>SUM(B9:P9)</f>
        <v>189699.30756759612</v>
      </c>
    </row>
    <row r="10" spans="1:17">
      <c r="A10" s="457" t="s">
        <v>563</v>
      </c>
      <c r="B10" s="458">
        <f>transport!B54</f>
        <v>0</v>
      </c>
      <c r="C10" s="458">
        <f>transport!C54</f>
        <v>0</v>
      </c>
      <c r="D10" s="458">
        <f>transport!D54</f>
        <v>0</v>
      </c>
      <c r="E10" s="458">
        <f>transport!E54</f>
        <v>0</v>
      </c>
      <c r="F10" s="458">
        <f>transport!F54</f>
        <v>0</v>
      </c>
      <c r="G10" s="458">
        <f>transport!G54</f>
        <v>1150.2540130571654</v>
      </c>
      <c r="H10" s="458">
        <f>transport!H54</f>
        <v>0</v>
      </c>
      <c r="I10" s="458">
        <f>transport!I54</f>
        <v>0</v>
      </c>
      <c r="J10" s="458">
        <f>transport!J54</f>
        <v>0</v>
      </c>
      <c r="K10" s="458">
        <f>transport!K54</f>
        <v>0</v>
      </c>
      <c r="L10" s="458">
        <f>transport!L54</f>
        <v>0</v>
      </c>
      <c r="M10" s="458">
        <f>transport!M54</f>
        <v>51.198757717329073</v>
      </c>
      <c r="N10" s="458">
        <f>transport!N54</f>
        <v>0</v>
      </c>
      <c r="O10" s="458">
        <f>transport!O54</f>
        <v>0</v>
      </c>
      <c r="P10" s="459">
        <f>transport!P54</f>
        <v>0</v>
      </c>
      <c r="Q10" s="457">
        <f t="shared" si="0"/>
        <v>1201.4527707744944</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896.57640640646605</v>
      </c>
      <c r="C14" s="465"/>
      <c r="D14" s="465">
        <f>'SEAP template'!E25</f>
        <v>3013.0101791675197</v>
      </c>
      <c r="E14" s="465"/>
      <c r="F14" s="465"/>
      <c r="G14" s="465"/>
      <c r="H14" s="465"/>
      <c r="I14" s="465"/>
      <c r="J14" s="465"/>
      <c r="K14" s="465"/>
      <c r="L14" s="465"/>
      <c r="M14" s="465"/>
      <c r="N14" s="465"/>
      <c r="O14" s="465"/>
      <c r="P14" s="466"/>
      <c r="Q14" s="457">
        <f t="shared" si="0"/>
        <v>3909.5865855739858</v>
      </c>
    </row>
    <row r="15" spans="1:17" s="470" customFormat="1">
      <c r="A15" s="467" t="s">
        <v>567</v>
      </c>
      <c r="B15" s="468">
        <f ca="1">SUM(B4:B14)</f>
        <v>107657.70485930164</v>
      </c>
      <c r="C15" s="468">
        <f t="shared" ref="C15:Q15" ca="1" si="1">SUM(C4:C14)</f>
        <v>1933.0714285714287</v>
      </c>
      <c r="D15" s="468">
        <f t="shared" ca="1" si="1"/>
        <v>247009.04202491263</v>
      </c>
      <c r="E15" s="468">
        <f t="shared" si="1"/>
        <v>11481.308763786359</v>
      </c>
      <c r="F15" s="468">
        <f t="shared" ca="1" si="1"/>
        <v>73752.228057235654</v>
      </c>
      <c r="G15" s="468">
        <f t="shared" si="1"/>
        <v>162861.74490425063</v>
      </c>
      <c r="H15" s="468">
        <f t="shared" si="1"/>
        <v>19382.041233568452</v>
      </c>
      <c r="I15" s="468">
        <f t="shared" si="1"/>
        <v>0</v>
      </c>
      <c r="J15" s="468">
        <f t="shared" si="1"/>
        <v>1659.4367641011534</v>
      </c>
      <c r="K15" s="468">
        <f t="shared" si="1"/>
        <v>0</v>
      </c>
      <c r="L15" s="468">
        <f t="shared" ca="1" si="1"/>
        <v>0</v>
      </c>
      <c r="M15" s="468">
        <f t="shared" si="1"/>
        <v>8236.1348329025896</v>
      </c>
      <c r="N15" s="468">
        <f t="shared" ca="1" si="1"/>
        <v>21021.588262799301</v>
      </c>
      <c r="O15" s="468">
        <f t="shared" si="1"/>
        <v>245.44333333333333</v>
      </c>
      <c r="P15" s="468">
        <f t="shared" si="1"/>
        <v>324.13333333333333</v>
      </c>
      <c r="Q15" s="468">
        <f t="shared" ca="1" si="1"/>
        <v>655563.87779809639</v>
      </c>
    </row>
    <row r="17" spans="1:17">
      <c r="A17" s="471" t="s">
        <v>568</v>
      </c>
      <c r="B17" s="777">
        <f ca="1">huishoudens!B10</f>
        <v>0.20067981853547012</v>
      </c>
      <c r="C17" s="777">
        <f ca="1">huishoudens!C10</f>
        <v>0.22998102466793169</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3991.6667995141202</v>
      </c>
      <c r="C22" s="458">
        <f t="shared" ref="C22:C32" ca="1" si="3">C4*$C$17</f>
        <v>0</v>
      </c>
      <c r="D22" s="458">
        <f t="shared" ref="D22:D32" si="4">D4*$D$17</f>
        <v>10358.869770827836</v>
      </c>
      <c r="E22" s="458">
        <f t="shared" ref="E22:E32" si="5">E4*$E$17</f>
        <v>1279.4742974213032</v>
      </c>
      <c r="F22" s="458">
        <f t="shared" ref="F22:F32" si="6">F4*$F$17</f>
        <v>2039.6949905832346</v>
      </c>
      <c r="G22" s="458">
        <f t="shared" ref="G22:G32" si="7">G4*$G$17</f>
        <v>0</v>
      </c>
      <c r="H22" s="458">
        <f t="shared" ref="H22:H32" si="8">H4*$H$17</f>
        <v>0</v>
      </c>
      <c r="I22" s="458">
        <f t="shared" ref="I22:I32" si="9">I4*$I$17</f>
        <v>0</v>
      </c>
      <c r="J22" s="458">
        <f t="shared" ref="J22:J32" si="10">J4*$J$17</f>
        <v>280.87548133465202</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17950.581339681146</v>
      </c>
    </row>
    <row r="23" spans="1:17">
      <c r="A23" s="457" t="s">
        <v>155</v>
      </c>
      <c r="B23" s="458">
        <f t="shared" ca="1" si="2"/>
        <v>5436.0415142327174</v>
      </c>
      <c r="C23" s="458">
        <f t="shared" ca="1" si="3"/>
        <v>430.22878828950934</v>
      </c>
      <c r="D23" s="458">
        <f t="shared" ca="1" si="4"/>
        <v>6383.3768040888499</v>
      </c>
      <c r="E23" s="458">
        <f t="shared" si="5"/>
        <v>83.721475823024178</v>
      </c>
      <c r="F23" s="458">
        <f t="shared" ca="1" si="6"/>
        <v>1348.9599317528744</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13682.328514186975</v>
      </c>
    </row>
    <row r="24" spans="1:17">
      <c r="A24" s="457" t="s">
        <v>193</v>
      </c>
      <c r="B24" s="458">
        <f t="shared" ca="1" si="2"/>
        <v>187.84554142085267</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187.84554142085267</v>
      </c>
    </row>
    <row r="25" spans="1:17">
      <c r="A25" s="457" t="s">
        <v>111</v>
      </c>
      <c r="B25" s="458">
        <f t="shared" ca="1" si="2"/>
        <v>1072.7324976533791</v>
      </c>
      <c r="C25" s="458">
        <f t="shared" ca="1" si="3"/>
        <v>14.340959609650309</v>
      </c>
      <c r="D25" s="458">
        <f t="shared" si="4"/>
        <v>52.426828102967747</v>
      </c>
      <c r="E25" s="458">
        <f t="shared" si="5"/>
        <v>15.290741327161653</v>
      </c>
      <c r="F25" s="458">
        <f t="shared" si="6"/>
        <v>4924.3581134200131</v>
      </c>
      <c r="G25" s="458">
        <f t="shared" si="7"/>
        <v>0</v>
      </c>
      <c r="H25" s="458">
        <f t="shared" si="8"/>
        <v>0</v>
      </c>
      <c r="I25" s="458">
        <f t="shared" si="9"/>
        <v>0</v>
      </c>
      <c r="J25" s="458">
        <f t="shared" si="10"/>
        <v>284.58107122500115</v>
      </c>
      <c r="K25" s="458">
        <f t="shared" si="11"/>
        <v>0</v>
      </c>
      <c r="L25" s="458">
        <f t="shared" si="12"/>
        <v>0</v>
      </c>
      <c r="M25" s="458">
        <f t="shared" si="13"/>
        <v>0</v>
      </c>
      <c r="N25" s="458">
        <f t="shared" si="14"/>
        <v>0</v>
      </c>
      <c r="O25" s="458">
        <f t="shared" si="15"/>
        <v>0</v>
      </c>
      <c r="P25" s="459">
        <f t="shared" si="16"/>
        <v>0</v>
      </c>
      <c r="Q25" s="457">
        <f t="shared" ca="1" si="17"/>
        <v>6363.7302113381729</v>
      </c>
    </row>
    <row r="26" spans="1:17">
      <c r="A26" s="457" t="s">
        <v>655</v>
      </c>
      <c r="B26" s="458">
        <f t="shared" ca="1" si="2"/>
        <v>10735.212216937764</v>
      </c>
      <c r="C26" s="458">
        <f t="shared" ca="1" si="3"/>
        <v>0</v>
      </c>
      <c r="D26" s="458">
        <f t="shared" si="4"/>
        <v>32490.421598623467</v>
      </c>
      <c r="E26" s="458">
        <f t="shared" si="5"/>
        <v>1136.0803086956657</v>
      </c>
      <c r="F26" s="458">
        <f t="shared" si="6"/>
        <v>11378.831855525797</v>
      </c>
      <c r="G26" s="458">
        <f t="shared" si="7"/>
        <v>0</v>
      </c>
      <c r="H26" s="458">
        <f t="shared" si="8"/>
        <v>0</v>
      </c>
      <c r="I26" s="458">
        <f t="shared" si="9"/>
        <v>0</v>
      </c>
      <c r="J26" s="458">
        <f t="shared" si="10"/>
        <v>21.984061932155051</v>
      </c>
      <c r="K26" s="458">
        <f t="shared" si="11"/>
        <v>0</v>
      </c>
      <c r="L26" s="458">
        <f t="shared" si="12"/>
        <v>0</v>
      </c>
      <c r="M26" s="458">
        <f t="shared" si="13"/>
        <v>0</v>
      </c>
      <c r="N26" s="458">
        <f t="shared" si="14"/>
        <v>0</v>
      </c>
      <c r="O26" s="458">
        <f t="shared" si="15"/>
        <v>0</v>
      </c>
      <c r="P26" s="459">
        <f t="shared" si="16"/>
        <v>0</v>
      </c>
      <c r="Q26" s="457">
        <f t="shared" ca="1" si="17"/>
        <v>55762.530041714846</v>
      </c>
    </row>
    <row r="27" spans="1:17" s="463" customFormat="1">
      <c r="A27" s="461" t="s">
        <v>573</v>
      </c>
      <c r="B27" s="771">
        <f t="shared" ca="1" si="2"/>
        <v>1.3053148101847754</v>
      </c>
      <c r="C27" s="462">
        <f t="shared" ca="1" si="3"/>
        <v>0</v>
      </c>
      <c r="D27" s="462">
        <f t="shared" si="4"/>
        <v>2.103431197394984</v>
      </c>
      <c r="E27" s="462">
        <f t="shared" si="5"/>
        <v>91.690266112348823</v>
      </c>
      <c r="F27" s="462">
        <f t="shared" si="6"/>
        <v>0</v>
      </c>
      <c r="G27" s="462">
        <f t="shared" si="7"/>
        <v>43176.968067948663</v>
      </c>
      <c r="H27" s="462">
        <f t="shared" si="8"/>
        <v>4826.128267158545</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48098.195347227134</v>
      </c>
    </row>
    <row r="28" spans="1:17">
      <c r="A28" s="457" t="s">
        <v>563</v>
      </c>
      <c r="B28" s="458">
        <f t="shared" ca="1" si="2"/>
        <v>0</v>
      </c>
      <c r="C28" s="458">
        <f t="shared" ca="1" si="3"/>
        <v>0</v>
      </c>
      <c r="D28" s="458">
        <f t="shared" si="4"/>
        <v>0</v>
      </c>
      <c r="E28" s="458">
        <f t="shared" si="5"/>
        <v>0</v>
      </c>
      <c r="F28" s="458">
        <f t="shared" si="6"/>
        <v>0</v>
      </c>
      <c r="G28" s="458">
        <f t="shared" si="7"/>
        <v>307.11782148626315</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307.11782148626315</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179.92479054083353</v>
      </c>
      <c r="C32" s="458">
        <f t="shared" ca="1" si="3"/>
        <v>0</v>
      </c>
      <c r="D32" s="458">
        <f t="shared" si="4"/>
        <v>608.62805619183905</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788.55284673267261</v>
      </c>
    </row>
    <row r="33" spans="1:17" s="470" customFormat="1">
      <c r="A33" s="467" t="s">
        <v>567</v>
      </c>
      <c r="B33" s="468">
        <f ca="1">SUM(B22:B32)</f>
        <v>21604.728675109855</v>
      </c>
      <c r="C33" s="468">
        <f t="shared" ref="C33:Q33" ca="1" si="18">SUM(C22:C32)</f>
        <v>444.56974789915967</v>
      </c>
      <c r="D33" s="468">
        <f t="shared" ca="1" si="18"/>
        <v>49895.826489032355</v>
      </c>
      <c r="E33" s="468">
        <f t="shared" si="18"/>
        <v>2606.2570893795037</v>
      </c>
      <c r="F33" s="468">
        <f t="shared" ca="1" si="18"/>
        <v>19691.844891281919</v>
      </c>
      <c r="G33" s="468">
        <f t="shared" si="18"/>
        <v>43484.085889434929</v>
      </c>
      <c r="H33" s="468">
        <f t="shared" si="18"/>
        <v>4826.128267158545</v>
      </c>
      <c r="I33" s="468">
        <f t="shared" si="18"/>
        <v>0</v>
      </c>
      <c r="J33" s="468">
        <f t="shared" si="18"/>
        <v>587.44061449180822</v>
      </c>
      <c r="K33" s="468">
        <f t="shared" si="18"/>
        <v>0</v>
      </c>
      <c r="L33" s="468">
        <f t="shared" ca="1" si="18"/>
        <v>0</v>
      </c>
      <c r="M33" s="468">
        <f t="shared" si="18"/>
        <v>0</v>
      </c>
      <c r="N33" s="468">
        <f t="shared" ca="1" si="18"/>
        <v>0</v>
      </c>
      <c r="O33" s="468">
        <f t="shared" si="18"/>
        <v>0</v>
      </c>
      <c r="P33" s="468">
        <f t="shared" si="18"/>
        <v>0</v>
      </c>
      <c r="Q33" s="468">
        <f t="shared" ca="1" si="18"/>
        <v>143140.88166378805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9953.7410512453407</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43.65</v>
      </c>
      <c r="C8" s="1034">
        <f>'SEAP template'!C76</f>
        <v>1309.5000000000002</v>
      </c>
      <c r="D8" s="1034">
        <f>'SEAP template'!D76</f>
        <v>1540.5882352941176</v>
      </c>
      <c r="E8" s="1034">
        <f>'SEAP template'!E76</f>
        <v>0</v>
      </c>
      <c r="F8" s="1034">
        <f>'SEAP template'!F76</f>
        <v>0</v>
      </c>
      <c r="G8" s="1034">
        <f>'SEAP template'!G76</f>
        <v>0</v>
      </c>
      <c r="H8" s="1034">
        <f>'SEAP template'!H76</f>
        <v>0</v>
      </c>
      <c r="I8" s="1034">
        <f>'SEAP template'!I76</f>
        <v>0</v>
      </c>
      <c r="J8" s="1034">
        <f>'SEAP template'!J76</f>
        <v>51.35294117647058</v>
      </c>
      <c r="K8" s="1034">
        <f>'SEAP template'!K76</f>
        <v>0</v>
      </c>
      <c r="L8" s="1034">
        <f>'SEAP template'!L76</f>
        <v>0</v>
      </c>
      <c r="M8" s="1034">
        <f>'SEAP template'!M76</f>
        <v>0</v>
      </c>
      <c r="N8" s="1034">
        <f>'SEAP template'!N76</f>
        <v>0</v>
      </c>
      <c r="O8" s="1034">
        <f>'SEAP template'!O76</f>
        <v>0</v>
      </c>
      <c r="P8" s="1035">
        <f>'SEAP template'!Q76</f>
        <v>311.19882352941175</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9997.3910512453403</v>
      </c>
      <c r="C10" s="1038">
        <f>SUM(C4:C9)</f>
        <v>1309.5000000000002</v>
      </c>
      <c r="D10" s="1038">
        <f t="shared" ref="D10:H10" si="0">SUM(D8:D9)</f>
        <v>1540.5882352941176</v>
      </c>
      <c r="E10" s="1038">
        <f t="shared" si="0"/>
        <v>0</v>
      </c>
      <c r="F10" s="1038">
        <f t="shared" si="0"/>
        <v>0</v>
      </c>
      <c r="G10" s="1038">
        <f t="shared" si="0"/>
        <v>0</v>
      </c>
      <c r="H10" s="1038">
        <f t="shared" si="0"/>
        <v>0</v>
      </c>
      <c r="I10" s="1038">
        <f>SUM(I8:I9)</f>
        <v>0</v>
      </c>
      <c r="J10" s="1038">
        <f>SUM(J8:J9)</f>
        <v>51.35294117647058</v>
      </c>
      <c r="K10" s="1038">
        <f t="shared" ref="K10:L10" si="1">SUM(K8:K9)</f>
        <v>0</v>
      </c>
      <c r="L10" s="1038">
        <f t="shared" si="1"/>
        <v>0</v>
      </c>
      <c r="M10" s="1038">
        <f>SUM(M8:M9)</f>
        <v>0</v>
      </c>
      <c r="N10" s="1038">
        <f>SUM(N8:N9)</f>
        <v>0</v>
      </c>
      <c r="O10" s="1038">
        <f>SUM(O8:O9)</f>
        <v>0</v>
      </c>
      <c r="P10" s="1038">
        <f>SUM(P8:P9)</f>
        <v>311.19882352941175</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0.20067981853547012</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62.357142857142847</v>
      </c>
      <c r="C17" s="1040">
        <f>'SEAP template'!C87</f>
        <v>1870.7142857142858</v>
      </c>
      <c r="D17" s="1035">
        <f>'SEAP template'!D87</f>
        <v>2200.8403361344535</v>
      </c>
      <c r="E17" s="1035">
        <f>'SEAP template'!E87</f>
        <v>0</v>
      </c>
      <c r="F17" s="1035">
        <f>'SEAP template'!F87</f>
        <v>0</v>
      </c>
      <c r="G17" s="1035">
        <f>'SEAP template'!G87</f>
        <v>0</v>
      </c>
      <c r="H17" s="1035">
        <f>'SEAP template'!H87</f>
        <v>0</v>
      </c>
      <c r="I17" s="1035">
        <f>'SEAP template'!I87</f>
        <v>0</v>
      </c>
      <c r="J17" s="1035">
        <f>'SEAP template'!J87</f>
        <v>73.3613445378151</v>
      </c>
      <c r="K17" s="1035">
        <f>'SEAP template'!K87</f>
        <v>0</v>
      </c>
      <c r="L17" s="1035">
        <f>'SEAP template'!L87</f>
        <v>0</v>
      </c>
      <c r="M17" s="1035">
        <f>'SEAP template'!M87</f>
        <v>0</v>
      </c>
      <c r="N17" s="1035">
        <f>'SEAP template'!N87</f>
        <v>0</v>
      </c>
      <c r="O17" s="1035">
        <f>'SEAP template'!O87</f>
        <v>0</v>
      </c>
      <c r="P17" s="1035">
        <f>'SEAP template'!Q87</f>
        <v>444.56974789915967</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62.357142857142847</v>
      </c>
      <c r="C20" s="1038">
        <f>SUM(C17:C19)</f>
        <v>1870.7142857142858</v>
      </c>
      <c r="D20" s="1038">
        <f t="shared" ref="D20:H20" si="2">SUM(D17:D19)</f>
        <v>2200.8403361344535</v>
      </c>
      <c r="E20" s="1038">
        <f t="shared" si="2"/>
        <v>0</v>
      </c>
      <c r="F20" s="1038">
        <f t="shared" si="2"/>
        <v>0</v>
      </c>
      <c r="G20" s="1038">
        <f t="shared" si="2"/>
        <v>0</v>
      </c>
      <c r="H20" s="1038">
        <f t="shared" si="2"/>
        <v>0</v>
      </c>
      <c r="I20" s="1038">
        <f>SUM(I17:I19)</f>
        <v>0</v>
      </c>
      <c r="J20" s="1038">
        <f>SUM(J17:J19)</f>
        <v>73.3613445378151</v>
      </c>
      <c r="K20" s="1038">
        <f t="shared" ref="K20:L20" si="3">SUM(K17:K19)</f>
        <v>0</v>
      </c>
      <c r="L20" s="1038">
        <f t="shared" si="3"/>
        <v>0</v>
      </c>
      <c r="M20" s="1038">
        <f>SUM(M17:M19)</f>
        <v>0</v>
      </c>
      <c r="N20" s="1038">
        <f>SUM(N17:N19)</f>
        <v>0</v>
      </c>
      <c r="O20" s="1038">
        <f>SUM(O17:O19)</f>
        <v>0</v>
      </c>
      <c r="P20" s="1038">
        <f>SUM(P17:P19)</f>
        <v>444.56974789915967</v>
      </c>
    </row>
    <row r="22" spans="1:16">
      <c r="A22" s="471" t="s">
        <v>879</v>
      </c>
      <c r="B22" s="777" t="s">
        <v>873</v>
      </c>
      <c r="C22" s="777">
        <f ca="1">'EF ele_warmte'!B22</f>
        <v>0.22998102466793169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0.20067981853547012</v>
      </c>
      <c r="C17" s="508">
        <f ca="1">'EF ele_warmte'!B22</f>
        <v>0.22998102466793169</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1</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19.066666666666666</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2020-06-20T16:20:21Z</dcterms:modified>
</cp:coreProperties>
</file>