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J5" i="48"/>
  <c r="J23" i="48" s="1"/>
  <c r="K10" i="14"/>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E22" i="16"/>
  <c r="F43" i="14" s="1"/>
  <c r="F46" i="14" s="1"/>
  <c r="F61" i="14" s="1"/>
  <c r="R10" i="14"/>
  <c r="Q5" i="48"/>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<sst xmlns="http://schemas.openxmlformats.org/spreadsheetml/2006/main" count="2456" uniqueCount="926">
  <si>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</si>
  <si>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</si>
  <si>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</si>
  <si>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</si>
  <si>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</si>
  <si>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</si>
  <si>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</si>
  <si>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</si>
  <si>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</si>
  <si>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</si>
  <si>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</si>
  <si>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</si>
  <si>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</si>
  <si>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</si>
  <si>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</si>
  <si>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</si>
  <si>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</si>
  <si>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</si>
  <si>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</si>
  <si>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</si>
  <si>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</si>
  <si>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</si>
  <si>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</si>
  <si>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</si>
  <si>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</si>
  <si>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</si>
  <si>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</si>
  <si>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</si>
  <si>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</si>
  <si>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</si>
  <si>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</si>
  <si>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</si>
  <si>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</si>
  <si>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</si>
  <si>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</si>
  <si>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</si>
  <si>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</si>
  <si>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</si>
  <si>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</si>
  <si>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</si>
  <si>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</si>
  <si>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</si>
  <si>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</si>
  <si>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</si>
  <si>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</si>
  <si>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</si>
  <si>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</si>
  <si>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</si>
  <si>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</si>
  <si>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</si>
  <si>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</si>
  <si>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</si>
  <si>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</si>
  <si>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</si>
  <si>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</si>
  <si>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</si>
  <si>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</si>
  <si>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</si>
  <si>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</si>
  <si>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</si>
  <si>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</si>
  <si>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</si>
  <si>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</si>
  <si>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</si>
  <si>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</si>
  <si>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</si>
  <si>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</si>
  <si>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</si>
  <si>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</si>
  <si>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</si>
  <si>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</si>
  <si>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</si>
  <si>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</si>
  <si>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</si>
  <si>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</si>
  <si>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</si>
  <si>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</si>
  <si>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</si>
  <si>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</si>
  <si>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</si>
  <si>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</si>
  <si>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</si>
  <si>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</si>
  <si>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</si>
  <si>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</si>
  <si>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</si>
  <si>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</si>
  <si>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</si>
  <si>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</si>
  <si>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</si>
  <si>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</si>
  <si>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</si>
  <si>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</si>
  <si>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</si>
  <si>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</si>
  <si>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</si>
  <si>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</si>
  <si>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</si>
  <si>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</si>
  <si>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</si>
  <si>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</si>
  <si>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</si>
  <si>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</si>
  <si>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</si>
  <si>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</si>
  <si>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</si>
  <si>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</si>
  <si>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</si>
  <si>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</si>
  <si>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</si>
  <si>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</si>
  <si>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</si>
  <si>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</si>
  <si>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</si>
  <si>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</si>
  <si>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</si>
  <si>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</si>
  <si>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</si>
  <si>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</si>
  <si>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</si>
  <si>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</si>
  <si>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</si>
  <si>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</si>
  <si>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</si>
  <si>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</si>
  <si>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</si>
  <si>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</si>
  <si>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</si>
  <si>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</si>
  <si>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</si>
  <si>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</si>
  <si>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</si>
  <si>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</si>
  <si>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</si>
  <si>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</si>
  <si>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</si>
  <si>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</si>
  <si>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</si>
  <si>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</si>
  <si>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</si>
  <si>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</si>
  <si>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</si>
  <si>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</si>
  <si>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</si>
  <si>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</si>
  <si>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</si>
  <si>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</si>
  <si>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</si>
  <si>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</si>
  <si>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</si>
  <si>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</si>
  <si>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</si>
  <si>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</si>
  <si>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</si>
  <si>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</si>
  <si>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</si>
  <si>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</si>
  <si>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</si>
  <si>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</si>
  <si>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</si>
  <si>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</si>
  <si>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</si>
  <si>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</si>
  <si>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</si>
  <si>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</si>
  <si>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</si>
  <si>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</si>
  <si>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</si>
  <si>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</si>
  <si>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</si>
  <si>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</si>
  <si>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</si>
  <si>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</si>
  <si>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</si>
  <si>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</si>
  <si>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</si>
  <si>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</si>
  <si>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</si>
  <si>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</si>
  <si>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</si>
  <si>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</si>
  <si>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</si>
  <si>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</si>
  <si>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</si>
  <si>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</si>
  <si>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</si>
  <si>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</si>
  <si>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</si>
  <si>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</si>
  <si>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</si>
  <si>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</si>
  <si>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</si>
  <si>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</si>
  <si>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</si>
  <si>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</si>
  <si>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</si>
  <si>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</si>
  <si>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</si>
  <si>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</si>
  <si>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</si>
  <si>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</si>
  <si>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</si>
  <si>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</si>
  <si>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</si>
  <si>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</si>
  <si>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</si>
  <si>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</si>
  <si>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</si>
  <si>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</si>
  <si>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</si>
  <si>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</si>
  <si>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</si>
  <si>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</si>
  <si>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</si>
  <si>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</si>
  <si>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</si>
  <si>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</si>
  <si>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</si>
  <si>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</si>
  <si>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</si>
  <si>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</si>
  <si>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</si>
  <si>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</si>
  <si>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</si>
  <si>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</si>
  <si>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</si>
  <si>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</si>
  <si>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</si>
  <si>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</si>
  <si>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</si>
  <si>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</si>
  <si>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</si>
  <si>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</si>
  <si>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</si>
  <si>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</si>
  <si>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</si>
  <si>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</si>
  <si>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</si>
  <si>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</si>
  <si>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</si>
  <si>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</si>
  <si>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</si>
  <si>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</si>
  <si>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</si>
  <si>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</si>
  <si>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</si>
  <si>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</si>
  <si>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</si>
  <si>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</si>
  <si>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</si>
  <si>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</si>
  <si>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</si>
  <si>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</si>
  <si>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</si>
  <si>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</si>
  <si>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</si>
  <si>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</si>
  <si>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</si>
  <si>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</si>
  <si>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</si>
  <si>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</si>
  <si>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</si>
  <si>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</si>
  <si>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</si>
  <si>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</si>
  <si>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</si>
  <si>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</si>
  <si>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</si>
  <si>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</si>
  <si>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</si>
  <si>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</si>
  <si>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</si>
  <si>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</si>
  <si>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</si>
  <si>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</si>
  <si>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</si>
  <si>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</si>
  <si>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</si>
  <si>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</si>
  <si>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</si>
  <si>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</si>
  <si>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</si>
  <si>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</si>
  <si>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</si>
  <si>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</si>
  <si>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</si>
  <si>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</si>
  <si>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</si>
  <si>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</si>
  <si>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</si>
  <si>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</si>
  <si>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</si>
  <si>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</si>
  <si>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</si>
  <si>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</si>
  <si>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</si>
  <si>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</si>
  <si>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</si>
  <si>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</si>
  <si>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</si>
  <si>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</si>
  <si>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</si>
  <si>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</si>
  <si>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</si>
  <si>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</si>
  <si>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</si>
  <si>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</si>
  <si>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</si>
  <si>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</si>
  <si>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</si>
  <si>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</si>
  <si>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</si>
  <si>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</si>
  <si>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</si>
  <si>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</si>
  <si>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</si>
  <si>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</si>
  <si>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</si>
  <si>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</si>
  <si>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</si>
  <si>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</si>
  <si>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</si>
  <si>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</si>
  <si>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</si>
  <si>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</si>
  <si>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</si>
  <si>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</si>
  <si>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</si>
  <si>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</si>
  <si>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</si>
  <si>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</si>
  <si>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</si>
  <si>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</si>
  <si>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</si>
  <si>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</si>
  <si>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</si>
  <si>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</si>
  <si>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</si>
  <si>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</si>
  <si>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</si>
  <si>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</si>
  <si>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</si>
  <si>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</si>
  <si>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</si>
  <si>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</si>
  <si>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</si>
  <si>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</si>
  <si>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</si>
  <si>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</si>
  <si>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</si>
  <si>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</si>
  <si>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</si>
  <si>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</si>
  <si>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</si>
  <si>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</si>
  <si>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</si>
  <si>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</si>
  <si>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</si>
  <si>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</si>
  <si>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</si>
  <si>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</si>
  <si>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</si>
  <si>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</si>
  <si>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</si>
  <si>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</si>
  <si>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</si>
  <si>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</si>
  <si>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</si>
  <si>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</si>
  <si>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</si>
  <si>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</si>
  <si>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</si>
  <si>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</si>
  <si>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</si>
  <si>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</si>
  <si>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</si>
  <si>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</si>
  <si>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</si>
  <si>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</si>
  <si>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</si>
  <si>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</si>
  <si>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</si>
  <si>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</si>
  <si>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</si>
  <si>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</si>
  <si>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</si>
  <si>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</si>
  <si>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</si>
  <si>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</si>
  <si>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</si>
  <si>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</si>
  <si>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</si>
  <si>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</si>
  <si>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</si>
  <si>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</si>
  <si>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</si>
  <si>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</si>
  <si>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</si>
  <si>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</si>
  <si>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</si>
  <si>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</si>
  <si>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</si>
  <si>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</si>
  <si>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</si>
  <si>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</si>
  <si>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</si>
  <si>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</si>
  <si>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</si>
  <si>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</si>
  <si>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</si>
  <si>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</si>
  <si>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</si>
  <si>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</si>
  <si>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</si>
  <si>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</si>
  <si>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</si>
  <si>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</si>
  <si>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</si>
  <si>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</si>
  <si>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</si>
  <si>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</si>
  <si>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</si>
  <si>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</si>
  <si>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</si>
  <si>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</si>
  <si>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</si>
  <si>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</si>
  <si>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</si>
  <si>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</si>
  <si>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</si>
  <si>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</si>
  <si>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</si>
  <si>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</si>
  <si>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</si>
  <si>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</si>
  <si>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</si>
  <si>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</si>
  <si>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</si>
  <si>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</si>
  <si>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</si>
  <si>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</si>
  <si>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</si>
  <si>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</si>
  <si>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</si>
  <si>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</si>
  <si>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</si>
  <si>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</si>
  <si>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</si>
  <si>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</si>
  <si>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</si>
  <si>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</si>
  <si>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</si>
  <si>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</si>
  <si>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</si>
  <si>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</si>
  <si>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</si>
  <si>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</si>
  <si>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</si>
  <si>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</si>
  <si>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</si>
  <si>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</si>
  <si>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</si>
  <si>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</si>
  <si>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</si>
  <si>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</si>
  <si>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</si>
  <si>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</si>
  <si>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</si>
  <si>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</si>
  <si>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</si>
  <si>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</si>
  <si>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</si>
  <si>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</si>
  <si>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</si>
  <si>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</si>
  <si>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</si>
  <si>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</si>
  <si>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</si>
  <si>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</si>
  <si>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</si>
  <si>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</si>
  <si>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</si>
  <si>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</si>
  <si>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</si>
  <si>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</si>
  <si>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</si>
  <si>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</si>
  <si>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</si>
  <si>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</si>
  <si>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</si>
  <si>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</si>
  <si>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</si>
  <si>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</si>
  <si>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</si>
  <si>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</si>
  <si>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</si>
  <si>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</si>
  <si>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</si>
  <si>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</si>
  <si>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</si>
  <si>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</si>
  <si>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</si>
  <si>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</si>
  <si>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</si>
  <si>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</si>
  <si>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</si>
  <si>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</si>
  <si>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</si>
  <si>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</si>
  <si>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</si>
  <si>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</si>
  <si>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</si>
  <si>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</si>
  <si>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</si>
  <si>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</si>
  <si>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</si>
  <si>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</si>
  <si>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</si>
  <si>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</si>
  <si>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</si>
  <si>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</si>
  <si>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</si>
  <si>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</si>
  <si>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</si>
  <si>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</si>
  <si>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</si>
  <si>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</si>
  <si>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</si>
  <si>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</si>
  <si>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</si>
  <si>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</si>
  <si>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</si>
  <si>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</si>
  <si>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</si>
  <si>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</si>
  <si>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</si>
  <si>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</si>
  <si>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</si>
  <si>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</si>
  <si>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</si>
  <si>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</si>
  <si>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</si>
  <si>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</si>
  <si>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</si>
  <si>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</si>
  <si>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</si>
  <si>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</si>
  <si>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</si>
  <si>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</si>
  <si>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</si>
  <si>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</si>
  <si>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</si>
  <si>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</si>
  <si>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</si>
  <si>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</si>
  <si>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</si>
  <si>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</si>
  <si>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</si>
  <si>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</si>
  <si>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</si>
  <si>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</si>
  <si>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</si>
  <si>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</si>
  <si>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</si>
  <si>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</si>
  <si>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</si>
  <si>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</si>
  <si>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</si>
  <si>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</si>
  <si>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</si>
  <si>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</si>
  <si>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</si>
  <si>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</si>
  <si>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</si>
  <si>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</si>
  <si>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</si>
  <si>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</si>
  <si>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</si>
  <si>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</si>
  <si>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</si>
  <si>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</si>
  <si>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</si>
  <si>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</si>
  <si>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</si>
  <si>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</si>
  <si>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</si>
  <si>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</si>
  <si>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</si>
  <si>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</si>
  <si>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</si>
  <si>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</si>
  <si>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</si>
  <si>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</si>
  <si>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</si>
  <si>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</si>
  <si>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</si>
  <si>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</si>
  <si>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</si>
  <si>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</si>
  <si>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</si>
  <si>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</si>
  <si>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</si>
  <si>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</si>
  <si>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</si>
  <si>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</si>
  <si>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</si>
  <si>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</si>
  <si>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</si>
  <si>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</si>
  <si>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</si>
  <si>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</si>
  <si>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</si>
  <si>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</si>
  <si>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</si>
  <si>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</si>
  <si>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</si>
  <si>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</si>
  <si>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</si>
  <si>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</si>
  <si>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</si>
  <si>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</si>
  <si>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</si>
  <si>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</si>
  <si>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</si>
  <si>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</si>
  <si>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</si>
  <si>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</si>
  <si>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</si>
  <si>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</si>
  <si>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</si>
  <si>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</si>
  <si>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</si>
  <si>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</si>
  <si>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</si>
  <si>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</si>
  <si>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</si>
  <si>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</si>
  <si>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</si>
  <si>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</si>
  <si>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</si>
  <si>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</si>
  <si>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</si>
  <si>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</si>
  <si>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</si>
  <si>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</si>
  <si>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</si>
  <si>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</si>
  <si>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</si>
  <si>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</si>
  <si>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</si>
  <si>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</si>
  <si>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</si>
  <si>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</si>
  <si>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</si>
  <si>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</si>
  <si>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</si>
  <si>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</si>
  <si>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</si>
  <si>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</si>
  <si>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</si>
  <si>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</si>
  <si>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</si>
  <si>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</si>
  <si>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</si>
  <si>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</si>
  <si>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</si>
  <si>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</si>
  <si>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</si>
  <si>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</si>
  <si>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</si>
  <si>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</si>
  <si>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</si>
  <si>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</si>
  <si>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</si>
  <si>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</si>
  <si>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</si>
  <si>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</si>
  <si>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</si>
  <si>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</si>
  <si>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</si>
  <si>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</si>
  <si>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</si>
  <si>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</si>
  <si>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</si>
  <si>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</si>
  <si>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</si>
  <si>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</si>
  <si>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</si>
  <si>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</si>
  <si>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</si>
  <si>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</si>
  <si>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</si>
  <si>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</si>
  <si>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</si>
  <si>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</si>
  <si>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</si>
  <si>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</si>
  <si>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</si>
  <si>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</si>
  <si>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</si>
  <si>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</si>
  <si>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</si>
  <si>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</si>
  <si>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</si>
  <si>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</si>
  <si>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</si>
  <si>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</si>
  <si>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</si>
  <si>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</si>
  <si>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</si>
  <si>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</si>
  <si>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</si>
  <si>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</si>
  <si>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</si>
  <si>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</si>
  <si>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</si>
  <si>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</si>
  <si>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</si>
  <si>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</si>
  <si>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</si>
  <si>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</si>
  <si>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</si>
  <si>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</si>
  <si>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</si>
  <si>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</si>
  <si>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</si>
  <si>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</si>
  <si>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</si>
  <si>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</si>
  <si>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</si>
  <si>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</si>
  <si>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</si>
  <si>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</si>
  <si>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</si>
  <si>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</si>
  <si>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</si>
  <si>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</si>
  <si>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</si>
  <si>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</si>
  <si>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</si>
  <si>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</si>
  <si>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</si>
  <si>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</si>
  <si>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</si>
  <si>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</si>
  <si>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</si>
  <si>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</si>
  <si>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</si>
  <si>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</si>
  <si>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</si>
  <si>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</si>
  <si>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</si>
  <si>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</si>
  <si>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</si>
  <si>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</si>
  <si>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</si>
  <si>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</si>
  <si>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</si>
  <si>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</si>
  <si>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</si>
  <si>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</si>
  <si>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</si>
  <si>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</si>
  <si>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</si>
  <si>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</si>
  <si>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</si>
  <si>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</si>
  <si>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</si>
  <si>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</si>
  <si>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</si>
  <si>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</si>
  <si>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</si>
  <si>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</si>
  <si>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</si>
  <si>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</si>
  <si>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</si>
  <si>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</si>
  <si>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</si>
  <si>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</si>
  <si>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</si>
  <si>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</si>
  <si>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</si>
  <si>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</si>
  <si>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</si>
  <si>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</si>
  <si>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</si>
  <si>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</si>
  <si>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</si>
  <si>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</si>
  <si>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</si>
  <si>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</si>
  <si>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</si>
  <si>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</si>
  <si>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</si>
  <si>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</si>
  <si>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</si>
  <si>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</si>
  <si>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</si>
  <si>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</si>
  <si>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</si>
  <si>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</si>
  <si>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</si>
  <si>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</si>
  <si>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</si>
  <si>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</si>
  <si>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</si>
  <si>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</si>
  <si>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</si>
  <si>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</si>
  <si>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</si>
  <si>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</si>
  <si>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</si>
  <si>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</si>
  <si>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</si>
  <si>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</si>
  <si>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</si>
  <si>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</si>
  <si>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</si>
  <si>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</si>
  <si>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</si>
  <si>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</si>
  <si>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</si>
  <si>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</si>
  <si>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</si>
  <si>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</si>
  <si>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</si>
  <si>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</si>
  <si>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</si>
  <si>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</si>
  <si>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</si>
  <si>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</si>
  <si>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</si>
  <si>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</si>
  <si>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</si>
  <si>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</si>
  <si>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</si>
  <si>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</si>
  <si>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</si>
  <si>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</si>
  <si>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</si>
  <si>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</si>
  <si>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</si>
  <si>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</si>
  <si>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</si>
  <si>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</si>
  <si>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</si>
  <si>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</si>
  <si>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</si>
  <si>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</si>
  <si>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</si>
  <si>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</si>
  <si>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</si>
  <si>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</si>
  <si>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</si>
  <si>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</si>
  <si>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</si>
  <si>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</si>
  <si>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</si>
  <si>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</si>
  <si>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</si>
  <si>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</si>
  <si>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</si>
  <si>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</si>
  <si>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</si>
  <si>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</si>
  <si>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</si>
  <si>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</si>
  <si>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</si>
  <si>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</si>
  <si>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</si>
  <si>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</si>
  <si>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</si>
  <si>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</si>
  <si>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</si>
  <si>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</si>
  <si>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</si>
  <si>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</si>
  <si>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</si>
  <si>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</si>
  <si>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</si>
  <si>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</si>
  <si>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</si>
  <si>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</si>
  <si>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</si>
  <si>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</si>
  <si>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</si>
  <si>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</si>
  <si>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</si>
  <si>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</si>
  <si>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</si>
  <si>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</si>
  <si>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</si>
  <si>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</si>
  <si>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</si>
  <si>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</si>
  <si>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</si>
  <si>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</si>
  <si>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</si>
  <si>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</si>
  <si>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</si>
  <si>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</si>
  <si>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</si>
  <si>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</si>
  <si>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</si>
  <si>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</si>
  <si>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</si>
  <si>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</si>
  <si>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</si>
  <si>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</si>
  <si>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</si>
  <si>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</si>
  <si>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</si>
  <si>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</si>
  <si>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38014</t>
  </si>
  <si>
    <t>KOKSIJDE</t>
  </si>
  <si>
    <t>Cultuurgrond (ha)</t>
  </si>
  <si>
    <t>Paarden&amp;pony's 200 - 600 kg</t>
  </si>
  <si>
    <t>Paarden&amp;pony's &lt; 200 kg</t>
  </si>
  <si>
    <t>Fluvius</t>
  </si>
  <si>
    <t>referentietaak LNE (2017); Jaarverslag De Lijn</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</si>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</sst>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202585.73115148154</c:v>
                </c:pt>
                <c:pt idx="1">
                  <c:v>141536.1475674657</c:v>
                </c:pt>
                <c:pt idx="2">
                  <c:v>3138.5709999999999</c:v>
                </c:pt>
                <c:pt idx="3">
                  <c:v>5075.3272298061656</c:v>
                </c:pt>
                <c:pt idx="4">
                  <c:v>13523.951175940974</c:v>
                </c:pt>
                <c:pt idx="5">
                  <c:v>97080.391612427571</c:v>
                </c:pt>
                <c:pt idx="6">
                  <c:v>2642.3542734714051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202585.73115148154</c:v>
                </c:pt>
                <c:pt idx="1">
                  <c:v>141536.1475674657</c:v>
                </c:pt>
                <c:pt idx="2">
                  <c:v>3138.5709999999999</c:v>
                </c:pt>
                <c:pt idx="3">
                  <c:v>5075.3272298061656</c:v>
                </c:pt>
                <c:pt idx="4">
                  <c:v>13523.951175940974</c:v>
                </c:pt>
                <c:pt idx="5">
                  <c:v>97080.391612427571</c:v>
                </c:pt>
                <c:pt idx="6">
                  <c:v>2642.3542734714051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41625.374002424818</c:v>
                </c:pt>
                <c:pt idx="2">
                  <c:v>28815.261801190725</c:v>
                </c:pt>
                <c:pt idx="3">
                  <c:v>676.7865980702403</c:v>
                </c:pt>
                <c:pt idx="4">
                  <c:v>1298.2046370834116</c:v>
                </c:pt>
                <c:pt idx="5">
                  <c:v>2927.3246743081559</c:v>
                </c:pt>
                <c:pt idx="6">
                  <c:v>24580.085324700314</c:v>
                </c:pt>
                <c:pt idx="7">
                  <c:v>622.623406929672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41625.374002424818</c:v>
                </c:pt>
                <c:pt idx="2">
                  <c:v>28815.261801190725</c:v>
                </c:pt>
                <c:pt idx="3">
                  <c:v>676.7865980702403</c:v>
                </c:pt>
                <c:pt idx="4">
                  <c:v>1298.2046370834116</c:v>
                </c:pt>
                <c:pt idx="5">
                  <c:v>2927.3246743081559</c:v>
                </c:pt>
                <c:pt idx="6">
                  <c:v>24580.085324700314</c:v>
                </c:pt>
                <c:pt idx="7">
                  <c:v>622.623406929672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38014</v>
      </c>
      <c r="B6" s="395"/>
      <c r="C6" s="396"/>
    </row>
    <row r="7" spans="1:7" s="393" customFormat="1" ht="15.75" customHeight="1">
      <c r="A7" s="397" t="str">
        <f>txtMunicipality</f>
        <v>KOKSIJDE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0.2156352677923298</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0.2156352677923298</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11075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2180</v>
      </c>
      <c r="C14" s="332"/>
      <c r="D14" s="332"/>
      <c r="E14" s="332"/>
      <c r="F14" s="332"/>
    </row>
    <row r="15" spans="1:6">
      <c r="A15" s="1306" t="s">
        <v>183</v>
      </c>
      <c r="B15" s="1307">
        <v>6</v>
      </c>
      <c r="C15" s="332"/>
      <c r="D15" s="332"/>
      <c r="E15" s="332"/>
      <c r="F15" s="332"/>
    </row>
    <row r="16" spans="1:6">
      <c r="A16" s="1306" t="s">
        <v>6</v>
      </c>
      <c r="B16" s="1307">
        <v>233</v>
      </c>
      <c r="C16" s="332"/>
      <c r="D16" s="332"/>
      <c r="E16" s="332"/>
      <c r="F16" s="332"/>
    </row>
    <row r="17" spans="1:6">
      <c r="A17" s="1306" t="s">
        <v>7</v>
      </c>
      <c r="B17" s="1307">
        <v>164</v>
      </c>
      <c r="C17" s="332"/>
      <c r="D17" s="332"/>
      <c r="E17" s="332"/>
      <c r="F17" s="332"/>
    </row>
    <row r="18" spans="1:6">
      <c r="A18" s="1306" t="s">
        <v>8</v>
      </c>
      <c r="B18" s="1307">
        <v>246</v>
      </c>
      <c r="C18" s="332"/>
      <c r="D18" s="332"/>
      <c r="E18" s="332"/>
      <c r="F18" s="332"/>
    </row>
    <row r="19" spans="1:6">
      <c r="A19" s="1306" t="s">
        <v>9</v>
      </c>
      <c r="B19" s="1307">
        <v>263</v>
      </c>
      <c r="C19" s="332"/>
      <c r="D19" s="332"/>
      <c r="E19" s="332"/>
      <c r="F19" s="332"/>
    </row>
    <row r="20" spans="1:6">
      <c r="A20" s="1306" t="s">
        <v>10</v>
      </c>
      <c r="B20" s="1307">
        <v>459</v>
      </c>
      <c r="C20" s="332"/>
      <c r="D20" s="332"/>
      <c r="E20" s="332"/>
      <c r="F20" s="332"/>
    </row>
    <row r="21" spans="1:6">
      <c r="A21" s="1306" t="s">
        <v>11</v>
      </c>
      <c r="B21" s="1307">
        <v>5044</v>
      </c>
      <c r="C21" s="332"/>
      <c r="D21" s="332"/>
      <c r="E21" s="332"/>
      <c r="F21" s="332"/>
    </row>
    <row r="22" spans="1:6">
      <c r="A22" s="1306" t="s">
        <v>12</v>
      </c>
      <c r="B22" s="1307">
        <v>7445</v>
      </c>
      <c r="C22" s="332"/>
      <c r="D22" s="332"/>
      <c r="E22" s="332"/>
      <c r="F22" s="332"/>
    </row>
    <row r="23" spans="1:6">
      <c r="A23" s="1306" t="s">
        <v>13</v>
      </c>
      <c r="B23" s="1307">
        <v>205</v>
      </c>
      <c r="C23" s="332"/>
      <c r="D23" s="332"/>
      <c r="E23" s="332"/>
      <c r="F23" s="332"/>
    </row>
    <row r="24" spans="1:6">
      <c r="A24" s="1306" t="s">
        <v>14</v>
      </c>
      <c r="B24" s="1307">
        <v>85</v>
      </c>
      <c r="C24" s="332"/>
      <c r="D24" s="332"/>
      <c r="E24" s="332"/>
      <c r="F24" s="332"/>
    </row>
    <row r="25" spans="1:6">
      <c r="A25" s="1306" t="s">
        <v>15</v>
      </c>
      <c r="B25" s="1307">
        <v>1163</v>
      </c>
      <c r="C25" s="332"/>
      <c r="D25" s="332"/>
      <c r="E25" s="332"/>
      <c r="F25" s="332"/>
    </row>
    <row r="26" spans="1:6">
      <c r="A26" s="1306" t="s">
        <v>16</v>
      </c>
      <c r="B26" s="1307">
        <v>75</v>
      </c>
      <c r="C26" s="332"/>
      <c r="D26" s="332"/>
      <c r="E26" s="332"/>
      <c r="F26" s="332"/>
    </row>
    <row r="27" spans="1:6">
      <c r="A27" s="1306" t="s">
        <v>17</v>
      </c>
      <c r="B27" s="1307">
        <v>0</v>
      </c>
      <c r="C27" s="332"/>
      <c r="D27" s="332"/>
      <c r="E27" s="332"/>
      <c r="F27" s="332"/>
    </row>
    <row r="28" spans="1:6" s="43" customFormat="1">
      <c r="A28" s="1308" t="s">
        <v>18</v>
      </c>
      <c r="B28" s="1309">
        <v>197708</v>
      </c>
      <c r="C28" s="338"/>
      <c r="D28" s="338"/>
      <c r="E28" s="338"/>
      <c r="F28" s="338"/>
    </row>
    <row r="29" spans="1:6">
      <c r="A29" s="1308" t="s">
        <v>916</v>
      </c>
      <c r="B29" s="1309">
        <v>207</v>
      </c>
      <c r="C29" s="338"/>
      <c r="D29" s="338"/>
      <c r="E29" s="338"/>
      <c r="F29" s="338"/>
    </row>
    <row r="30" spans="1:6">
      <c r="A30" s="1301" t="s">
        <v>917</v>
      </c>
      <c r="B30" s="1310">
        <v>39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7</v>
      </c>
      <c r="D36" s="1307">
        <v>1512399.33923053</v>
      </c>
      <c r="E36" s="1307">
        <v>3</v>
      </c>
      <c r="F36" s="1307">
        <v>9133</v>
      </c>
    </row>
    <row r="37" spans="1:6">
      <c r="A37" s="1306" t="s">
        <v>24</v>
      </c>
      <c r="B37" s="1306" t="s">
        <v>27</v>
      </c>
      <c r="C37" s="1307">
        <v>0</v>
      </c>
      <c r="D37" s="1307">
        <v>0</v>
      </c>
      <c r="E37" s="1307">
        <v>0</v>
      </c>
      <c r="F37" s="1307">
        <v>0</v>
      </c>
    </row>
    <row r="38" spans="1:6">
      <c r="A38" s="1306" t="s">
        <v>24</v>
      </c>
      <c r="B38" s="1306" t="s">
        <v>28</v>
      </c>
      <c r="C38" s="1307">
        <v>1</v>
      </c>
      <c r="D38" s="1307">
        <v>11157.3303458422</v>
      </c>
      <c r="E38" s="1307">
        <v>2</v>
      </c>
      <c r="F38" s="1307">
        <v>6121.6167609303002</v>
      </c>
    </row>
    <row r="39" spans="1:6">
      <c r="A39" s="1306" t="s">
        <v>29</v>
      </c>
      <c r="B39" s="1306" t="s">
        <v>30</v>
      </c>
      <c r="C39" s="1307">
        <v>12606</v>
      </c>
      <c r="D39" s="1307">
        <v>158251905.133679</v>
      </c>
      <c r="E39" s="1307">
        <v>23431</v>
      </c>
      <c r="F39" s="1307">
        <v>56759667.514551297</v>
      </c>
    </row>
    <row r="40" spans="1:6">
      <c r="A40" s="1306" t="s">
        <v>29</v>
      </c>
      <c r="B40" s="1306" t="s">
        <v>28</v>
      </c>
      <c r="C40" s="1307">
        <v>0</v>
      </c>
      <c r="D40" s="1307">
        <v>0</v>
      </c>
      <c r="E40" s="1307">
        <v>0</v>
      </c>
      <c r="F40" s="1307">
        <v>0</v>
      </c>
    </row>
    <row r="41" spans="1:6">
      <c r="A41" s="1306" t="s">
        <v>31</v>
      </c>
      <c r="B41" s="1306" t="s">
        <v>32</v>
      </c>
      <c r="C41" s="1307">
        <v>140</v>
      </c>
      <c r="D41" s="1307">
        <v>2570866.66983556</v>
      </c>
      <c r="E41" s="1307">
        <v>363</v>
      </c>
      <c r="F41" s="1307">
        <v>2822353.7395318998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116787.259308594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122544.984064734</v>
      </c>
      <c r="E47" s="1307">
        <v>6</v>
      </c>
      <c r="F47" s="1307">
        <v>15180.764888444101</v>
      </c>
    </row>
    <row r="48" spans="1:6">
      <c r="A48" s="1306" t="s">
        <v>31</v>
      </c>
      <c r="B48" s="1306" t="s">
        <v>28</v>
      </c>
      <c r="C48" s="1307">
        <v>30</v>
      </c>
      <c r="D48" s="1307">
        <v>516472.96895304898</v>
      </c>
      <c r="E48" s="1307">
        <v>34</v>
      </c>
      <c r="F48" s="1307">
        <v>162801.87932936399</v>
      </c>
    </row>
    <row r="49" spans="1:6">
      <c r="A49" s="1306" t="s">
        <v>31</v>
      </c>
      <c r="B49" s="1306" t="s">
        <v>39</v>
      </c>
      <c r="C49" s="1307">
        <v>0</v>
      </c>
      <c r="D49" s="1307">
        <v>0</v>
      </c>
      <c r="E49" s="1307">
        <v>3</v>
      </c>
      <c r="F49" s="1307">
        <v>7202.2020295568</v>
      </c>
    </row>
    <row r="50" spans="1:6">
      <c r="A50" s="1306" t="s">
        <v>31</v>
      </c>
      <c r="B50" s="1306" t="s">
        <v>40</v>
      </c>
      <c r="C50" s="1307">
        <v>23</v>
      </c>
      <c r="D50" s="1307">
        <v>1578882.0281900801</v>
      </c>
      <c r="E50" s="1307">
        <v>33</v>
      </c>
      <c r="F50" s="1307">
        <v>1081979.6485306199</v>
      </c>
    </row>
    <row r="51" spans="1:6">
      <c r="A51" s="1306" t="s">
        <v>41</v>
      </c>
      <c r="B51" s="1306" t="s">
        <v>42</v>
      </c>
      <c r="C51" s="1307">
        <v>10</v>
      </c>
      <c r="D51" s="1307">
        <v>253643.19660048999</v>
      </c>
      <c r="E51" s="1307">
        <v>61</v>
      </c>
      <c r="F51" s="1307">
        <v>892860.15439968498</v>
      </c>
    </row>
    <row r="52" spans="1:6">
      <c r="A52" s="1306" t="s">
        <v>41</v>
      </c>
      <c r="B52" s="1306" t="s">
        <v>28</v>
      </c>
      <c r="C52" s="1307">
        <v>6</v>
      </c>
      <c r="D52" s="1307">
        <v>89164.829478137603</v>
      </c>
      <c r="E52" s="1307">
        <v>11</v>
      </c>
      <c r="F52" s="1307">
        <v>147942.205705915</v>
      </c>
    </row>
    <row r="53" spans="1:6">
      <c r="A53" s="1306" t="s">
        <v>43</v>
      </c>
      <c r="B53" s="1306" t="s">
        <v>44</v>
      </c>
      <c r="C53" s="1307">
        <v>939</v>
      </c>
      <c r="D53" s="1307">
        <v>13233862.8336308</v>
      </c>
      <c r="E53" s="1307">
        <v>2553</v>
      </c>
      <c r="F53" s="1307">
        <v>8795763.2361917607</v>
      </c>
    </row>
    <row r="54" spans="1:6">
      <c r="A54" s="1306" t="s">
        <v>45</v>
      </c>
      <c r="B54" s="1306" t="s">
        <v>46</v>
      </c>
      <c r="C54" s="1307">
        <v>0</v>
      </c>
      <c r="D54" s="1307">
        <v>0</v>
      </c>
      <c r="E54" s="1307">
        <v>1</v>
      </c>
      <c r="F54" s="1307">
        <v>3138571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62</v>
      </c>
      <c r="D57" s="1307">
        <v>3044223.7770161298</v>
      </c>
      <c r="E57" s="1307">
        <v>186</v>
      </c>
      <c r="F57" s="1307">
        <v>8184212.3312406596</v>
      </c>
    </row>
    <row r="58" spans="1:6">
      <c r="A58" s="1306" t="s">
        <v>48</v>
      </c>
      <c r="B58" s="1306" t="s">
        <v>50</v>
      </c>
      <c r="C58" s="1307">
        <v>66</v>
      </c>
      <c r="D58" s="1307">
        <v>1197633.94334936</v>
      </c>
      <c r="E58" s="1307">
        <v>123</v>
      </c>
      <c r="F58" s="1307">
        <v>574220.67560387298</v>
      </c>
    </row>
    <row r="59" spans="1:6">
      <c r="A59" s="1306" t="s">
        <v>48</v>
      </c>
      <c r="B59" s="1306" t="s">
        <v>51</v>
      </c>
      <c r="C59" s="1307">
        <v>279</v>
      </c>
      <c r="D59" s="1307">
        <v>6989329.3305452699</v>
      </c>
      <c r="E59" s="1307">
        <v>522</v>
      </c>
      <c r="F59" s="1307">
        <v>10703142.0904647</v>
      </c>
    </row>
    <row r="60" spans="1:6">
      <c r="A60" s="1306" t="s">
        <v>48</v>
      </c>
      <c r="B60" s="1306" t="s">
        <v>52</v>
      </c>
      <c r="C60" s="1307">
        <v>607</v>
      </c>
      <c r="D60" s="1307">
        <v>28314201.316326</v>
      </c>
      <c r="E60" s="1307">
        <v>597</v>
      </c>
      <c r="F60" s="1307">
        <v>13373619.1002785</v>
      </c>
    </row>
    <row r="61" spans="1:6">
      <c r="A61" s="1306" t="s">
        <v>48</v>
      </c>
      <c r="B61" s="1306" t="s">
        <v>53</v>
      </c>
      <c r="C61" s="1307">
        <v>797</v>
      </c>
      <c r="D61" s="1307">
        <v>30070139.273394</v>
      </c>
      <c r="E61" s="1307">
        <v>2729</v>
      </c>
      <c r="F61" s="1307">
        <v>14431916.667234801</v>
      </c>
    </row>
    <row r="62" spans="1:6">
      <c r="A62" s="1306" t="s">
        <v>48</v>
      </c>
      <c r="B62" s="1306" t="s">
        <v>54</v>
      </c>
      <c r="C62" s="1307">
        <v>9</v>
      </c>
      <c r="D62" s="1307">
        <v>808813.67935214005</v>
      </c>
      <c r="E62" s="1307">
        <v>20</v>
      </c>
      <c r="F62" s="1307">
        <v>568781.00155776599</v>
      </c>
    </row>
    <row r="63" spans="1:6">
      <c r="A63" s="1306" t="s">
        <v>48</v>
      </c>
      <c r="B63" s="1306" t="s">
        <v>28</v>
      </c>
      <c r="C63" s="1307">
        <v>105</v>
      </c>
      <c r="D63" s="1307">
        <v>10834382.058015199</v>
      </c>
      <c r="E63" s="1307">
        <v>106</v>
      </c>
      <c r="F63" s="1307">
        <v>2291489.93324603</v>
      </c>
    </row>
    <row r="64" spans="1:6">
      <c r="A64" s="1306" t="s">
        <v>55</v>
      </c>
      <c r="B64" s="1306" t="s">
        <v>56</v>
      </c>
      <c r="C64" s="1307">
        <v>0</v>
      </c>
      <c r="D64" s="1307">
        <v>0</v>
      </c>
      <c r="E64" s="1307">
        <v>0</v>
      </c>
      <c r="F64" s="1307">
        <v>0</v>
      </c>
    </row>
    <row r="65" spans="1:6">
      <c r="A65" s="1306" t="s">
        <v>55</v>
      </c>
      <c r="B65" s="1306" t="s">
        <v>28</v>
      </c>
      <c r="C65" s="1307">
        <v>2</v>
      </c>
      <c r="D65" s="1307">
        <v>107380.400942412</v>
      </c>
      <c r="E65" s="1307">
        <v>2</v>
      </c>
      <c r="F65" s="1307">
        <v>33614.545400429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76652.965394815605</v>
      </c>
      <c r="E68" s="1310">
        <v>8</v>
      </c>
      <c r="F68" s="1310">
        <v>26401.202304026701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76633321</v>
      </c>
      <c r="E73" s="456"/>
      <c r="F73" s="332"/>
    </row>
    <row r="74" spans="1:6">
      <c r="A74" s="1306" t="s">
        <v>63</v>
      </c>
      <c r="B74" s="1306" t="s">
        <v>724</v>
      </c>
      <c r="C74" s="1320" t="s">
        <v>725</v>
      </c>
      <c r="D74" s="1321">
        <v>8664594.9621119685</v>
      </c>
      <c r="E74" s="456"/>
      <c r="F74" s="332"/>
    </row>
    <row r="75" spans="1:6">
      <c r="A75" s="1306" t="s">
        <v>64</v>
      </c>
      <c r="B75" s="1306" t="s">
        <v>722</v>
      </c>
      <c r="C75" s="1320" t="s">
        <v>726</v>
      </c>
      <c r="D75" s="1321">
        <v>5873794</v>
      </c>
      <c r="E75" s="456"/>
      <c r="F75" s="332"/>
    </row>
    <row r="76" spans="1:6">
      <c r="A76" s="1306" t="s">
        <v>64</v>
      </c>
      <c r="B76" s="1306" t="s">
        <v>724</v>
      </c>
      <c r="C76" s="1320" t="s">
        <v>727</v>
      </c>
      <c r="D76" s="1321">
        <v>82827.962111968984</v>
      </c>
      <c r="E76" s="456"/>
      <c r="F76" s="332"/>
    </row>
    <row r="77" spans="1:6">
      <c r="A77" s="1306" t="s">
        <v>65</v>
      </c>
      <c r="B77" s="1306" t="s">
        <v>722</v>
      </c>
      <c r="C77" s="1320" t="s">
        <v>728</v>
      </c>
      <c r="D77" s="1321">
        <v>13202490</v>
      </c>
      <c r="E77" s="456"/>
      <c r="F77" s="332"/>
    </row>
    <row r="78" spans="1:6">
      <c r="A78" s="1301" t="s">
        <v>65</v>
      </c>
      <c r="B78" s="1301" t="s">
        <v>724</v>
      </c>
      <c r="C78" s="1301" t="s">
        <v>729</v>
      </c>
      <c r="D78" s="1322">
        <v>4560026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349652.07577606203</v>
      </c>
      <c r="C83" s="456"/>
      <c r="D83" s="332"/>
      <c r="E83" s="332"/>
      <c r="F83" s="332"/>
    </row>
    <row r="84" spans="1:6">
      <c r="A84" s="1301" t="s">
        <v>336</v>
      </c>
      <c r="B84" s="1322">
        <v>374738.09017212508</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2559.2185396850928</v>
      </c>
      <c r="C91" s="332"/>
      <c r="D91" s="332"/>
      <c r="E91" s="332"/>
      <c r="F91" s="332"/>
    </row>
    <row r="92" spans="1:6">
      <c r="A92" s="1301" t="s">
        <v>68</v>
      </c>
      <c r="B92" s="1302">
        <v>548.67506643687295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5266</v>
      </c>
      <c r="C97" s="332"/>
      <c r="D97" s="332"/>
      <c r="E97" s="332"/>
      <c r="F97" s="332"/>
    </row>
    <row r="98" spans="1:6">
      <c r="A98" s="1306" t="s">
        <v>71</v>
      </c>
      <c r="B98" s="1307">
        <v>0</v>
      </c>
      <c r="C98" s="332"/>
      <c r="D98" s="332"/>
      <c r="E98" s="332"/>
      <c r="F98" s="332"/>
    </row>
    <row r="99" spans="1:6">
      <c r="A99" s="1306" t="s">
        <v>72</v>
      </c>
      <c r="B99" s="1307">
        <v>87</v>
      </c>
      <c r="C99" s="332"/>
      <c r="D99" s="332"/>
      <c r="E99" s="332"/>
      <c r="F99" s="332"/>
    </row>
    <row r="100" spans="1:6">
      <c r="A100" s="1306" t="s">
        <v>73</v>
      </c>
      <c r="B100" s="1307">
        <v>1499</v>
      </c>
      <c r="C100" s="332"/>
      <c r="D100" s="332"/>
      <c r="E100" s="332"/>
      <c r="F100" s="332"/>
    </row>
    <row r="101" spans="1:6">
      <c r="A101" s="1306" t="s">
        <v>74</v>
      </c>
      <c r="B101" s="1307">
        <v>72</v>
      </c>
      <c r="C101" s="332"/>
      <c r="D101" s="332"/>
      <c r="E101" s="332"/>
      <c r="F101" s="332"/>
    </row>
    <row r="102" spans="1:6">
      <c r="A102" s="1306" t="s">
        <v>75</v>
      </c>
      <c r="B102" s="1307">
        <v>190</v>
      </c>
      <c r="C102" s="332"/>
      <c r="D102" s="332"/>
      <c r="E102" s="332"/>
      <c r="F102" s="332"/>
    </row>
    <row r="103" spans="1:6">
      <c r="A103" s="1306" t="s">
        <v>76</v>
      </c>
      <c r="B103" s="1307">
        <v>69</v>
      </c>
      <c r="C103" s="332"/>
      <c r="D103" s="332"/>
      <c r="E103" s="332"/>
      <c r="F103" s="332"/>
    </row>
    <row r="104" spans="1:6">
      <c r="A104" s="1306" t="s">
        <v>77</v>
      </c>
      <c r="B104" s="1307">
        <v>1638</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26</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124</v>
      </c>
      <c r="C129" s="332"/>
      <c r="D129" s="332"/>
      <c r="E129" s="332"/>
      <c r="F129" s="332"/>
    </row>
    <row r="130" spans="1:6">
      <c r="A130" s="1306" t="s">
        <v>294</v>
      </c>
      <c r="B130" s="1307">
        <v>4</v>
      </c>
      <c r="C130" s="332"/>
      <c r="D130" s="332"/>
      <c r="E130" s="332"/>
      <c r="F130" s="332"/>
    </row>
    <row r="131" spans="1:6">
      <c r="A131" s="1306" t="s">
        <v>295</v>
      </c>
      <c r="B131" s="1307">
        <v>2</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127952.79348066084</v>
      </c>
      <c r="C3" s="43" t="s">
        <v>169</v>
      </c>
      <c r="D3" s="43"/>
      <c r="E3" s="156"/>
      <c r="F3" s="43"/>
      <c r="G3" s="43"/>
      <c r="H3" s="43"/>
      <c r="I3" s="43"/>
      <c r="J3" s="43"/>
      <c r="K3" s="96"/>
    </row>
    <row r="4" spans="1:11">
      <c r="A4" s="363" t="s">
        <v>170</v>
      </c>
      <c r="B4" s="49">
        <f>IF(ISERROR('SEAP template'!B78+'SEAP template'!C78),0,'SEAP template'!B78+'SEAP template'!C78)</f>
        <v>3132.6436061219656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5.8817647058823539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0.2156352677923298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8.4025210084033635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35.357142857142861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3138.5709999999999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3138.5709999999999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0.2156352677923298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676.7865980702403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56759.6675145513</v>
      </c>
      <c r="C5" s="17">
        <f>IF(ISERROR('Eigen informatie GS &amp; warmtenet'!B57),0,'Eigen informatie GS &amp; warmtenet'!B57)</f>
        <v>0</v>
      </c>
      <c r="D5" s="30">
        <f>(SUM(HH_hh_gas_kWh,HH_rest_gas_kWh)/1000)*0.902</f>
        <v>142743.21843057848</v>
      </c>
      <c r="E5" s="17">
        <f>B46*B57</f>
        <v>0</v>
      </c>
      <c r="F5" s="17">
        <f>B51*B62</f>
        <v>0</v>
      </c>
      <c r="G5" s="18"/>
      <c r="H5" s="17"/>
      <c r="I5" s="17"/>
      <c r="J5" s="17">
        <f>B50*B61+C50*C61</f>
        <v>0</v>
      </c>
      <c r="K5" s="17"/>
      <c r="L5" s="17"/>
      <c r="M5" s="17"/>
      <c r="N5" s="17">
        <f>B48*B59+C48*C59</f>
        <v>0</v>
      </c>
      <c r="O5" s="17">
        <f>B69*B70*B71</f>
        <v>237.62666666666667</v>
      </c>
      <c r="P5" s="17">
        <f>B77*B78*B79/1000-B77*B78*B79/1000/B80</f>
        <v>286</v>
      </c>
    </row>
    <row r="6" spans="1:16">
      <c r="A6" s="16" t="s">
        <v>633</v>
      </c>
      <c r="B6" s="779">
        <f>kWh_PV_kleiner_dan_10kW</f>
        <v>2559.2185396850928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59318.886054236391</v>
      </c>
      <c r="C8" s="21">
        <f>C5</f>
        <v>0</v>
      </c>
      <c r="D8" s="21">
        <f>D5</f>
        <v>142743.21843057848</v>
      </c>
      <c r="E8" s="21">
        <f>E5</f>
        <v>0</v>
      </c>
      <c r="F8" s="21">
        <f>F5</f>
        <v>0</v>
      </c>
      <c r="G8" s="21"/>
      <c r="H8" s="21"/>
      <c r="I8" s="21"/>
      <c r="J8" s="21">
        <f>J5</f>
        <v>0</v>
      </c>
      <c r="K8" s="21"/>
      <c r="L8" s="21">
        <f>L5</f>
        <v>0</v>
      </c>
      <c r="M8" s="21">
        <f>M5</f>
        <v>0</v>
      </c>
      <c r="N8" s="21">
        <f>N5</f>
        <v>0</v>
      </c>
      <c r="O8" s="21">
        <f>O5</f>
        <v>237.62666666666667</v>
      </c>
      <c r="P8" s="21">
        <f>P5</f>
        <v>286</v>
      </c>
    </row>
    <row r="9" spans="1:16">
      <c r="B9" s="19"/>
      <c r="C9" s="19"/>
      <c r="D9" s="261"/>
      <c r="E9" s="19"/>
      <c r="F9" s="19"/>
      <c r="G9" s="19"/>
      <c r="H9" s="19"/>
      <c r="I9" s="19"/>
      <c r="J9" s="19"/>
      <c r="K9" s="19"/>
      <c r="L9" s="19"/>
      <c r="M9" s="19"/>
      <c r="N9" s="19"/>
      <c r="O9" s="19"/>
      <c r="P9" s="19"/>
    </row>
    <row r="10" spans="1:16">
      <c r="A10" s="24" t="s">
        <v>213</v>
      </c>
      <c r="B10" s="25">
        <f ca="1">'EF ele_warmte'!B12</f>
        <v>0.2156352677923298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12791.243879447962</v>
      </c>
      <c r="C12" s="23">
        <f ca="1">C10*C8</f>
        <v>0</v>
      </c>
      <c r="D12" s="23">
        <f>D8*D10</f>
        <v>28834.130122976854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5266</v>
      </c>
      <c r="C18" s="168" t="s">
        <v>110</v>
      </c>
      <c r="D18" s="230"/>
      <c r="E18" s="15"/>
    </row>
    <row r="19" spans="1:7">
      <c r="A19" s="173" t="s">
        <v>71</v>
      </c>
      <c r="B19" s="37">
        <f>aantalw2001_ander</f>
        <v>0</v>
      </c>
      <c r="C19" s="168" t="s">
        <v>110</v>
      </c>
      <c r="D19" s="231"/>
      <c r="E19" s="15"/>
    </row>
    <row r="20" spans="1:7">
      <c r="A20" s="173" t="s">
        <v>72</v>
      </c>
      <c r="B20" s="37">
        <f>aantalw2001_propaan</f>
        <v>87</v>
      </c>
      <c r="C20" s="169">
        <f>IF(ISERROR(B20/SUM($B$20,$B$21,$B$22)*100),0,B20/SUM($B$20,$B$21,$B$22)*100)</f>
        <v>5.2472858866103742</v>
      </c>
      <c r="D20" s="231"/>
      <c r="E20" s="15"/>
    </row>
    <row r="21" spans="1:7">
      <c r="A21" s="173" t="s">
        <v>73</v>
      </c>
      <c r="B21" s="37">
        <f>aantalw2001_elektriciteit</f>
        <v>1499</v>
      </c>
      <c r="C21" s="169">
        <f>IF(ISERROR(B21/SUM($B$20,$B$21,$B$22)*100),0,B21/SUM($B$20,$B$21,$B$22)*100)</f>
        <v>90.410132689987933</v>
      </c>
      <c r="D21" s="231"/>
      <c r="E21" s="15"/>
    </row>
    <row r="22" spans="1:7">
      <c r="A22" s="173" t="s">
        <v>74</v>
      </c>
      <c r="B22" s="37">
        <f>aantalw2001_hout</f>
        <v>72</v>
      </c>
      <c r="C22" s="169">
        <f>IF(ISERROR(B22/SUM($B$20,$B$21,$B$22)*100),0,B22/SUM($B$20,$B$21,$B$22)*100)</f>
        <v>4.3425814234016888</v>
      </c>
      <c r="D22" s="231"/>
      <c r="E22" s="15"/>
    </row>
    <row r="23" spans="1:7">
      <c r="A23" s="173" t="s">
        <v>75</v>
      </c>
      <c r="B23" s="37">
        <f>aantalw2001_niet_gespec</f>
        <v>190</v>
      </c>
      <c r="C23" s="168" t="s">
        <v>110</v>
      </c>
      <c r="D23" s="230"/>
      <c r="E23" s="15"/>
    </row>
    <row r="24" spans="1:7">
      <c r="A24" s="173" t="s">
        <v>76</v>
      </c>
      <c r="B24" s="37">
        <f>aantalw2001_steenkool</f>
        <v>69</v>
      </c>
      <c r="C24" s="168" t="s">
        <v>110</v>
      </c>
      <c r="D24" s="231"/>
      <c r="E24" s="15"/>
    </row>
    <row r="25" spans="1:7">
      <c r="A25" s="173" t="s">
        <v>77</v>
      </c>
      <c r="B25" s="37">
        <f>aantalw2001_stookolie</f>
        <v>1638</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11075</v>
      </c>
      <c r="C28" s="36"/>
      <c r="D28" s="230"/>
    </row>
    <row r="29" spans="1:7" s="15" customFormat="1">
      <c r="A29" s="232" t="s">
        <v>743</v>
      </c>
      <c r="B29" s="37">
        <f>SUM(HH_hh_gas_aantal,HH_rest_gas_aantal)</f>
        <v>12606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12606</v>
      </c>
      <c r="C32" s="169">
        <f>IF(ISERROR(B32/SUM($B$32,$B$34,$B$35,$B$36,$B$38,$B$39)*100),0,B32/SUM($B$32,$B$34,$B$35,$B$36,$B$38,$B$39)*100)</f>
        <v>100</v>
      </c>
      <c r="D32" s="235"/>
      <c r="G32" s="15"/>
    </row>
    <row r="33" spans="1:7">
      <c r="A33" s="173" t="s">
        <v>71</v>
      </c>
      <c r="B33" s="34" t="s">
        <v>110</v>
      </c>
      <c r="C33" s="169"/>
      <c r="D33" s="235"/>
      <c r="G33" s="15"/>
    </row>
    <row r="34" spans="1:7">
      <c r="A34" s="173" t="s">
        <v>72</v>
      </c>
      <c r="B34" s="33">
        <f>IF((($B$28-$B$32-$B$39-$B$77-$B$38)*C20/100)&lt;0,0,($B$28-$B$32-$B$39-$B$77-$B$38)*C20/100)</f>
        <v>0</v>
      </c>
      <c r="C34" s="169">
        <f>IF(ISERROR(B34/SUM($B$32,$B$34,$B$35,$B$36,$B$38,$B$39)*100),0,B34/SUM($B$32,$B$34,$B$35,$B$36,$B$38,$B$39)*100)</f>
        <v>0</v>
      </c>
      <c r="D34" s="235"/>
      <c r="G34" s="15"/>
    </row>
    <row r="35" spans="1:7">
      <c r="A35" s="173" t="s">
        <v>73</v>
      </c>
      <c r="B35" s="33">
        <f>IF((($B$28-$B$32-$B$39-$B$77-$B$38)*C21/100)&lt;0,0,($B$28-$B$32-$B$39-$B$77-$B$38)*C21/100)</f>
        <v>0</v>
      </c>
      <c r="C35" s="169">
        <f>IF(ISERROR(B35/SUM($B$32,$B$34,$B$35,$B$36,$B$38,$B$39)*100),0,B35/SUM($B$32,$B$34,$B$35,$B$36,$B$38,$B$39)*100)</f>
        <v>0</v>
      </c>
      <c r="D35" s="235"/>
      <c r="G35" s="15"/>
    </row>
    <row r="36" spans="1:7">
      <c r="A36" s="173" t="s">
        <v>74</v>
      </c>
      <c r="B36" s="33">
        <f>IF((($B$28-$B$32-$B$39-$B$77-$B$38)*C22/100)&lt;0,0,($B$28-$B$32-$B$39-$B$77-$B$38)*C22/100)</f>
        <v>0</v>
      </c>
      <c r="C36" s="169">
        <f>IF(ISERROR(B36/SUM($B$32,$B$34,$B$35,$B$36,$B$38,$B$39)*100),0,B36/SUM($B$32,$B$34,$B$35,$B$36,$B$38,$B$39)*100)</f>
        <v>0</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12606</v>
      </c>
      <c r="C44" s="34" t="s">
        <v>110</v>
      </c>
      <c r="D44" s="176"/>
    </row>
    <row r="45" spans="1:7">
      <c r="A45" s="173" t="s">
        <v>71</v>
      </c>
      <c r="B45" s="33" t="str">
        <f t="shared" si="0"/>
        <v>-</v>
      </c>
      <c r="C45" s="34" t="s">
        <v>110</v>
      </c>
      <c r="D45" s="176"/>
    </row>
    <row r="46" spans="1:7">
      <c r="A46" s="173" t="s">
        <v>72</v>
      </c>
      <c r="B46" s="33">
        <f t="shared" si="0"/>
        <v>0</v>
      </c>
      <c r="C46" s="34" t="s">
        <v>110</v>
      </c>
      <c r="D46" s="176"/>
    </row>
    <row r="47" spans="1:7">
      <c r="A47" s="173" t="s">
        <v>73</v>
      </c>
      <c r="B47" s="33">
        <f t="shared" si="0"/>
        <v>0</v>
      </c>
      <c r="C47" s="34" t="s">
        <v>110</v>
      </c>
      <c r="D47" s="176"/>
    </row>
    <row r="48" spans="1:7">
      <c r="A48" s="173" t="s">
        <v>74</v>
      </c>
      <c r="B48" s="33">
        <f t="shared" si="0"/>
        <v>0</v>
      </c>
      <c r="C48" s="33">
        <f>B48*10</f>
        <v>0</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50127.381799626324</v>
      </c>
      <c r="C5" s="17">
        <f>IF(ISERROR('Eigen informatie GS &amp; warmtenet'!B58),0,'Eigen informatie GS &amp; warmtenet'!B58)</f>
        <v>0</v>
      </c>
      <c r="D5" s="30">
        <f>SUM(D6:D12)</f>
        <v>73295.368486954292</v>
      </c>
      <c r="E5" s="17">
        <f>SUM(E6:E12)</f>
        <v>1030.2527977516179</v>
      </c>
      <c r="F5" s="17">
        <f>SUM(F6:F12)</f>
        <v>11110.481586687491</v>
      </c>
      <c r="G5" s="18"/>
      <c r="H5" s="17"/>
      <c r="I5" s="17"/>
      <c r="J5" s="17">
        <f>SUM(J6:J12)</f>
        <v>0</v>
      </c>
      <c r="K5" s="17"/>
      <c r="L5" s="17"/>
      <c r="M5" s="17"/>
      <c r="N5" s="17">
        <f>SUM(N6:N12)</f>
        <v>5928.2762297793261</v>
      </c>
      <c r="O5" s="17">
        <f>B38*B39*B40</f>
        <v>6.2533333333333339</v>
      </c>
      <c r="P5" s="17">
        <f>B46*B47*B48/1000-B46*B47*B48/1000/B49</f>
        <v>38.133333333333333</v>
      </c>
      <c r="R5" s="32"/>
    </row>
    <row r="6" spans="1:18">
      <c r="A6" s="32" t="s">
        <v>53</v>
      </c>
      <c r="B6" s="37">
        <f>B26</f>
        <v>14431.9166672348</v>
      </c>
      <c r="C6" s="33"/>
      <c r="D6" s="37">
        <f>IF(ISERROR(TER_kantoor_gas_kWh/1000),0,TER_kantoor_gas_kWh/1000)*0.902</f>
        <v>27123.26562460139</v>
      </c>
      <c r="E6" s="33">
        <f>$C$26*'E Balans VL '!I12/100/3.6*1000000</f>
        <v>56.071051666988907</v>
      </c>
      <c r="F6" s="33">
        <f>$C$26*('E Balans VL '!L12+'E Balans VL '!N12)/100/3.6*1000000</f>
        <v>2194.9632051144777</v>
      </c>
      <c r="G6" s="34"/>
      <c r="H6" s="33"/>
      <c r="I6" s="33"/>
      <c r="J6" s="33">
        <f>$C$26*('E Balans VL '!D12+'E Balans VL '!E12)/100/3.6*1000000</f>
        <v>0</v>
      </c>
      <c r="K6" s="33"/>
      <c r="L6" s="33"/>
      <c r="M6" s="33"/>
      <c r="N6" s="33">
        <f>$C$26*'E Balans VL '!Y12/100/3.6*1000000</f>
        <v>7.9537149846855622</v>
      </c>
      <c r="O6" s="33"/>
      <c r="P6" s="33"/>
      <c r="R6" s="32"/>
    </row>
    <row r="7" spans="1:18">
      <c r="A7" s="32" t="s">
        <v>52</v>
      </c>
      <c r="B7" s="37">
        <f t="shared" ref="B7:B12" si="0">B27</f>
        <v>13373.6191002785</v>
      </c>
      <c r="C7" s="33"/>
      <c r="D7" s="37">
        <f>IF(ISERROR(TER_horeca_gas_kWh/1000),0,TER_horeca_gas_kWh/1000)*0.902</f>
        <v>25539.409587326052</v>
      </c>
      <c r="E7" s="33">
        <f>$C$27*'E Balans VL '!I9/100/3.6*1000000</f>
        <v>753.33953943203539</v>
      </c>
      <c r="F7" s="33">
        <f>$C$27*('E Balans VL '!L9+'E Balans VL '!N9)/100/3.6*1000000</f>
        <v>3856.1510862895025</v>
      </c>
      <c r="G7" s="34"/>
      <c r="H7" s="33"/>
      <c r="I7" s="33"/>
      <c r="J7" s="33">
        <f>$C$27*('E Balans VL '!D9+'E Balans VL '!E9)/100/3.6*1000000</f>
        <v>0</v>
      </c>
      <c r="K7" s="33"/>
      <c r="L7" s="33"/>
      <c r="M7" s="33"/>
      <c r="N7" s="33">
        <f>$C$27*'E Balans VL '!Y9/100/3.6*1000000</f>
        <v>3.6923867377233965</v>
      </c>
      <c r="O7" s="33"/>
      <c r="P7" s="33"/>
      <c r="R7" s="32"/>
    </row>
    <row r="8" spans="1:18">
      <c r="A8" s="6" t="s">
        <v>51</v>
      </c>
      <c r="B8" s="37">
        <f t="shared" si="0"/>
        <v>10703.1420904647</v>
      </c>
      <c r="C8" s="33"/>
      <c r="D8" s="37">
        <f>IF(ISERROR(TER_handel_gas_kWh/1000),0,TER_handel_gas_kWh/1000)*0.902</f>
        <v>6304.3750561518336</v>
      </c>
      <c r="E8" s="33">
        <f>$C$28*'E Balans VL '!I13/100/3.6*1000000</f>
        <v>154.26858967253369</v>
      </c>
      <c r="F8" s="33">
        <f>$C$28*('E Balans VL '!L13+'E Balans VL '!N13)/100/3.6*1000000</f>
        <v>1859.3850404732696</v>
      </c>
      <c r="G8" s="34"/>
      <c r="H8" s="33"/>
      <c r="I8" s="33"/>
      <c r="J8" s="33">
        <f>$C$28*('E Balans VL '!D13+'E Balans VL '!E13)/100/3.6*1000000</f>
        <v>0</v>
      </c>
      <c r="K8" s="33"/>
      <c r="L8" s="33"/>
      <c r="M8" s="33"/>
      <c r="N8" s="33">
        <f>$C$28*'E Balans VL '!Y13/100/3.6*1000000</f>
        <v>32.067805201354794</v>
      </c>
      <c r="O8" s="33"/>
      <c r="P8" s="33"/>
      <c r="R8" s="32"/>
    </row>
    <row r="9" spans="1:18">
      <c r="A9" s="32" t="s">
        <v>50</v>
      </c>
      <c r="B9" s="37">
        <f t="shared" si="0"/>
        <v>574.22067560387302</v>
      </c>
      <c r="C9" s="33"/>
      <c r="D9" s="37">
        <f>IF(ISERROR(TER_gezond_gas_kWh/1000),0,TER_gezond_gas_kWh/1000)*0.902</f>
        <v>1080.2658169011227</v>
      </c>
      <c r="E9" s="33">
        <f>$C$29*'E Balans VL '!I10/100/3.6*1000000</f>
        <v>0.61341651407835129</v>
      </c>
      <c r="F9" s="33">
        <f>$C$29*('E Balans VL '!L10+'E Balans VL '!N10)/100/3.6*1000000</f>
        <v>93.672843412184548</v>
      </c>
      <c r="G9" s="34"/>
      <c r="H9" s="33"/>
      <c r="I9" s="33"/>
      <c r="J9" s="33">
        <f>$C$29*('E Balans VL '!D10+'E Balans VL '!E10)/100/3.6*1000000</f>
        <v>0</v>
      </c>
      <c r="K9" s="33"/>
      <c r="L9" s="33"/>
      <c r="M9" s="33"/>
      <c r="N9" s="33">
        <f>$C$29*'E Balans VL '!Y10/100/3.6*1000000</f>
        <v>5.9112742115609684</v>
      </c>
      <c r="O9" s="33"/>
      <c r="P9" s="33"/>
      <c r="R9" s="32"/>
    </row>
    <row r="10" spans="1:18">
      <c r="A10" s="32" t="s">
        <v>49</v>
      </c>
      <c r="B10" s="37">
        <f t="shared" si="0"/>
        <v>8184.2123312406593</v>
      </c>
      <c r="C10" s="33"/>
      <c r="D10" s="37">
        <f>IF(ISERROR(TER_ander_gas_kWh/1000),0,TER_ander_gas_kWh/1000)*0.902</f>
        <v>2745.8898468685488</v>
      </c>
      <c r="E10" s="33">
        <f>$C$30*'E Balans VL '!I14/100/3.6*1000000</f>
        <v>37.637947600265925</v>
      </c>
      <c r="F10" s="33">
        <f>$C$30*('E Balans VL '!L14+'E Balans VL '!N14)/100/3.6*1000000</f>
        <v>2453.0665889321281</v>
      </c>
      <c r="G10" s="34"/>
      <c r="H10" s="33"/>
      <c r="I10" s="33"/>
      <c r="J10" s="33">
        <f>$C$30*('E Balans VL '!D14+'E Balans VL '!E14)/100/3.6*1000000</f>
        <v>0</v>
      </c>
      <c r="K10" s="33"/>
      <c r="L10" s="33"/>
      <c r="M10" s="33"/>
      <c r="N10" s="33">
        <f>$C$30*'E Balans VL '!Y14/100/3.6*1000000</f>
        <v>5696.7520286905701</v>
      </c>
      <c r="O10" s="33"/>
      <c r="P10" s="33"/>
      <c r="R10" s="32"/>
    </row>
    <row r="11" spans="1:18">
      <c r="A11" s="32" t="s">
        <v>54</v>
      </c>
      <c r="B11" s="37">
        <f t="shared" si="0"/>
        <v>568.78100155776599</v>
      </c>
      <c r="C11" s="33"/>
      <c r="D11" s="37">
        <f>IF(ISERROR(TER_onderwijs_gas_kWh/1000),0,TER_onderwijs_gas_kWh/1000)*0.902</f>
        <v>729.54993877563038</v>
      </c>
      <c r="E11" s="33">
        <f>$C$31*'E Balans VL '!I11/100/3.6*1000000</f>
        <v>0.52761917863941965</v>
      </c>
      <c r="F11" s="33">
        <f>$C$31*('E Balans VL '!L11+'E Balans VL '!N11)/100/3.6*1000000</f>
        <v>199.799693355785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2291.48993324603</v>
      </c>
      <c r="C12" s="33"/>
      <c r="D12" s="37">
        <f>IF(ISERROR(TER_rest_gas_kWh/1000),0,TER_rest_gas_kWh/1000)*0.902</f>
        <v>9772.6126163297104</v>
      </c>
      <c r="E12" s="33">
        <f>$C$32*'E Balans VL '!I8/100/3.6*1000000</f>
        <v>27.794633687076313</v>
      </c>
      <c r="F12" s="33">
        <f>$C$32*('E Balans VL '!L8+'E Balans VL '!N8)/100/3.6*1000000</f>
        <v>453.44312911014441</v>
      </c>
      <c r="G12" s="34"/>
      <c r="H12" s="33"/>
      <c r="I12" s="33"/>
      <c r="J12" s="33">
        <f>$C$32*('E Balans VL '!D8+'E Balans VL '!E8)/100/3.6*1000000</f>
        <v>0</v>
      </c>
      <c r="K12" s="33"/>
      <c r="L12" s="33"/>
      <c r="M12" s="33"/>
      <c r="N12" s="33">
        <f>$C$32*'E Balans VL '!Y8/100/3.6*1000000</f>
        <v>181.89901995343089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50127.381799626324</v>
      </c>
      <c r="C16" s="21">
        <f t="shared" ca="1" si="1"/>
        <v>0</v>
      </c>
      <c r="D16" s="21">
        <f t="shared" ca="1" si="1"/>
        <v>73295.368486954292</v>
      </c>
      <c r="E16" s="21">
        <f t="shared" si="1"/>
        <v>1030.2527977516179</v>
      </c>
      <c r="F16" s="21">
        <f t="shared" ca="1" si="1"/>
        <v>11110.481586687491</v>
      </c>
      <c r="G16" s="21">
        <f t="shared" si="1"/>
        <v>0</v>
      </c>
      <c r="H16" s="21">
        <f t="shared" si="1"/>
        <v>0</v>
      </c>
      <c r="I16" s="21">
        <f t="shared" si="1"/>
        <v>0</v>
      </c>
      <c r="J16" s="21">
        <f t="shared" si="1"/>
        <v>0</v>
      </c>
      <c r="K16" s="21">
        <f t="shared" si="1"/>
        <v>0</v>
      </c>
      <c r="L16" s="21">
        <f t="shared" ca="1" si="1"/>
        <v>0</v>
      </c>
      <c r="M16" s="21">
        <f t="shared" si="1"/>
        <v>0</v>
      </c>
      <c r="N16" s="21">
        <f t="shared" ca="1" si="1"/>
        <v>5928.2762297793261</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0.2156352677923298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10809.231398090782</v>
      </c>
      <c r="C20" s="23">
        <f t="shared" ref="C20:P20" ca="1" si="2">C16*C18</f>
        <v>0</v>
      </c>
      <c r="D20" s="23">
        <f t="shared" ca="1" si="2"/>
        <v>14805.664434364768</v>
      </c>
      <c r="E20" s="23">
        <f t="shared" si="2"/>
        <v>233.86738508961727</v>
      </c>
      <c r="F20" s="23">
        <f t="shared" ca="1" si="2"/>
        <v>2966.4985836455603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14431.9166672348</v>
      </c>
      <c r="C26" s="39">
        <f>IF(ISERROR(B26*3.6/1000000/'E Balans VL '!Z12*100),0,B26*3.6/1000000/'E Balans VL '!Z12*100)</f>
        <v>0.30654105865427328</v>
      </c>
      <c r="D26" s="239" t="s">
        <v>689</v>
      </c>
      <c r="F26" s="6"/>
    </row>
    <row r="27" spans="1:18">
      <c r="A27" s="233" t="s">
        <v>52</v>
      </c>
      <c r="B27" s="33">
        <f>IF(ISERROR(TER_horeca_ele_kWh/1000),0,TER_horeca_ele_kWh/1000)</f>
        <v>13373.6191002785</v>
      </c>
      <c r="C27" s="39">
        <f>IF(ISERROR(B27*3.6/1000000/'E Balans VL '!Z9*100),0,B27*3.6/1000000/'E Balans VL '!Z9*100)</f>
        <v>1.0398803314340721</v>
      </c>
      <c r="D27" s="239" t="s">
        <v>689</v>
      </c>
      <c r="F27" s="6"/>
    </row>
    <row r="28" spans="1:18">
      <c r="A28" s="173" t="s">
        <v>51</v>
      </c>
      <c r="B28" s="33">
        <f>IF(ISERROR(TER_handel_ele_kWh/1000),0,TER_handel_ele_kWh/1000)</f>
        <v>10703.1420904647</v>
      </c>
      <c r="C28" s="39">
        <f>IF(ISERROR(B28*3.6/1000000/'E Balans VL '!Z13*100),0,B28*3.6/1000000/'E Balans VL '!Z13*100)</f>
        <v>0.30622949154635981</v>
      </c>
      <c r="D28" s="239" t="s">
        <v>689</v>
      </c>
      <c r="F28" s="6"/>
    </row>
    <row r="29" spans="1:18">
      <c r="A29" s="233" t="s">
        <v>50</v>
      </c>
      <c r="B29" s="33">
        <f>IF(ISERROR(TER_gezond_ele_kWh/1000),0,TER_gezond_ele_kWh/1000)</f>
        <v>574.22067560387302</v>
      </c>
      <c r="C29" s="39">
        <f>IF(ISERROR(B29*3.6/1000000/'E Balans VL '!Z10*100),0,B29*3.6/1000000/'E Balans VL '!Z10*100)</f>
        <v>6.2603396929038282E-2</v>
      </c>
      <c r="D29" s="239" t="s">
        <v>689</v>
      </c>
      <c r="F29" s="6"/>
    </row>
    <row r="30" spans="1:18">
      <c r="A30" s="233" t="s">
        <v>49</v>
      </c>
      <c r="B30" s="33">
        <f>IF(ISERROR(TER_ander_ele_kWh/1000),0,TER_ander_ele_kWh/1000)</f>
        <v>8184.2123312406593</v>
      </c>
      <c r="C30" s="39">
        <f>IF(ISERROR(B30*3.6/1000000/'E Balans VL '!Z14*100),0,B30*3.6/1000000/'E Balans VL '!Z14*100)</f>
        <v>0.59890209295462016</v>
      </c>
      <c r="D30" s="239" t="s">
        <v>689</v>
      </c>
      <c r="F30" s="6"/>
    </row>
    <row r="31" spans="1:18">
      <c r="A31" s="233" t="s">
        <v>54</v>
      </c>
      <c r="B31" s="33">
        <f>IF(ISERROR(TER_onderwijs_ele_kWh/1000),0,TER_onderwijs_ele_kWh/1000)</f>
        <v>568.78100155776599</v>
      </c>
      <c r="C31" s="39">
        <f>IF(ISERROR(B31*3.6/1000000/'E Balans VL '!Z11*100),0,B31*3.6/1000000/'E Balans VL '!Z11*100)</f>
        <v>0.11424008652800238</v>
      </c>
      <c r="D31" s="239" t="s">
        <v>689</v>
      </c>
    </row>
    <row r="32" spans="1:18">
      <c r="A32" s="233" t="s">
        <v>259</v>
      </c>
      <c r="B32" s="33">
        <f>IF(ISERROR(TER_rest_ele_kWh/1000),0,TER_rest_ele_kWh/1000)</f>
        <v>2291.48993324603</v>
      </c>
      <c r="C32" s="39">
        <f>IF(ISERROR(B32*3.6/1000000/'E Balans VL '!Z8*100),0,B32*3.6/1000000/'E Balans VL '!Z8*100)</f>
        <v>1.8674252321371675E-2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4206.3054936184781</v>
      </c>
      <c r="C5" s="17">
        <f>IF(ISERROR('Eigen informatie GS &amp; warmtenet'!B59),0,'Eigen informatie GS &amp; warmtenet'!B59)</f>
        <v>0</v>
      </c>
      <c r="D5" s="30">
        <f>SUM(D6:D15)</f>
        <v>4319.4675192411687</v>
      </c>
      <c r="E5" s="17">
        <f>SUM(E6:E15)</f>
        <v>864.78797025005974</v>
      </c>
      <c r="F5" s="17">
        <f>SUM(F6:F15)</f>
        <v>3562.9392271413376</v>
      </c>
      <c r="G5" s="18"/>
      <c r="H5" s="17"/>
      <c r="I5" s="17"/>
      <c r="J5" s="17">
        <f>SUM(J6:J15)</f>
        <v>0.43158473212028658</v>
      </c>
      <c r="K5" s="17"/>
      <c r="L5" s="17"/>
      <c r="M5" s="17"/>
      <c r="N5" s="17">
        <f>SUM(N6:N15)</f>
        <v>570.01938095781122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116.787259308594</v>
      </c>
      <c r="C8" s="33"/>
      <c r="D8" s="37">
        <f>IF( ISERROR(IND_metaal_Gas_kWH/1000),0,IND_metaal_Gas_kWH/1000)*0.902</f>
        <v>0</v>
      </c>
      <c r="E8" s="33">
        <f>C30*'E Balans VL '!I18/100/3.6*1000000</f>
        <v>3.3545684529362054</v>
      </c>
      <c r="F8" s="33">
        <f>C30*'E Balans VL '!L18/100/3.6*1000000+C30*'E Balans VL '!N18/100/3.6*1000000</f>
        <v>29.953685870861936</v>
      </c>
      <c r="G8" s="34"/>
      <c r="H8" s="33"/>
      <c r="I8" s="33"/>
      <c r="J8" s="40">
        <f>C30*'E Balans VL '!D18/100/3.6*1000000+C30*'E Balans VL '!E18/100/3.6*1000000</f>
        <v>0</v>
      </c>
      <c r="K8" s="33"/>
      <c r="L8" s="33"/>
      <c r="M8" s="33"/>
      <c r="N8" s="33">
        <f>C30*'E Balans VL '!Y18/100/3.6*1000000</f>
        <v>3.1710124868000591</v>
      </c>
      <c r="O8" s="33"/>
      <c r="P8" s="33"/>
      <c r="R8" s="32"/>
    </row>
    <row r="9" spans="1:18">
      <c r="A9" s="6" t="s">
        <v>32</v>
      </c>
      <c r="B9" s="37">
        <f t="shared" si="0"/>
        <v>2822.3537395318999</v>
      </c>
      <c r="C9" s="33"/>
      <c r="D9" s="37">
        <f>IF( ISERROR(IND_andere_gas_kWh/1000),0,IND_andere_gas_kWh/1000)*0.902</f>
        <v>2318.9217361916753</v>
      </c>
      <c r="E9" s="33">
        <f>C31*'E Balans VL '!I19/100/3.6*1000000</f>
        <v>763.94176396573914</v>
      </c>
      <c r="F9" s="33">
        <f>C31*'E Balans VL '!L19/100/3.6*1000000+C31*'E Balans VL '!N19/100/3.6*1000000</f>
        <v>1879.9862579425987</v>
      </c>
      <c r="G9" s="34"/>
      <c r="H9" s="33"/>
      <c r="I9" s="33"/>
      <c r="J9" s="40">
        <f>C31*'E Balans VL '!D19/100/3.6*1000000+C31*'E Balans VL '!E19/100/3.6*1000000</f>
        <v>0</v>
      </c>
      <c r="K9" s="33"/>
      <c r="L9" s="33"/>
      <c r="M9" s="33"/>
      <c r="N9" s="33">
        <f>C31*'E Balans VL '!Y19/100/3.6*1000000</f>
        <v>238.61131271885984</v>
      </c>
      <c r="O9" s="33"/>
      <c r="P9" s="33"/>
      <c r="R9" s="32"/>
    </row>
    <row r="10" spans="1:18">
      <c r="A10" s="6" t="s">
        <v>40</v>
      </c>
      <c r="B10" s="37">
        <f t="shared" si="0"/>
        <v>1081.9796485306199</v>
      </c>
      <c r="C10" s="33"/>
      <c r="D10" s="37">
        <f>IF( ISERROR(IND_voed_gas_kWh/1000),0,IND_voed_gas_kWh/1000)*0.902</f>
        <v>1424.1515894274523</v>
      </c>
      <c r="E10" s="33">
        <f>C32*'E Balans VL '!I20/100/3.6*1000000</f>
        <v>88.248745917716406</v>
      </c>
      <c r="F10" s="33">
        <f>C32*'E Balans VL '!L20/100/3.6*1000000+C32*'E Balans VL '!N20/100/3.6*1000000</f>
        <v>1613.3298217542824</v>
      </c>
      <c r="G10" s="34"/>
      <c r="H10" s="33"/>
      <c r="I10" s="33"/>
      <c r="J10" s="40">
        <f>C32*'E Balans VL '!D20/100/3.6*1000000+C32*'E Balans VL '!E20/100/3.6*1000000</f>
        <v>1.4313277402953102E-2</v>
      </c>
      <c r="K10" s="33"/>
      <c r="L10" s="33"/>
      <c r="M10" s="33"/>
      <c r="N10" s="33">
        <f>C32*'E Balans VL '!Y20/100/3.6*1000000</f>
        <v>317.84744179325344</v>
      </c>
      <c r="O10" s="33"/>
      <c r="P10" s="33"/>
      <c r="R10" s="32"/>
    </row>
    <row r="11" spans="1:18">
      <c r="A11" s="6" t="s">
        <v>39</v>
      </c>
      <c r="B11" s="37">
        <f t="shared" si="0"/>
        <v>7.2022020295568003</v>
      </c>
      <c r="C11" s="33"/>
      <c r="D11" s="37">
        <f>IF( ISERROR(IND_textiel_gas_kWh/1000),0,IND_textiel_gas_kWh/1000)*0.902</f>
        <v>0</v>
      </c>
      <c r="E11" s="33">
        <f>C33*'E Balans VL '!I21/100/3.6*1000000</f>
        <v>1.4276237972212203E-3</v>
      </c>
      <c r="F11" s="33">
        <f>C33*'E Balans VL '!L21/100/3.6*1000000+C33*'E Balans VL '!N21/100/3.6*1000000</f>
        <v>0.26526579023306518</v>
      </c>
      <c r="G11" s="34"/>
      <c r="H11" s="33"/>
      <c r="I11" s="33"/>
      <c r="J11" s="40">
        <f>C33*'E Balans VL '!D21/100/3.6*1000000+C33*'E Balans VL '!E21/100/3.6*1000000</f>
        <v>0</v>
      </c>
      <c r="K11" s="33"/>
      <c r="L11" s="33"/>
      <c r="M11" s="33"/>
      <c r="N11" s="33">
        <f>C33*'E Balans VL '!Y21/100/3.6*1000000</f>
        <v>3.3488421300258739E-2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15.1807648884441</v>
      </c>
      <c r="C13" s="33"/>
      <c r="D13" s="37">
        <f>IF( ISERROR(IND_papier_gas_kWh/1000),0,IND_papier_gas_kWh/1000)*0.902</f>
        <v>110.53557562639007</v>
      </c>
      <c r="E13" s="33">
        <f>C35*'E Balans VL '!I23/100/3.6*1000000</f>
        <v>0.15904616818493605</v>
      </c>
      <c r="F13" s="33">
        <f>C35*'E Balans VL '!L23/100/3.6*1000000+C35*'E Balans VL '!N23/100/3.6*1000000</f>
        <v>1.1327913667060532</v>
      </c>
      <c r="G13" s="34"/>
      <c r="H13" s="33"/>
      <c r="I13" s="33"/>
      <c r="J13" s="40">
        <f>C35*'E Balans VL '!D23/100/3.6*1000000+C35*'E Balans VL '!E23/100/3.6*1000000</f>
        <v>0</v>
      </c>
      <c r="K13" s="33"/>
      <c r="L13" s="33"/>
      <c r="M13" s="33"/>
      <c r="N13" s="33">
        <f>C35*'E Balans VL '!Y23/100/3.6*1000000</f>
        <v>2.8005228761106276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162.801879329364</v>
      </c>
      <c r="C15" s="33"/>
      <c r="D15" s="37">
        <f>IF( ISERROR(IND_rest_gas_kWh/1000),0,IND_rest_gas_kWh/1000)*0.902</f>
        <v>465.85861799565015</v>
      </c>
      <c r="E15" s="33">
        <f>C37*'E Balans VL '!I15/100/3.6*1000000</f>
        <v>9.082418121685965</v>
      </c>
      <c r="F15" s="33">
        <f>C37*'E Balans VL '!L15/100/3.6*1000000+C37*'E Balans VL '!N15/100/3.6*1000000</f>
        <v>38.271404416655471</v>
      </c>
      <c r="G15" s="34"/>
      <c r="H15" s="33"/>
      <c r="I15" s="33"/>
      <c r="J15" s="40">
        <f>C37*'E Balans VL '!D15/100/3.6*1000000+C37*'E Balans VL '!E15/100/3.6*1000000</f>
        <v>0.41727145471733346</v>
      </c>
      <c r="K15" s="33"/>
      <c r="L15" s="33"/>
      <c r="M15" s="33"/>
      <c r="N15" s="33">
        <f>C37*'E Balans VL '!Y15/100/3.6*1000000</f>
        <v>7.5556026614869616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4206.3054936184781</v>
      </c>
      <c r="C18" s="21">
        <f>C5+C16</f>
        <v>0</v>
      </c>
      <c r="D18" s="21">
        <f>MAX((D5+D16),0)</f>
        <v>4319.4675192411687</v>
      </c>
      <c r="E18" s="21">
        <f>MAX((E5+E16),0)</f>
        <v>864.78797025005974</v>
      </c>
      <c r="F18" s="21">
        <f>MAX((F5+F16),0)</f>
        <v>3562.9392271413376</v>
      </c>
      <c r="G18" s="21"/>
      <c r="H18" s="21"/>
      <c r="I18" s="21"/>
      <c r="J18" s="21">
        <f>MAX((J5+J16),0)</f>
        <v>0.43158473212028658</v>
      </c>
      <c r="K18" s="21"/>
      <c r="L18" s="21">
        <f>MAX((L5+L16),0)</f>
        <v>0</v>
      </c>
      <c r="M18" s="21"/>
      <c r="N18" s="21">
        <f>MAX((N5+N16),0)</f>
        <v>570.01938095781122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0.2156352677923298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907.02781153276851</v>
      </c>
      <c r="C22" s="23">
        <f ca="1">C18*C20</f>
        <v>0</v>
      </c>
      <c r="D22" s="23">
        <f>D18*D20</f>
        <v>872.53243888671614</v>
      </c>
      <c r="E22" s="23">
        <f>E18*E20</f>
        <v>196.30686924676357</v>
      </c>
      <c r="F22" s="23">
        <f>F18*F20</f>
        <v>951.3047736467372</v>
      </c>
      <c r="G22" s="23"/>
      <c r="H22" s="23"/>
      <c r="I22" s="23"/>
      <c r="J22" s="23">
        <f>J18*J20</f>
        <v>0.15278099517058144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116.787259308594</v>
      </c>
      <c r="C30" s="39">
        <f>IF(ISERROR(B30*3.6/1000000/'E Balans VL '!Z18*100),0,B30*3.6/1000000/'E Balans VL '!Z18*100)</f>
        <v>1.1491568189850535E-2</v>
      </c>
      <c r="D30" s="239" t="s">
        <v>689</v>
      </c>
    </row>
    <row r="31" spans="1:18">
      <c r="A31" s="6" t="s">
        <v>32</v>
      </c>
      <c r="B31" s="37">
        <f>IF( ISERROR(IND_ander_ele_kWh/1000),0,IND_ander_ele_kWh/1000)</f>
        <v>2822.3537395318999</v>
      </c>
      <c r="C31" s="39">
        <f>IF(ISERROR(B31*3.6/1000000/'E Balans VL '!Z19*100),0,B31*3.6/1000000/'E Balans VL '!Z19*100)</f>
        <v>0.12291125398721367</v>
      </c>
      <c r="D31" s="239" t="s">
        <v>689</v>
      </c>
    </row>
    <row r="32" spans="1:18">
      <c r="A32" s="173" t="s">
        <v>40</v>
      </c>
      <c r="B32" s="37">
        <f>IF( ISERROR(IND_voed_ele_kWh/1000),0,IND_voed_ele_kWh/1000)</f>
        <v>1081.9796485306199</v>
      </c>
      <c r="C32" s="39">
        <f>IF(ISERROR(B32*3.6/1000000/'E Balans VL '!Z20*100),0,B32*3.6/1000000/'E Balans VL '!Z20*100)</f>
        <v>0.20529003446465791</v>
      </c>
      <c r="D32" s="239" t="s">
        <v>689</v>
      </c>
    </row>
    <row r="33" spans="1:5">
      <c r="A33" s="173" t="s">
        <v>39</v>
      </c>
      <c r="B33" s="37">
        <f>IF( ISERROR(IND_textiel_ele_kWh/1000),0,IND_textiel_ele_kWh/1000)</f>
        <v>7.2022020295568003</v>
      </c>
      <c r="C33" s="39">
        <f>IF(ISERROR(B33*3.6/1000000/'E Balans VL '!Z21*100),0,B33*3.6/1000000/'E Balans VL '!Z21*100)</f>
        <v>4.1120921168200927E-4</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15.1807648884441</v>
      </c>
      <c r="C35" s="39">
        <f>IF(ISERROR(B35*3.6/1000000/'E Balans VL '!Z22*100),0,B35*3.6/1000000/'E Balans VL '!Z22*100)</f>
        <v>2.1345679838047364E-3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162.801879329364</v>
      </c>
      <c r="C37" s="39">
        <f>IF(ISERROR(B37*3.6/1000000/'E Balans VL '!Z15*100),0,B37*3.6/1000000/'E Balans VL '!Z15*100)</f>
        <v>1.2545884421584271E-3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1040.8023601056</v>
      </c>
      <c r="C5" s="17">
        <f>'Eigen informatie GS &amp; warmtenet'!B60</f>
        <v>0</v>
      </c>
      <c r="D5" s="30">
        <f>IF(ISERROR(SUM(LB_lb_gas_kWh,LB_rest_gas_kWh)/1000),0,SUM(LB_lb_gas_kWh,LB_rest_gas_kWh)/1000)*0.902</f>
        <v>309.21283952292208</v>
      </c>
      <c r="E5" s="17">
        <f>B17*'E Balans VL '!I25/3.6*1000000/100</f>
        <v>13.115450563387903</v>
      </c>
      <c r="F5" s="17">
        <f>B17*('E Balans VL '!L25/3.6*1000000+'E Balans VL '!N25/3.6*1000000)/100</f>
        <v>3591.0288789351757</v>
      </c>
      <c r="G5" s="18"/>
      <c r="H5" s="17"/>
      <c r="I5" s="17"/>
      <c r="J5" s="17">
        <f>('E Balans VL '!D25+'E Balans VL '!E25)/3.6*1000000*landbouw!B17/100</f>
        <v>156.52484353622236</v>
      </c>
      <c r="K5" s="17"/>
      <c r="L5" s="17">
        <f>L6*(-1)</f>
        <v>0</v>
      </c>
      <c r="M5" s="17"/>
      <c r="N5" s="17">
        <f>N6*(-1)</f>
        <v>0</v>
      </c>
      <c r="O5" s="17"/>
      <c r="P5" s="17"/>
      <c r="R5" s="32"/>
    </row>
    <row r="6" spans="1:18">
      <c r="A6" s="16" t="s">
        <v>496</v>
      </c>
      <c r="B6" s="17" t="s">
        <v>210</v>
      </c>
      <c r="C6" s="17">
        <f>'lokale energieproductie'!O39+'lokale energieproductie'!O32</f>
        <v>35.357142857142861</v>
      </c>
      <c r="D6" s="310">
        <f>('lokale energieproductie'!P32+'lokale energieproductie'!P39)*(-1)</f>
        <v>-70.714285714285722</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1040.8023601056</v>
      </c>
      <c r="C8" s="21">
        <f>C5+C6</f>
        <v>35.357142857142861</v>
      </c>
      <c r="D8" s="21">
        <f>MAX((D5+D6),0)</f>
        <v>238.49855380863636</v>
      </c>
      <c r="E8" s="21">
        <f>MAX((E5+E6),0)</f>
        <v>13.115450563387903</v>
      </c>
      <c r="F8" s="21">
        <f>MAX((F5+F6),0)</f>
        <v>3591.0288789351757</v>
      </c>
      <c r="G8" s="21"/>
      <c r="H8" s="21"/>
      <c r="I8" s="21"/>
      <c r="J8" s="21">
        <f>MAX((J5+J6),0)</f>
        <v>156.52484353622236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0.2156352677923298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224.43369564025994</v>
      </c>
      <c r="C12" s="23">
        <f ca="1">C8*C10</f>
        <v>8.4025210084033635</v>
      </c>
      <c r="D12" s="23">
        <f>D8*D10</f>
        <v>48.176707869344547</v>
      </c>
      <c r="E12" s="23">
        <f>E8*E10</f>
        <v>2.9772072778890539</v>
      </c>
      <c r="F12" s="23">
        <f>F8*F10</f>
        <v>958.80471067569192</v>
      </c>
      <c r="G12" s="23"/>
      <c r="H12" s="23"/>
      <c r="I12" s="23"/>
      <c r="J12" s="23">
        <f>J8*J10</f>
        <v>55.409794611822711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0.14515912504850231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116.50409673198321</v>
      </c>
      <c r="C26" s="249">
        <f>B26*'GWP N2O_CH4'!B5</f>
        <v>2446.5860313716476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78.671810079075257</v>
      </c>
      <c r="C27" s="249">
        <f>B27*'GWP N2O_CH4'!B5</f>
        <v>1652.1080116605804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1.9360822937703477</v>
      </c>
      <c r="C28" s="249">
        <f>B28*'GWP N2O_CH4'!B4</f>
        <v>600.18551106880773</v>
      </c>
      <c r="D28" s="50"/>
    </row>
    <row r="29" spans="1:4">
      <c r="A29" s="41" t="s">
        <v>276</v>
      </c>
      <c r="B29" s="249">
        <f>B34*'ha_N2O bodem landbouw'!B4</f>
        <v>12.985440659379105</v>
      </c>
      <c r="C29" s="249">
        <f>B29*'GWP N2O_CH4'!B4</f>
        <v>4025.4866044075225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3.2423347785024282E-3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1.4874368491977249E-5</v>
      </c>
      <c r="C5" s="444" t="s">
        <v>210</v>
      </c>
      <c r="D5" s="429">
        <f>SUM(D6:D11)</f>
        <v>2.2980783979496295E-5</v>
      </c>
      <c r="E5" s="429">
        <f>SUM(E6:E11)</f>
        <v>8.4561327851145863E-4</v>
      </c>
      <c r="F5" s="442" t="s">
        <v>210</v>
      </c>
      <c r="G5" s="429">
        <f>SUM(G6:G11)</f>
        <v>0.29110700968337072</v>
      </c>
      <c r="H5" s="429">
        <f>SUM(H6:H11)</f>
        <v>4.2421412901374182E-2</v>
      </c>
      <c r="I5" s="444" t="s">
        <v>210</v>
      </c>
      <c r="J5" s="444" t="s">
        <v>210</v>
      </c>
      <c r="K5" s="444" t="s">
        <v>210</v>
      </c>
      <c r="L5" s="444" t="s">
        <v>210</v>
      </c>
      <c r="M5" s="429">
        <f>SUM(M6:M11)</f>
        <v>1.5077518789011424E-2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1.190969553492545E-5</v>
      </c>
      <c r="C6" s="883"/>
      <c r="D6" s="883">
        <f>vkm_GW_PW*SUMIFS(TableVerdeelsleutelVkm[CNG],TableVerdeelsleutelVkm[Voertuigtype],"Lichte voertuigen")*SUMIFS(TableECFTransport[EnergieConsumptieFactor (PJ per km)],TableECFTransport[Index],CONCATENATE($A6,"_CNG_CNG"))</f>
        <v>1.7649814045047509E-5</v>
      </c>
      <c r="E6" s="883">
        <f>vkm_GW_PW*SUMIFS(TableVerdeelsleutelVkm[LPG],TableVerdeelsleutelVkm[Voertuigtype],"Lichte voertuigen")*SUMIFS(TableECFTransport[EnergieConsumptieFactor (PJ per km)],TableECFTransport[Index],CONCATENATE($A6,"_LPG_LPG"))</f>
        <v>6.3215184600332399E-4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0.12722246069663848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3.2500796033534868E-2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7.2257918715883844E-3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8.203807179083801E-2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1.9061008835643122E-6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3.7041469921828669E-3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9.1285484254130007E-7</v>
      </c>
      <c r="C8" s="883"/>
      <c r="D8" s="432">
        <f>vkm_NGW_PW*SUMIFS(TableVerdeelsleutelVkm[CNG],TableVerdeelsleutelVkm[Voertuigtype],"Lichte voertuigen")*SUMIFS(TableECFTransport[EnergieConsumptieFactor (PJ per km)],TableECFTransport[Index],CONCATENATE($A8,"_CNG_CNG"))</f>
        <v>2.2957758028078642E-6</v>
      </c>
      <c r="E8" s="432">
        <f>vkm_NGW_PW*SUMIFS(TableVerdeelsleutelVkm[LPG],TableVerdeelsleutelVkm[Voertuigtype],"Lichte voertuigen")*SUMIFS(TableECFTransport[EnergieConsumptieFactor (PJ per km)],TableECFTransport[Index],CONCATENATE($A8,"_LPG_LPG"))</f>
        <v>7.7750173675038807E-5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1.4863816755551706E-2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4.062250235108038E-3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8.5629710432583985E-4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1.0129745024563348E-3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2.7280131303983851E-8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4.57375506033581E-5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2.0518181145104998E-6</v>
      </c>
      <c r="C10" s="883"/>
      <c r="D10" s="432">
        <f>vkm_SW_PW*SUMIFS(TableVerdeelsleutelVkm[CNG],TableVerdeelsleutelVkm[Voertuigtype],"Lichte voertuigen")*SUMIFS(TableECFTransport[EnergieConsumptieFactor (PJ per km)],TableECFTransport[Index],CONCATENATE($A10,"_CNG_CNG"))</f>
        <v>3.0351941316409225E-6</v>
      </c>
      <c r="E10" s="432">
        <f>vkm_SW_PW*SUMIFS(TableVerdeelsleutelVkm[LPG],TableVerdeelsleutelVkm[Voertuigtype],"Lichte voertuigen")*SUMIFS(TableECFTransport[EnergieConsumptieFactor (PJ per km)],TableECFTransport[Index],CONCATENATE($A10,"_LPG_LPG"))</f>
        <v>1.3571125883309585E-4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2.4759468654972035E-2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5.8554119176354343E-3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1.3848367257751283E-3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4.1210217282914165E-2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1.0213340809653963E-6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1.8607085445358469E-3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4.1317690255492359</v>
      </c>
      <c r="C14" s="21"/>
      <c r="D14" s="21">
        <f t="shared" ref="D14:M14" si="0">((D5)*10^9/3600)+D12</f>
        <v>6.3835511054156377</v>
      </c>
      <c r="E14" s="21">
        <f t="shared" si="0"/>
        <v>234.89257736429408</v>
      </c>
      <c r="F14" s="21"/>
      <c r="G14" s="21">
        <f t="shared" si="0"/>
        <v>80863.058245380758</v>
      </c>
      <c r="H14" s="21">
        <f t="shared" si="0"/>
        <v>11783.725805937273</v>
      </c>
      <c r="I14" s="21"/>
      <c r="J14" s="21"/>
      <c r="K14" s="21"/>
      <c r="L14" s="21"/>
      <c r="M14" s="21">
        <f t="shared" si="0"/>
        <v>4188.1996636142849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0.2156352677923298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0.89095512028036306</v>
      </c>
      <c r="C18" s="23"/>
      <c r="D18" s="23">
        <f t="shared" ref="D18:M18" si="1">D14*D16</f>
        <v>1.2894773232939589</v>
      </c>
      <c r="E18" s="23">
        <f t="shared" si="1"/>
        <v>53.32061506169476</v>
      </c>
      <c r="F18" s="23"/>
      <c r="G18" s="23">
        <f t="shared" si="1"/>
        <v>21590.436551516665</v>
      </c>
      <c r="H18" s="23">
        <f t="shared" si="1"/>
        <v>2934.147725678381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4.7554263642842669E-3</v>
      </c>
      <c r="C50" s="321">
        <f t="shared" ref="C50:P50" si="2">SUM(C51:C52)</f>
        <v>0</v>
      </c>
      <c r="D50" s="321">
        <f t="shared" si="2"/>
        <v>0</v>
      </c>
      <c r="E50" s="321">
        <f t="shared" si="2"/>
        <v>0</v>
      </c>
      <c r="F50" s="321">
        <f t="shared" si="2"/>
        <v>0</v>
      </c>
      <c r="G50" s="321">
        <f t="shared" si="2"/>
        <v>4.5543319378939179E-3</v>
      </c>
      <c r="H50" s="321">
        <f t="shared" si="2"/>
        <v>0</v>
      </c>
      <c r="I50" s="321">
        <f t="shared" si="2"/>
        <v>0</v>
      </c>
      <c r="J50" s="321">
        <f t="shared" si="2"/>
        <v>0</v>
      </c>
      <c r="K50" s="321">
        <f t="shared" si="2"/>
        <v>0</v>
      </c>
      <c r="L50" s="321">
        <f t="shared" si="2"/>
        <v>0</v>
      </c>
      <c r="M50" s="321">
        <f t="shared" si="2"/>
        <v>2.0271708231887401E-4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4.5543319378939179E-3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2.0271708231887401E-4</v>
      </c>
      <c r="N51" s="323"/>
      <c r="O51" s="323"/>
      <c r="P51" s="326"/>
    </row>
    <row r="52" spans="1:18">
      <c r="A52" s="4" t="s">
        <v>329</v>
      </c>
      <c r="B52" s="327">
        <f>vkm_tram*SUMIFS(TableECFTransport[EnergieConsumptieFactor (PJ per km)],TableECFTransport[Index],"Tram_gemiddeld_Electric_Electric")</f>
        <v>4.7554263642842669E-3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1320.9517678567408</v>
      </c>
      <c r="C54" s="21">
        <f t="shared" ref="C54:P54" si="3">(C50)*10^9/3600</f>
        <v>0</v>
      </c>
      <c r="D54" s="21">
        <f t="shared" si="3"/>
        <v>0</v>
      </c>
      <c r="E54" s="21">
        <f t="shared" si="3"/>
        <v>0</v>
      </c>
      <c r="F54" s="21">
        <f t="shared" si="3"/>
        <v>0</v>
      </c>
      <c r="G54" s="21">
        <f t="shared" si="3"/>
        <v>1265.0922049705327</v>
      </c>
      <c r="H54" s="21">
        <f t="shared" si="3"/>
        <v>0</v>
      </c>
      <c r="I54" s="21">
        <f t="shared" si="3"/>
        <v>0</v>
      </c>
      <c r="J54" s="21">
        <f t="shared" si="3"/>
        <v>0</v>
      </c>
      <c r="K54" s="21">
        <f t="shared" si="3"/>
        <v>0</v>
      </c>
      <c r="L54" s="21">
        <f t="shared" si="3"/>
        <v>0</v>
      </c>
      <c r="M54" s="21">
        <f t="shared" si="3"/>
        <v>56.310300644131672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0.2156352677923298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284.84378820253977</v>
      </c>
      <c r="C58" s="23">
        <f t="shared" ref="C58:P58" ca="1" si="4">C54*C56</f>
        <v>0</v>
      </c>
      <c r="D58" s="23">
        <f t="shared" si="4"/>
        <v>0</v>
      </c>
      <c r="E58" s="23">
        <f t="shared" si="4"/>
        <v>0</v>
      </c>
      <c r="F58" s="23">
        <f t="shared" si="4"/>
        <v>0</v>
      </c>
      <c r="G58" s="23">
        <f t="shared" si="4"/>
        <v>337.77961872713229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53265.95279962632</v>
      </c>
      <c r="D10" s="686">
        <f ca="1">tertiair!C16</f>
        <v>0</v>
      </c>
      <c r="E10" s="686">
        <f ca="1">tertiair!D16</f>
        <v>73295.368486954292</v>
      </c>
      <c r="F10" s="686">
        <f>tertiair!E16</f>
        <v>1030.2527977516179</v>
      </c>
      <c r="G10" s="686">
        <f ca="1">tertiair!F16</f>
        <v>11110.481586687491</v>
      </c>
      <c r="H10" s="686">
        <f>tertiair!G16</f>
        <v>0</v>
      </c>
      <c r="I10" s="686">
        <f>tertiair!H16</f>
        <v>0</v>
      </c>
      <c r="J10" s="686">
        <f>tertiair!I16</f>
        <v>0</v>
      </c>
      <c r="K10" s="686">
        <f>tertiair!J16</f>
        <v>0</v>
      </c>
      <c r="L10" s="686">
        <f>tertiair!K16</f>
        <v>0</v>
      </c>
      <c r="M10" s="686">
        <f ca="1">tertiair!L16</f>
        <v>0</v>
      </c>
      <c r="N10" s="686">
        <f>tertiair!M16</f>
        <v>0</v>
      </c>
      <c r="O10" s="686">
        <f ca="1">tertiair!N16</f>
        <v>5928.2762297793261</v>
      </c>
      <c r="P10" s="686">
        <f>tertiair!O16</f>
        <v>6.2533333333333339</v>
      </c>
      <c r="Q10" s="687">
        <f>tertiair!P16</f>
        <v>38.133333333333333</v>
      </c>
      <c r="R10" s="689">
        <f ca="1">SUM(C10:Q10)</f>
        <v>144674.71856746569</v>
      </c>
      <c r="S10" s="67"/>
    </row>
    <row r="11" spans="1:19" s="454" customFormat="1">
      <c r="A11" s="801" t="s">
        <v>224</v>
      </c>
      <c r="B11" s="806"/>
      <c r="C11" s="686">
        <f>huishoudens!B8</f>
        <v>59318.886054236391</v>
      </c>
      <c r="D11" s="686">
        <f>huishoudens!C8</f>
        <v>0</v>
      </c>
      <c r="E11" s="686">
        <f>huishoudens!D8</f>
        <v>142743.21843057848</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237.62666666666667</v>
      </c>
      <c r="Q11" s="687">
        <f>huishoudens!P8</f>
        <v>286</v>
      </c>
      <c r="R11" s="689">
        <f>SUM(C11:Q11)</f>
        <v>202585.73115148154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4206.3054936184781</v>
      </c>
      <c r="D13" s="686">
        <f>industrie!C18</f>
        <v>0</v>
      </c>
      <c r="E13" s="686">
        <f>industrie!D18</f>
        <v>4319.4675192411687</v>
      </c>
      <c r="F13" s="686">
        <f>industrie!E18</f>
        <v>864.78797025005974</v>
      </c>
      <c r="G13" s="686">
        <f>industrie!F18</f>
        <v>3562.9392271413376</v>
      </c>
      <c r="H13" s="686">
        <f>industrie!G18</f>
        <v>0</v>
      </c>
      <c r="I13" s="686">
        <f>industrie!H18</f>
        <v>0</v>
      </c>
      <c r="J13" s="686">
        <f>industrie!I18</f>
        <v>0</v>
      </c>
      <c r="K13" s="686">
        <f>industrie!J18</f>
        <v>0.43158473212028658</v>
      </c>
      <c r="L13" s="686">
        <f>industrie!K18</f>
        <v>0</v>
      </c>
      <c r="M13" s="686">
        <f>industrie!L18</f>
        <v>0</v>
      </c>
      <c r="N13" s="686">
        <f>industrie!M18</f>
        <v>0</v>
      </c>
      <c r="O13" s="686">
        <f>industrie!N18</f>
        <v>570.01938095781122</v>
      </c>
      <c r="P13" s="686">
        <f>industrie!O18</f>
        <v>0</v>
      </c>
      <c r="Q13" s="687">
        <f>industrie!P18</f>
        <v>0</v>
      </c>
      <c r="R13" s="689">
        <f>SUM(C13:Q13)</f>
        <v>13523.951175940974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116791.1443474812</v>
      </c>
      <c r="D16" s="721">
        <f t="shared" ref="D16:R16" ca="1" si="0">SUM(D9:D15)</f>
        <v>0</v>
      </c>
      <c r="E16" s="721">
        <f t="shared" ca="1" si="0"/>
        <v>220358.05443677396</v>
      </c>
      <c r="F16" s="721">
        <f t="shared" si="0"/>
        <v>1895.0407680016776</v>
      </c>
      <c r="G16" s="721">
        <f t="shared" ca="1" si="0"/>
        <v>14673.420813828829</v>
      </c>
      <c r="H16" s="721">
        <f t="shared" si="0"/>
        <v>0</v>
      </c>
      <c r="I16" s="721">
        <f t="shared" si="0"/>
        <v>0</v>
      </c>
      <c r="J16" s="721">
        <f t="shared" si="0"/>
        <v>0</v>
      </c>
      <c r="K16" s="721">
        <f t="shared" si="0"/>
        <v>0.43158473212028658</v>
      </c>
      <c r="L16" s="721">
        <f t="shared" si="0"/>
        <v>0</v>
      </c>
      <c r="M16" s="721">
        <f t="shared" ca="1" si="0"/>
        <v>0</v>
      </c>
      <c r="N16" s="721">
        <f t="shared" si="0"/>
        <v>0</v>
      </c>
      <c r="O16" s="721">
        <f t="shared" ca="1" si="0"/>
        <v>6498.2956107371374</v>
      </c>
      <c r="P16" s="721">
        <f t="shared" si="0"/>
        <v>243.88</v>
      </c>
      <c r="Q16" s="721">
        <f t="shared" si="0"/>
        <v>324.13333333333333</v>
      </c>
      <c r="R16" s="721">
        <f t="shared" ca="1" si="0"/>
        <v>360784.40089488821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1320.9517678567408</v>
      </c>
      <c r="D19" s="686">
        <f>transport!C54</f>
        <v>0</v>
      </c>
      <c r="E19" s="686">
        <f>transport!D54</f>
        <v>0</v>
      </c>
      <c r="F19" s="686">
        <f>transport!E54</f>
        <v>0</v>
      </c>
      <c r="G19" s="686">
        <f>transport!F54</f>
        <v>0</v>
      </c>
      <c r="H19" s="686">
        <f>transport!G54</f>
        <v>1265.0922049705327</v>
      </c>
      <c r="I19" s="686">
        <f>transport!H54</f>
        <v>0</v>
      </c>
      <c r="J19" s="686">
        <f>transport!I54</f>
        <v>0</v>
      </c>
      <c r="K19" s="686">
        <f>transport!J54</f>
        <v>0</v>
      </c>
      <c r="L19" s="686">
        <f>transport!K54</f>
        <v>0</v>
      </c>
      <c r="M19" s="686">
        <f>transport!L54</f>
        <v>0</v>
      </c>
      <c r="N19" s="686">
        <f>transport!M54</f>
        <v>56.310300644131672</v>
      </c>
      <c r="O19" s="686">
        <f>transport!N54</f>
        <v>0</v>
      </c>
      <c r="P19" s="686">
        <f>transport!O54</f>
        <v>0</v>
      </c>
      <c r="Q19" s="687">
        <f>transport!P54</f>
        <v>0</v>
      </c>
      <c r="R19" s="689">
        <f>SUM(C19:Q19)</f>
        <v>2642.3542734714051</v>
      </c>
      <c r="S19" s="67"/>
    </row>
    <row r="20" spans="1:19" s="454" customFormat="1">
      <c r="A20" s="801" t="s">
        <v>306</v>
      </c>
      <c r="B20" s="806"/>
      <c r="C20" s="686">
        <f>transport!B14</f>
        <v>4.1317690255492359</v>
      </c>
      <c r="D20" s="686">
        <f>transport!C14</f>
        <v>0</v>
      </c>
      <c r="E20" s="686">
        <f>transport!D14</f>
        <v>6.3835511054156377</v>
      </c>
      <c r="F20" s="686">
        <f>transport!E14</f>
        <v>234.89257736429408</v>
      </c>
      <c r="G20" s="686">
        <f>transport!F14</f>
        <v>0</v>
      </c>
      <c r="H20" s="686">
        <f>transport!G14</f>
        <v>80863.058245380758</v>
      </c>
      <c r="I20" s="686">
        <f>transport!H14</f>
        <v>11783.725805937273</v>
      </c>
      <c r="J20" s="686">
        <f>transport!I14</f>
        <v>0</v>
      </c>
      <c r="K20" s="686">
        <f>transport!J14</f>
        <v>0</v>
      </c>
      <c r="L20" s="686">
        <f>transport!K14</f>
        <v>0</v>
      </c>
      <c r="M20" s="686">
        <f>transport!L14</f>
        <v>0</v>
      </c>
      <c r="N20" s="686">
        <f>transport!M14</f>
        <v>4188.1996636142849</v>
      </c>
      <c r="O20" s="686">
        <f>transport!N14</f>
        <v>0</v>
      </c>
      <c r="P20" s="686">
        <f>transport!O14</f>
        <v>0</v>
      </c>
      <c r="Q20" s="687">
        <f>transport!P14</f>
        <v>0</v>
      </c>
      <c r="R20" s="689">
        <f>SUM(C20:Q20)</f>
        <v>97080.391612427571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1325.08353688229</v>
      </c>
      <c r="D22" s="804">
        <f t="shared" ref="D22:R22" si="1">SUM(D18:D21)</f>
        <v>0</v>
      </c>
      <c r="E22" s="804">
        <f t="shared" si="1"/>
        <v>6.3835511054156377</v>
      </c>
      <c r="F22" s="804">
        <f t="shared" si="1"/>
        <v>234.89257736429408</v>
      </c>
      <c r="G22" s="804">
        <f t="shared" si="1"/>
        <v>0</v>
      </c>
      <c r="H22" s="804">
        <f t="shared" si="1"/>
        <v>82128.150450351284</v>
      </c>
      <c r="I22" s="804">
        <f t="shared" si="1"/>
        <v>11783.725805937273</v>
      </c>
      <c r="J22" s="804">
        <f t="shared" si="1"/>
        <v>0</v>
      </c>
      <c r="K22" s="804">
        <f t="shared" si="1"/>
        <v>0</v>
      </c>
      <c r="L22" s="804">
        <f t="shared" si="1"/>
        <v>0</v>
      </c>
      <c r="M22" s="804">
        <f t="shared" si="1"/>
        <v>0</v>
      </c>
      <c r="N22" s="804">
        <f t="shared" si="1"/>
        <v>4244.5099642584164</v>
      </c>
      <c r="O22" s="804">
        <f t="shared" si="1"/>
        <v>0</v>
      </c>
      <c r="P22" s="804">
        <f t="shared" si="1"/>
        <v>0</v>
      </c>
      <c r="Q22" s="804">
        <f t="shared" si="1"/>
        <v>0</v>
      </c>
      <c r="R22" s="804">
        <f t="shared" si="1"/>
        <v>99722.74588589897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1040.8023601056</v>
      </c>
      <c r="D24" s="686">
        <f>+landbouw!C8</f>
        <v>35.357142857142861</v>
      </c>
      <c r="E24" s="686">
        <f>+landbouw!D8</f>
        <v>238.49855380863636</v>
      </c>
      <c r="F24" s="686">
        <f>+landbouw!E8</f>
        <v>13.115450563387903</v>
      </c>
      <c r="G24" s="686">
        <f>+landbouw!F8</f>
        <v>3591.0288789351757</v>
      </c>
      <c r="H24" s="686">
        <f>+landbouw!G8</f>
        <v>0</v>
      </c>
      <c r="I24" s="686">
        <f>+landbouw!H8</f>
        <v>0</v>
      </c>
      <c r="J24" s="686">
        <f>+landbouw!I8</f>
        <v>0</v>
      </c>
      <c r="K24" s="686">
        <f>+landbouw!J8</f>
        <v>156.52484353622236</v>
      </c>
      <c r="L24" s="686">
        <f>+landbouw!K8</f>
        <v>0</v>
      </c>
      <c r="M24" s="686">
        <f>+landbouw!L8</f>
        <v>0</v>
      </c>
      <c r="N24" s="686">
        <f>+landbouw!M8</f>
        <v>0</v>
      </c>
      <c r="O24" s="686">
        <f>+landbouw!N8</f>
        <v>0</v>
      </c>
      <c r="P24" s="686">
        <f>+landbouw!O8</f>
        <v>0</v>
      </c>
      <c r="Q24" s="687">
        <f>+landbouw!P8</f>
        <v>0</v>
      </c>
      <c r="R24" s="689">
        <f>SUM(C24:Q24)</f>
        <v>5075.3272298061656</v>
      </c>
      <c r="S24" s="67"/>
    </row>
    <row r="25" spans="1:19" s="454" customFormat="1" ht="15" thickBot="1">
      <c r="A25" s="823" t="s">
        <v>856</v>
      </c>
      <c r="B25" s="991"/>
      <c r="C25" s="992">
        <f>IF(Onbekend_ele_kWh="---",0,Onbekend_ele_kWh)/1000+IF(REST_rest_ele_kWh="---",0,REST_rest_ele_kWh)/1000</f>
        <v>8795.7632361917604</v>
      </c>
      <c r="D25" s="992"/>
      <c r="E25" s="992">
        <f>IF(onbekend_gas_kWh="---",0,onbekend_gas_kWh)/1000+IF(REST_rest_gas_kWh="---",0,REST_rest_gas_kWh)/1000</f>
        <v>13233.862833630801</v>
      </c>
      <c r="F25" s="992"/>
      <c r="G25" s="992"/>
      <c r="H25" s="992"/>
      <c r="I25" s="992"/>
      <c r="J25" s="992"/>
      <c r="K25" s="992"/>
      <c r="L25" s="992"/>
      <c r="M25" s="992"/>
      <c r="N25" s="992"/>
      <c r="O25" s="992"/>
      <c r="P25" s="992"/>
      <c r="Q25" s="993"/>
      <c r="R25" s="689">
        <f>SUM(C25:Q25)</f>
        <v>22029.62606982256</v>
      </c>
      <c r="S25" s="67"/>
    </row>
    <row r="26" spans="1:19" s="454" customFormat="1" ht="15.75" thickBot="1">
      <c r="A26" s="694" t="s">
        <v>857</v>
      </c>
      <c r="B26" s="809"/>
      <c r="C26" s="804">
        <f>SUM(C24:C25)</f>
        <v>9836.5655962973597</v>
      </c>
      <c r="D26" s="804">
        <f t="shared" ref="D26:R26" si="2">SUM(D24:D25)</f>
        <v>35.357142857142861</v>
      </c>
      <c r="E26" s="804">
        <f t="shared" si="2"/>
        <v>13472.361387439438</v>
      </c>
      <c r="F26" s="804">
        <f t="shared" si="2"/>
        <v>13.115450563387903</v>
      </c>
      <c r="G26" s="804">
        <f t="shared" si="2"/>
        <v>3591.0288789351757</v>
      </c>
      <c r="H26" s="804">
        <f t="shared" si="2"/>
        <v>0</v>
      </c>
      <c r="I26" s="804">
        <f t="shared" si="2"/>
        <v>0</v>
      </c>
      <c r="J26" s="804">
        <f t="shared" si="2"/>
        <v>0</v>
      </c>
      <c r="K26" s="804">
        <f t="shared" si="2"/>
        <v>156.52484353622236</v>
      </c>
      <c r="L26" s="804">
        <f t="shared" si="2"/>
        <v>0</v>
      </c>
      <c r="M26" s="804">
        <f t="shared" si="2"/>
        <v>0</v>
      </c>
      <c r="N26" s="804">
        <f t="shared" si="2"/>
        <v>0</v>
      </c>
      <c r="O26" s="804">
        <f t="shared" si="2"/>
        <v>0</v>
      </c>
      <c r="P26" s="804">
        <f t="shared" si="2"/>
        <v>0</v>
      </c>
      <c r="Q26" s="804">
        <f t="shared" si="2"/>
        <v>0</v>
      </c>
      <c r="R26" s="804">
        <f t="shared" si="2"/>
        <v>27104.953299628723</v>
      </c>
      <c r="S26" s="67"/>
    </row>
    <row r="27" spans="1:19" s="454" customFormat="1" ht="17.25" thickTop="1" thickBot="1">
      <c r="A27" s="695" t="s">
        <v>115</v>
      </c>
      <c r="B27" s="796"/>
      <c r="C27" s="696">
        <f ca="1">C22+C16+C26</f>
        <v>127952.79348066084</v>
      </c>
      <c r="D27" s="696">
        <f t="shared" ref="D27:R27" ca="1" si="3">D22+D16+D26</f>
        <v>35.357142857142861</v>
      </c>
      <c r="E27" s="696">
        <f t="shared" ca="1" si="3"/>
        <v>233836.79937531883</v>
      </c>
      <c r="F27" s="696">
        <f t="shared" si="3"/>
        <v>2143.04879592936</v>
      </c>
      <c r="G27" s="696">
        <f t="shared" ca="1" si="3"/>
        <v>18264.449692764003</v>
      </c>
      <c r="H27" s="696">
        <f t="shared" si="3"/>
        <v>82128.150450351284</v>
      </c>
      <c r="I27" s="696">
        <f t="shared" si="3"/>
        <v>11783.725805937273</v>
      </c>
      <c r="J27" s="696">
        <f t="shared" si="3"/>
        <v>0</v>
      </c>
      <c r="K27" s="696">
        <f t="shared" si="3"/>
        <v>156.95642826834265</v>
      </c>
      <c r="L27" s="696">
        <f t="shared" si="3"/>
        <v>0</v>
      </c>
      <c r="M27" s="696">
        <f t="shared" ca="1" si="3"/>
        <v>0</v>
      </c>
      <c r="N27" s="696">
        <f t="shared" si="3"/>
        <v>4244.5099642584164</v>
      </c>
      <c r="O27" s="696">
        <f t="shared" ca="1" si="3"/>
        <v>6498.2956107371374</v>
      </c>
      <c r="P27" s="696">
        <f t="shared" si="3"/>
        <v>243.88</v>
      </c>
      <c r="Q27" s="696">
        <f t="shared" si="3"/>
        <v>324.13333333333333</v>
      </c>
      <c r="R27" s="696">
        <f t="shared" ca="1" si="3"/>
        <v>487612.1000804159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11486.017996161023</v>
      </c>
      <c r="D40" s="686">
        <f ca="1">tertiair!C20</f>
        <v>0</v>
      </c>
      <c r="E40" s="686">
        <f ca="1">tertiair!D20</f>
        <v>14805.664434364768</v>
      </c>
      <c r="F40" s="686">
        <f>tertiair!E20</f>
        <v>233.86738508961727</v>
      </c>
      <c r="G40" s="686">
        <f ca="1">tertiair!F20</f>
        <v>2966.4985836455603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29492.048399260966</v>
      </c>
    </row>
    <row r="41" spans="1:18">
      <c r="A41" s="814" t="s">
        <v>224</v>
      </c>
      <c r="B41" s="821"/>
      <c r="C41" s="686">
        <f ca="1">huishoudens!B12</f>
        <v>12791.243879447962</v>
      </c>
      <c r="D41" s="686">
        <f ca="1">huishoudens!C12</f>
        <v>0</v>
      </c>
      <c r="E41" s="686">
        <f>huishoudens!D12</f>
        <v>28834.130122976854</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41625.374002424818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907.02781153276851</v>
      </c>
      <c r="D43" s="686">
        <f ca="1">industrie!C22</f>
        <v>0</v>
      </c>
      <c r="E43" s="686">
        <f>industrie!D22</f>
        <v>872.53243888671614</v>
      </c>
      <c r="F43" s="686">
        <f>industrie!E22</f>
        <v>196.30686924676357</v>
      </c>
      <c r="G43" s="686">
        <f>industrie!F22</f>
        <v>951.3047736467372</v>
      </c>
      <c r="H43" s="686">
        <f>industrie!G22</f>
        <v>0</v>
      </c>
      <c r="I43" s="686">
        <f>industrie!H22</f>
        <v>0</v>
      </c>
      <c r="J43" s="686">
        <f>industrie!I22</f>
        <v>0</v>
      </c>
      <c r="K43" s="686">
        <f>industrie!J22</f>
        <v>0.15278099517058144</v>
      </c>
      <c r="L43" s="686">
        <f>industrie!K22</f>
        <v>0</v>
      </c>
      <c r="M43" s="686">
        <f>industrie!L22</f>
        <v>0</v>
      </c>
      <c r="N43" s="686">
        <f>industrie!M22</f>
        <v>0</v>
      </c>
      <c r="O43" s="686">
        <f>industrie!N22</f>
        <v>0</v>
      </c>
      <c r="P43" s="686">
        <f>industrie!O22</f>
        <v>0</v>
      </c>
      <c r="Q43" s="763">
        <f>industrie!P22</f>
        <v>0</v>
      </c>
      <c r="R43" s="841">
        <f t="shared" ca="1" si="4"/>
        <v>2927.3246743081559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25184.289687141754</v>
      </c>
      <c r="D46" s="721">
        <f t="shared" ref="D46:Q46" ca="1" si="5">SUM(D39:D45)</f>
        <v>0</v>
      </c>
      <c r="E46" s="721">
        <f t="shared" ca="1" si="5"/>
        <v>44512.326996228338</v>
      </c>
      <c r="F46" s="721">
        <f t="shared" si="5"/>
        <v>430.17425433638084</v>
      </c>
      <c r="G46" s="721">
        <f t="shared" ca="1" si="5"/>
        <v>3917.8033572922977</v>
      </c>
      <c r="H46" s="721">
        <f t="shared" si="5"/>
        <v>0</v>
      </c>
      <c r="I46" s="721">
        <f t="shared" si="5"/>
        <v>0</v>
      </c>
      <c r="J46" s="721">
        <f t="shared" si="5"/>
        <v>0</v>
      </c>
      <c r="K46" s="721">
        <f t="shared" si="5"/>
        <v>0.15278099517058144</v>
      </c>
      <c r="L46" s="721">
        <f t="shared" si="5"/>
        <v>0</v>
      </c>
      <c r="M46" s="721">
        <f t="shared" ca="1" si="5"/>
        <v>0</v>
      </c>
      <c r="N46" s="721">
        <f t="shared" si="5"/>
        <v>0</v>
      </c>
      <c r="O46" s="721">
        <f t="shared" ca="1" si="5"/>
        <v>0</v>
      </c>
      <c r="P46" s="721">
        <f t="shared" si="5"/>
        <v>0</v>
      </c>
      <c r="Q46" s="721">
        <f t="shared" si="5"/>
        <v>0</v>
      </c>
      <c r="R46" s="721">
        <f ca="1">SUM(R39:R45)</f>
        <v>74044.747075993946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284.84378820253977</v>
      </c>
      <c r="D49" s="686">
        <f ca="1">transport!C58</f>
        <v>0</v>
      </c>
      <c r="E49" s="686">
        <f>transport!D58</f>
        <v>0</v>
      </c>
      <c r="F49" s="686">
        <f>transport!E58</f>
        <v>0</v>
      </c>
      <c r="G49" s="686">
        <f>transport!F58</f>
        <v>0</v>
      </c>
      <c r="H49" s="686">
        <f>transport!G58</f>
        <v>337.77961872713229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622.623406929672</v>
      </c>
    </row>
    <row r="50" spans="1:18">
      <c r="A50" s="817" t="s">
        <v>306</v>
      </c>
      <c r="B50" s="827"/>
      <c r="C50" s="692">
        <f ca="1">transport!B18</f>
        <v>0.89095512028036306</v>
      </c>
      <c r="D50" s="692">
        <f>transport!C18</f>
        <v>0</v>
      </c>
      <c r="E50" s="692">
        <f>transport!D18</f>
        <v>1.2894773232939589</v>
      </c>
      <c r="F50" s="692">
        <f>transport!E18</f>
        <v>53.32061506169476</v>
      </c>
      <c r="G50" s="692">
        <f>transport!F18</f>
        <v>0</v>
      </c>
      <c r="H50" s="692">
        <f>transport!G18</f>
        <v>21590.436551516665</v>
      </c>
      <c r="I50" s="692">
        <f>transport!H18</f>
        <v>2934.147725678381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24580.085324700314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285.73474332282012</v>
      </c>
      <c r="D52" s="721">
        <f t="shared" ref="D52:Q52" ca="1" si="6">SUM(D48:D51)</f>
        <v>0</v>
      </c>
      <c r="E52" s="721">
        <f t="shared" si="6"/>
        <v>1.2894773232939589</v>
      </c>
      <c r="F52" s="721">
        <f t="shared" si="6"/>
        <v>53.32061506169476</v>
      </c>
      <c r="G52" s="721">
        <f t="shared" si="6"/>
        <v>0</v>
      </c>
      <c r="H52" s="721">
        <f t="shared" si="6"/>
        <v>21928.216170243795</v>
      </c>
      <c r="I52" s="721">
        <f t="shared" si="6"/>
        <v>2934.147725678381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25202.708731629988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224.43369564025994</v>
      </c>
      <c r="D54" s="692">
        <f ca="1">+landbouw!C12</f>
        <v>8.4025210084033635</v>
      </c>
      <c r="E54" s="692">
        <f>+landbouw!D12</f>
        <v>48.176707869344547</v>
      </c>
      <c r="F54" s="692">
        <f>+landbouw!E12</f>
        <v>2.9772072778890539</v>
      </c>
      <c r="G54" s="692">
        <f>+landbouw!F12</f>
        <v>958.80471067569192</v>
      </c>
      <c r="H54" s="692">
        <f>+landbouw!G12</f>
        <v>0</v>
      </c>
      <c r="I54" s="692">
        <f>+landbouw!H12</f>
        <v>0</v>
      </c>
      <c r="J54" s="692">
        <f>+landbouw!I12</f>
        <v>0</v>
      </c>
      <c r="K54" s="692">
        <f>+landbouw!J12</f>
        <v>55.409794611822711</v>
      </c>
      <c r="L54" s="692">
        <f>+landbouw!K12</f>
        <v>0</v>
      </c>
      <c r="M54" s="692">
        <f>+landbouw!L12</f>
        <v>0</v>
      </c>
      <c r="N54" s="692">
        <f>+landbouw!M12</f>
        <v>0</v>
      </c>
      <c r="O54" s="692">
        <f>+landbouw!N12</f>
        <v>0</v>
      </c>
      <c r="P54" s="692">
        <f>+landbouw!O12</f>
        <v>0</v>
      </c>
      <c r="Q54" s="693">
        <f>+landbouw!P12</f>
        <v>0</v>
      </c>
      <c r="R54" s="720">
        <f ca="1">SUM(C54:Q54)</f>
        <v>1298.2046370834116</v>
      </c>
    </row>
    <row r="55" spans="1:18" ht="15" thickBot="1">
      <c r="A55" s="817" t="s">
        <v>856</v>
      </c>
      <c r="B55" s="827"/>
      <c r="C55" s="692">
        <f ca="1">C25*'EF ele_warmte'!B12</f>
        <v>1896.6767608741397</v>
      </c>
      <c r="D55" s="692"/>
      <c r="E55" s="692">
        <f>E25*EF_CO2_aardgas</f>
        <v>2673.2402923934219</v>
      </c>
      <c r="F55" s="692"/>
      <c r="G55" s="692"/>
      <c r="H55" s="692"/>
      <c r="I55" s="692"/>
      <c r="J55" s="692"/>
      <c r="K55" s="692"/>
      <c r="L55" s="692"/>
      <c r="M55" s="692"/>
      <c r="N55" s="692"/>
      <c r="O55" s="692"/>
      <c r="P55" s="692"/>
      <c r="Q55" s="693"/>
      <c r="R55" s="720">
        <f ca="1">SUM(C55:Q55)</f>
        <v>4569.9170532675616</v>
      </c>
    </row>
    <row r="56" spans="1:18" ht="15.75" thickBot="1">
      <c r="A56" s="815" t="s">
        <v>857</v>
      </c>
      <c r="B56" s="828"/>
      <c r="C56" s="721">
        <f ca="1">SUM(C54:C55)</f>
        <v>2121.1104565143996</v>
      </c>
      <c r="D56" s="721">
        <f t="shared" ref="D56:Q56" ca="1" si="7">SUM(D54:D55)</f>
        <v>8.4025210084033635</v>
      </c>
      <c r="E56" s="721">
        <f t="shared" si="7"/>
        <v>2721.4170002627666</v>
      </c>
      <c r="F56" s="721">
        <f t="shared" si="7"/>
        <v>2.9772072778890539</v>
      </c>
      <c r="G56" s="721">
        <f t="shared" si="7"/>
        <v>958.80471067569192</v>
      </c>
      <c r="H56" s="721">
        <f t="shared" si="7"/>
        <v>0</v>
      </c>
      <c r="I56" s="721">
        <f t="shared" si="7"/>
        <v>0</v>
      </c>
      <c r="J56" s="721">
        <f t="shared" si="7"/>
        <v>0</v>
      </c>
      <c r="K56" s="721">
        <f t="shared" si="7"/>
        <v>55.409794611822711</v>
      </c>
      <c r="L56" s="721">
        <f t="shared" si="7"/>
        <v>0</v>
      </c>
      <c r="M56" s="721">
        <f t="shared" si="7"/>
        <v>0</v>
      </c>
      <c r="N56" s="721">
        <f t="shared" si="7"/>
        <v>0</v>
      </c>
      <c r="O56" s="721">
        <f t="shared" si="7"/>
        <v>0</v>
      </c>
      <c r="P56" s="721">
        <f t="shared" si="7"/>
        <v>0</v>
      </c>
      <c r="Q56" s="722">
        <f t="shared" si="7"/>
        <v>0</v>
      </c>
      <c r="R56" s="723">
        <f ca="1">SUM(R54:R55)</f>
        <v>5868.121690350973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27591.134886978973</v>
      </c>
      <c r="D61" s="729">
        <f t="shared" ref="D61:Q61" ca="1" si="8">D46+D52+D56</f>
        <v>8.4025210084033635</v>
      </c>
      <c r="E61" s="729">
        <f t="shared" ca="1" si="8"/>
        <v>47235.033473814394</v>
      </c>
      <c r="F61" s="729">
        <f t="shared" si="8"/>
        <v>486.47207667596467</v>
      </c>
      <c r="G61" s="729">
        <f t="shared" ca="1" si="8"/>
        <v>4876.6080679679899</v>
      </c>
      <c r="H61" s="729">
        <f t="shared" si="8"/>
        <v>21928.216170243795</v>
      </c>
      <c r="I61" s="729">
        <f t="shared" si="8"/>
        <v>2934.147725678381</v>
      </c>
      <c r="J61" s="729">
        <f t="shared" si="8"/>
        <v>0</v>
      </c>
      <c r="K61" s="729">
        <f t="shared" si="8"/>
        <v>55.562575606993292</v>
      </c>
      <c r="L61" s="729">
        <f t="shared" si="8"/>
        <v>0</v>
      </c>
      <c r="M61" s="729">
        <f t="shared" ca="1" si="8"/>
        <v>0</v>
      </c>
      <c r="N61" s="729">
        <f t="shared" si="8"/>
        <v>0</v>
      </c>
      <c r="O61" s="729">
        <f t="shared" ca="1" si="8"/>
        <v>0</v>
      </c>
      <c r="P61" s="729">
        <f t="shared" si="8"/>
        <v>0</v>
      </c>
      <c r="Q61" s="729">
        <f t="shared" si="8"/>
        <v>0</v>
      </c>
      <c r="R61" s="729">
        <f ca="1">R46+R52+R56</f>
        <v>105115.57749797491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0.2156352677923298</v>
      </c>
      <c r="D63" s="772">
        <f t="shared" ca="1" si="9"/>
        <v>0.23764705882352943</v>
      </c>
      <c r="E63" s="998">
        <f t="shared" ca="1" si="9"/>
        <v>0.20199999999999996</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3107.8936061219656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24.75</v>
      </c>
      <c r="D76" s="1008">
        <f>'lokale energieproductie'!C8</f>
        <v>29.117647058823533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5.8817647058823539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3107.8936061219656</v>
      </c>
      <c r="C78" s="744">
        <f>SUM(C72:C77)</f>
        <v>24.75</v>
      </c>
      <c r="D78" s="745">
        <f t="shared" ref="D78:H78" si="10">SUM(D76:D77)</f>
        <v>29.117647058823533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5.8817647058823539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8.4025210084033635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8.4025210084033635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3107.8936061219656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24.75</v>
      </c>
      <c r="C8" s="556">
        <f>B48</f>
        <v>29.117647058823533</v>
      </c>
      <c r="D8" s="1015"/>
      <c r="E8" s="1015">
        <f>E48</f>
        <v>0</v>
      </c>
      <c r="F8" s="1016"/>
      <c r="G8" s="557"/>
      <c r="H8" s="1015">
        <f>I48</f>
        <v>0</v>
      </c>
      <c r="I8" s="1015">
        <f>G48+F48</f>
        <v>0</v>
      </c>
      <c r="J8" s="1015">
        <f>H48+D48+C48</f>
        <v>0</v>
      </c>
      <c r="K8" s="1015"/>
      <c r="L8" s="1015"/>
      <c r="M8" s="1015"/>
      <c r="N8" s="558"/>
      <c r="O8" s="559">
        <f>C8*$C$12+D8*$D$12+E8*$E$12+F8*$F$12+G8*$G$12+H8*$H$12+I8*$I$12+J8*$J$12</f>
        <v>5.8817647058823539</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3132.6436061219656</v>
      </c>
      <c r="C10" s="569">
        <f t="shared" ref="C10:L10" si="0">SUM(C8:C9)</f>
        <v>29.117647058823533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5.8817647058823539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35.357142857142861</v>
      </c>
      <c r="C17" s="581">
        <f>B49</f>
        <v>41.596638655462193</v>
      </c>
      <c r="D17" s="582"/>
      <c r="E17" s="582">
        <f>E49</f>
        <v>0</v>
      </c>
      <c r="F17" s="1021"/>
      <c r="G17" s="583"/>
      <c r="H17" s="581">
        <f>I49</f>
        <v>0</v>
      </c>
      <c r="I17" s="582">
        <f>G49+F49</f>
        <v>0</v>
      </c>
      <c r="J17" s="582">
        <f>H49+D49+C49</f>
        <v>0</v>
      </c>
      <c r="K17" s="582"/>
      <c r="L17" s="582"/>
      <c r="M17" s="582"/>
      <c r="N17" s="1022"/>
      <c r="O17" s="584">
        <f>C17*$C$22+E17*$E$22+H17*$H$22+I17*$I$22+J17*$J$22+D17*$D$22+F17*$F$22+G17*$G$22+K17*$K$22+L17*$L$22</f>
        <v>8.4025210084033635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35.357142857142861</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8.4025210084033635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38014</v>
      </c>
      <c r="C28" s="787">
        <v>8670</v>
      </c>
      <c r="D28" s="640" t="s">
        <v>920</v>
      </c>
      <c r="E28" s="639" t="s">
        <v>921</v>
      </c>
      <c r="F28" s="639" t="s">
        <v>922</v>
      </c>
      <c r="G28" s="639" t="s">
        <v>923</v>
      </c>
      <c r="H28" s="639" t="s">
        <v>924</v>
      </c>
      <c r="I28" s="639" t="s">
        <v>921</v>
      </c>
      <c r="J28" s="786">
        <v>41074</v>
      </c>
      <c r="K28" s="786">
        <v>41183</v>
      </c>
      <c r="L28" s="639" t="s">
        <v>925</v>
      </c>
      <c r="M28" s="639">
        <v>5.5</v>
      </c>
      <c r="N28" s="639">
        <v>24.75</v>
      </c>
      <c r="O28" s="639">
        <v>35.357142857142861</v>
      </c>
      <c r="P28" s="639">
        <v>70.714285714285722</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5.5</v>
      </c>
      <c r="N29" s="597">
        <f>SUM(N28:N28)</f>
        <v>24.75</v>
      </c>
      <c r="O29" s="597">
        <f>SUM(O28:O28)</f>
        <v>35.357142857142861</v>
      </c>
      <c r="P29" s="597">
        <f>SUM(P28:P28)</f>
        <v>70.714285714285722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5.5</v>
      </c>
      <c r="N32" s="602">
        <f>SUMIF($Z$28:$Z$28,"landbouw",N28:N28)</f>
        <v>24.75</v>
      </c>
      <c r="O32" s="602">
        <f>SUMIF($Z$28:$Z$28,"landbouw",O28:O28)</f>
        <v>35.357142857142861</v>
      </c>
      <c r="P32" s="602">
        <f>SUMIF($Z$28:$Z$28,"landbouw",P28:P28)</f>
        <v>70.714285714285722</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29.117647058823533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41.596638655462193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59318.886054236391</v>
      </c>
      <c r="C4" s="458">
        <f>huishoudens!C8</f>
        <v>0</v>
      </c>
      <c r="D4" s="458">
        <f>huishoudens!D8</f>
        <v>142743.21843057848</v>
      </c>
      <c r="E4" s="458">
        <f>huishoudens!E8</f>
        <v>0</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0</v>
      </c>
      <c r="O4" s="458">
        <f>huishoudens!O8</f>
        <v>237.62666666666667</v>
      </c>
      <c r="P4" s="459">
        <f>huishoudens!P8</f>
        <v>286</v>
      </c>
      <c r="Q4" s="460">
        <f>SUM(B4:P4)</f>
        <v>202585.73115148154</v>
      </c>
    </row>
    <row r="5" spans="1:17">
      <c r="A5" s="457" t="s">
        <v>155</v>
      </c>
      <c r="B5" s="458">
        <f ca="1">tertiair!B16</f>
        <v>50127.381799626324</v>
      </c>
      <c r="C5" s="458">
        <f ca="1">tertiair!C16</f>
        <v>0</v>
      </c>
      <c r="D5" s="458">
        <f ca="1">tertiair!D16</f>
        <v>73295.368486954292</v>
      </c>
      <c r="E5" s="458">
        <f>tertiair!E16</f>
        <v>1030.2527977516179</v>
      </c>
      <c r="F5" s="458">
        <f ca="1">tertiair!F16</f>
        <v>11110.481586687491</v>
      </c>
      <c r="G5" s="458">
        <f>tertiair!G16</f>
        <v>0</v>
      </c>
      <c r="H5" s="458">
        <f>tertiair!H16</f>
        <v>0</v>
      </c>
      <c r="I5" s="458">
        <f>tertiair!I16</f>
        <v>0</v>
      </c>
      <c r="J5" s="458">
        <f>tertiair!J16</f>
        <v>0</v>
      </c>
      <c r="K5" s="458">
        <f>tertiair!K16</f>
        <v>0</v>
      </c>
      <c r="L5" s="458">
        <f ca="1">tertiair!L16</f>
        <v>0</v>
      </c>
      <c r="M5" s="458">
        <f>tertiair!M16</f>
        <v>0</v>
      </c>
      <c r="N5" s="458">
        <f ca="1">tertiair!N16</f>
        <v>5928.2762297793261</v>
      </c>
      <c r="O5" s="458">
        <f>tertiair!O16</f>
        <v>6.2533333333333339</v>
      </c>
      <c r="P5" s="459">
        <f>tertiair!P16</f>
        <v>38.133333333333333</v>
      </c>
      <c r="Q5" s="457">
        <f t="shared" ref="Q5:Q14" ca="1" si="0">SUM(B5:P5)</f>
        <v>141536.1475674657</v>
      </c>
    </row>
    <row r="6" spans="1:17">
      <c r="A6" s="457" t="s">
        <v>193</v>
      </c>
      <c r="B6" s="458">
        <f>'openbare verlichting'!B8</f>
        <v>3138.5709999999999</v>
      </c>
      <c r="C6" s="458"/>
      <c r="D6" s="458"/>
      <c r="E6" s="458"/>
      <c r="F6" s="458"/>
      <c r="G6" s="458"/>
      <c r="H6" s="458"/>
      <c r="I6" s="458"/>
      <c r="J6" s="458"/>
      <c r="K6" s="458"/>
      <c r="L6" s="458"/>
      <c r="M6" s="458"/>
      <c r="N6" s="458"/>
      <c r="O6" s="458"/>
      <c r="P6" s="459"/>
      <c r="Q6" s="457">
        <f t="shared" si="0"/>
        <v>3138.5709999999999</v>
      </c>
    </row>
    <row r="7" spans="1:17">
      <c r="A7" s="457" t="s">
        <v>111</v>
      </c>
      <c r="B7" s="458">
        <f>landbouw!B8</f>
        <v>1040.8023601056</v>
      </c>
      <c r="C7" s="458">
        <f>landbouw!C8</f>
        <v>35.357142857142861</v>
      </c>
      <c r="D7" s="458">
        <f>landbouw!D8</f>
        <v>238.49855380863636</v>
      </c>
      <c r="E7" s="458">
        <f>landbouw!E8</f>
        <v>13.115450563387903</v>
      </c>
      <c r="F7" s="458">
        <f>landbouw!F8</f>
        <v>3591.0288789351757</v>
      </c>
      <c r="G7" s="458">
        <f>landbouw!G8</f>
        <v>0</v>
      </c>
      <c r="H7" s="458">
        <f>landbouw!H8</f>
        <v>0</v>
      </c>
      <c r="I7" s="458">
        <f>landbouw!I8</f>
        <v>0</v>
      </c>
      <c r="J7" s="458">
        <f>landbouw!J8</f>
        <v>156.52484353622236</v>
      </c>
      <c r="K7" s="458">
        <f>landbouw!K8</f>
        <v>0</v>
      </c>
      <c r="L7" s="458">
        <f>landbouw!L8</f>
        <v>0</v>
      </c>
      <c r="M7" s="458">
        <f>landbouw!M8</f>
        <v>0</v>
      </c>
      <c r="N7" s="458">
        <f>landbouw!N8</f>
        <v>0</v>
      </c>
      <c r="O7" s="458">
        <f>landbouw!O8</f>
        <v>0</v>
      </c>
      <c r="P7" s="459">
        <f>landbouw!P8</f>
        <v>0</v>
      </c>
      <c r="Q7" s="457">
        <f t="shared" si="0"/>
        <v>5075.3272298061656</v>
      </c>
    </row>
    <row r="8" spans="1:17">
      <c r="A8" s="457" t="s">
        <v>655</v>
      </c>
      <c r="B8" s="458">
        <f>industrie!B18</f>
        <v>4206.3054936184781</v>
      </c>
      <c r="C8" s="458">
        <f>industrie!C18</f>
        <v>0</v>
      </c>
      <c r="D8" s="458">
        <f>industrie!D18</f>
        <v>4319.4675192411687</v>
      </c>
      <c r="E8" s="458">
        <f>industrie!E18</f>
        <v>864.78797025005974</v>
      </c>
      <c r="F8" s="458">
        <f>industrie!F18</f>
        <v>3562.9392271413376</v>
      </c>
      <c r="G8" s="458">
        <f>industrie!G18</f>
        <v>0</v>
      </c>
      <c r="H8" s="458">
        <f>industrie!H18</f>
        <v>0</v>
      </c>
      <c r="I8" s="458">
        <f>industrie!I18</f>
        <v>0</v>
      </c>
      <c r="J8" s="458">
        <f>industrie!J18</f>
        <v>0.43158473212028658</v>
      </c>
      <c r="K8" s="458">
        <f>industrie!K18</f>
        <v>0</v>
      </c>
      <c r="L8" s="458">
        <f>industrie!L18</f>
        <v>0</v>
      </c>
      <c r="M8" s="458">
        <f>industrie!M18</f>
        <v>0</v>
      </c>
      <c r="N8" s="458">
        <f>industrie!N18</f>
        <v>570.01938095781122</v>
      </c>
      <c r="O8" s="458">
        <f>industrie!O18</f>
        <v>0</v>
      </c>
      <c r="P8" s="459">
        <f>industrie!P18</f>
        <v>0</v>
      </c>
      <c r="Q8" s="457">
        <f t="shared" si="0"/>
        <v>13523.951175940974</v>
      </c>
    </row>
    <row r="9" spans="1:17" s="463" customFormat="1">
      <c r="A9" s="461" t="s">
        <v>573</v>
      </c>
      <c r="B9" s="462">
        <f>transport!B14</f>
        <v>4.1317690255492359</v>
      </c>
      <c r="C9" s="462">
        <f>transport!C14</f>
        <v>0</v>
      </c>
      <c r="D9" s="462">
        <f>transport!D14</f>
        <v>6.3835511054156377</v>
      </c>
      <c r="E9" s="462">
        <f>transport!E14</f>
        <v>234.89257736429408</v>
      </c>
      <c r="F9" s="462">
        <f>transport!F14</f>
        <v>0</v>
      </c>
      <c r="G9" s="462">
        <f>transport!G14</f>
        <v>80863.058245380758</v>
      </c>
      <c r="H9" s="462">
        <f>transport!H14</f>
        <v>11783.725805937273</v>
      </c>
      <c r="I9" s="462">
        <f>transport!I14</f>
        <v>0</v>
      </c>
      <c r="J9" s="462">
        <f>transport!J14</f>
        <v>0</v>
      </c>
      <c r="K9" s="462">
        <f>transport!K14</f>
        <v>0</v>
      </c>
      <c r="L9" s="462">
        <f>transport!L14</f>
        <v>0</v>
      </c>
      <c r="M9" s="462">
        <f>transport!M14</f>
        <v>4188.1996636142849</v>
      </c>
      <c r="N9" s="462">
        <f>transport!N14</f>
        <v>0</v>
      </c>
      <c r="O9" s="462">
        <f>transport!O14</f>
        <v>0</v>
      </c>
      <c r="P9" s="462">
        <f>transport!P14</f>
        <v>0</v>
      </c>
      <c r="Q9" s="461">
        <f>SUM(B9:P9)</f>
        <v>97080.391612427571</v>
      </c>
    </row>
    <row r="10" spans="1:17">
      <c r="A10" s="457" t="s">
        <v>563</v>
      </c>
      <c r="B10" s="458">
        <f>transport!B54</f>
        <v>1320.9517678567408</v>
      </c>
      <c r="C10" s="458">
        <f>transport!C54</f>
        <v>0</v>
      </c>
      <c r="D10" s="458">
        <f>transport!D54</f>
        <v>0</v>
      </c>
      <c r="E10" s="458">
        <f>transport!E54</f>
        <v>0</v>
      </c>
      <c r="F10" s="458">
        <f>transport!F54</f>
        <v>0</v>
      </c>
      <c r="G10" s="458">
        <f>transport!G54</f>
        <v>1265.0922049705327</v>
      </c>
      <c r="H10" s="458">
        <f>transport!H54</f>
        <v>0</v>
      </c>
      <c r="I10" s="458">
        <f>transport!I54</f>
        <v>0</v>
      </c>
      <c r="J10" s="458">
        <f>transport!J54</f>
        <v>0</v>
      </c>
      <c r="K10" s="458">
        <f>transport!K54</f>
        <v>0</v>
      </c>
      <c r="L10" s="458">
        <f>transport!L54</f>
        <v>0</v>
      </c>
      <c r="M10" s="458">
        <f>transport!M54</f>
        <v>56.310300644131672</v>
      </c>
      <c r="N10" s="458">
        <f>transport!N54</f>
        <v>0</v>
      </c>
      <c r="O10" s="458">
        <f>transport!O54</f>
        <v>0</v>
      </c>
      <c r="P10" s="459">
        <f>transport!P54</f>
        <v>0</v>
      </c>
      <c r="Q10" s="457">
        <f t="shared" si="0"/>
        <v>2642.3542734714051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8795.7632361917604</v>
      </c>
      <c r="C14" s="465"/>
      <c r="D14" s="465">
        <f>'SEAP template'!E25</f>
        <v>13233.862833630801</v>
      </c>
      <c r="E14" s="465"/>
      <c r="F14" s="465"/>
      <c r="G14" s="465"/>
      <c r="H14" s="465"/>
      <c r="I14" s="465"/>
      <c r="J14" s="465"/>
      <c r="K14" s="465"/>
      <c r="L14" s="465"/>
      <c r="M14" s="465"/>
      <c r="N14" s="465"/>
      <c r="O14" s="465"/>
      <c r="P14" s="466"/>
      <c r="Q14" s="457">
        <f t="shared" si="0"/>
        <v>22029.62606982256</v>
      </c>
    </row>
    <row r="15" spans="1:17" s="470" customFormat="1">
      <c r="A15" s="467" t="s">
        <v>567</v>
      </c>
      <c r="B15" s="468">
        <f ca="1">SUM(B4:B14)</f>
        <v>127952.79348066085</v>
      </c>
      <c r="C15" s="468">
        <f t="shared" ref="C15:Q15" ca="1" si="1">SUM(C4:C14)</f>
        <v>35.357142857142861</v>
      </c>
      <c r="D15" s="468">
        <f t="shared" ca="1" si="1"/>
        <v>233836.79937531881</v>
      </c>
      <c r="E15" s="468">
        <f t="shared" si="1"/>
        <v>2143.0487959293596</v>
      </c>
      <c r="F15" s="468">
        <f t="shared" ca="1" si="1"/>
        <v>18264.449692764003</v>
      </c>
      <c r="G15" s="468">
        <f t="shared" si="1"/>
        <v>82128.150450351284</v>
      </c>
      <c r="H15" s="468">
        <f t="shared" si="1"/>
        <v>11783.725805937273</v>
      </c>
      <c r="I15" s="468">
        <f t="shared" si="1"/>
        <v>0</v>
      </c>
      <c r="J15" s="468">
        <f t="shared" si="1"/>
        <v>156.95642826834265</v>
      </c>
      <c r="K15" s="468">
        <f t="shared" si="1"/>
        <v>0</v>
      </c>
      <c r="L15" s="468">
        <f t="shared" ca="1" si="1"/>
        <v>0</v>
      </c>
      <c r="M15" s="468">
        <f t="shared" si="1"/>
        <v>4244.5099642584164</v>
      </c>
      <c r="N15" s="468">
        <f t="shared" ca="1" si="1"/>
        <v>6498.2956107371374</v>
      </c>
      <c r="O15" s="468">
        <f t="shared" si="1"/>
        <v>243.88</v>
      </c>
      <c r="P15" s="468">
        <f t="shared" si="1"/>
        <v>324.13333333333333</v>
      </c>
      <c r="Q15" s="468">
        <f t="shared" ca="1" si="1"/>
        <v>487612.10008041596</v>
      </c>
    </row>
    <row r="17" spans="1:17">
      <c r="A17" s="471" t="s">
        <v>568</v>
      </c>
      <c r="B17" s="777">
        <f ca="1">huishoudens!B10</f>
        <v>0.2156352677923298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12791.243879447962</v>
      </c>
      <c r="C22" s="458">
        <f t="shared" ref="C22:C32" ca="1" si="3">C4*$C$17</f>
        <v>0</v>
      </c>
      <c r="D22" s="458">
        <f t="shared" ref="D22:D32" si="4">D4*$D$17</f>
        <v>28834.130122976854</v>
      </c>
      <c r="E22" s="458">
        <f t="shared" ref="E22:E32" si="5">E4*$E$17</f>
        <v>0</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41625.374002424818</v>
      </c>
    </row>
    <row r="23" spans="1:17">
      <c r="A23" s="457" t="s">
        <v>155</v>
      </c>
      <c r="B23" s="458">
        <f t="shared" ca="1" si="2"/>
        <v>10809.231398090782</v>
      </c>
      <c r="C23" s="458">
        <f t="shared" ca="1" si="3"/>
        <v>0</v>
      </c>
      <c r="D23" s="458">
        <f t="shared" ca="1" si="4"/>
        <v>14805.664434364768</v>
      </c>
      <c r="E23" s="458">
        <f t="shared" si="5"/>
        <v>233.86738508961727</v>
      </c>
      <c r="F23" s="458">
        <f t="shared" ca="1" si="6"/>
        <v>2966.4985836455603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28815.261801190725</v>
      </c>
    </row>
    <row r="24" spans="1:17">
      <c r="A24" s="457" t="s">
        <v>193</v>
      </c>
      <c r="B24" s="458">
        <f t="shared" ca="1" si="2"/>
        <v>676.7865980702403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676.7865980702403</v>
      </c>
    </row>
    <row r="25" spans="1:17">
      <c r="A25" s="457" t="s">
        <v>111</v>
      </c>
      <c r="B25" s="458">
        <f t="shared" ca="1" si="2"/>
        <v>224.43369564025994</v>
      </c>
      <c r="C25" s="458">
        <f t="shared" ca="1" si="3"/>
        <v>8.4025210084033635</v>
      </c>
      <c r="D25" s="458">
        <f t="shared" si="4"/>
        <v>48.176707869344547</v>
      </c>
      <c r="E25" s="458">
        <f t="shared" si="5"/>
        <v>2.9772072778890539</v>
      </c>
      <c r="F25" s="458">
        <f t="shared" si="6"/>
        <v>958.80471067569192</v>
      </c>
      <c r="G25" s="458">
        <f t="shared" si="7"/>
        <v>0</v>
      </c>
      <c r="H25" s="458">
        <f t="shared" si="8"/>
        <v>0</v>
      </c>
      <c r="I25" s="458">
        <f t="shared" si="9"/>
        <v>0</v>
      </c>
      <c r="J25" s="458">
        <f t="shared" si="10"/>
        <v>55.409794611822711</v>
      </c>
      <c r="K25" s="458">
        <f t="shared" si="11"/>
        <v>0</v>
      </c>
      <c r="L25" s="458">
        <f t="shared" si="12"/>
        <v>0</v>
      </c>
      <c r="M25" s="458">
        <f t="shared" si="13"/>
        <v>0</v>
      </c>
      <c r="N25" s="458">
        <f t="shared" si="14"/>
        <v>0</v>
      </c>
      <c r="O25" s="458">
        <f t="shared" si="15"/>
        <v>0</v>
      </c>
      <c r="P25" s="459">
        <f t="shared" si="16"/>
        <v>0</v>
      </c>
      <c r="Q25" s="457">
        <f t="shared" ca="1" si="17"/>
        <v>1298.2046370834116</v>
      </c>
    </row>
    <row r="26" spans="1:17">
      <c r="A26" s="457" t="s">
        <v>655</v>
      </c>
      <c r="B26" s="458">
        <f t="shared" ca="1" si="2"/>
        <v>907.02781153276851</v>
      </c>
      <c r="C26" s="458">
        <f t="shared" ca="1" si="3"/>
        <v>0</v>
      </c>
      <c r="D26" s="458">
        <f t="shared" si="4"/>
        <v>872.53243888671614</v>
      </c>
      <c r="E26" s="458">
        <f t="shared" si="5"/>
        <v>196.30686924676357</v>
      </c>
      <c r="F26" s="458">
        <f t="shared" si="6"/>
        <v>951.3047736467372</v>
      </c>
      <c r="G26" s="458">
        <f t="shared" si="7"/>
        <v>0</v>
      </c>
      <c r="H26" s="458">
        <f t="shared" si="8"/>
        <v>0</v>
      </c>
      <c r="I26" s="458">
        <f t="shared" si="9"/>
        <v>0</v>
      </c>
      <c r="J26" s="458">
        <f t="shared" si="10"/>
        <v>0.15278099517058144</v>
      </c>
      <c r="K26" s="458">
        <f t="shared" si="11"/>
        <v>0</v>
      </c>
      <c r="L26" s="458">
        <f t="shared" si="12"/>
        <v>0</v>
      </c>
      <c r="M26" s="458">
        <f t="shared" si="13"/>
        <v>0</v>
      </c>
      <c r="N26" s="458">
        <f t="shared" si="14"/>
        <v>0</v>
      </c>
      <c r="O26" s="458">
        <f t="shared" si="15"/>
        <v>0</v>
      </c>
      <c r="P26" s="459">
        <f t="shared" si="16"/>
        <v>0</v>
      </c>
      <c r="Q26" s="457">
        <f t="shared" ca="1" si="17"/>
        <v>2927.3246743081559</v>
      </c>
    </row>
    <row r="27" spans="1:17" s="463" customFormat="1">
      <c r="A27" s="461" t="s">
        <v>573</v>
      </c>
      <c r="B27" s="771">
        <f t="shared" ca="1" si="2"/>
        <v>0.89095512028036306</v>
      </c>
      <c r="C27" s="462">
        <f t="shared" ca="1" si="3"/>
        <v>0</v>
      </c>
      <c r="D27" s="462">
        <f t="shared" si="4"/>
        <v>1.2894773232939589</v>
      </c>
      <c r="E27" s="462">
        <f t="shared" si="5"/>
        <v>53.32061506169476</v>
      </c>
      <c r="F27" s="462">
        <f t="shared" si="6"/>
        <v>0</v>
      </c>
      <c r="G27" s="462">
        <f t="shared" si="7"/>
        <v>21590.436551516665</v>
      </c>
      <c r="H27" s="462">
        <f t="shared" si="8"/>
        <v>2934.147725678381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24580.085324700314</v>
      </c>
    </row>
    <row r="28" spans="1:17">
      <c r="A28" s="457" t="s">
        <v>563</v>
      </c>
      <c r="B28" s="458">
        <f t="shared" ca="1" si="2"/>
        <v>284.84378820253977</v>
      </c>
      <c r="C28" s="458">
        <f t="shared" ca="1" si="3"/>
        <v>0</v>
      </c>
      <c r="D28" s="458">
        <f t="shared" si="4"/>
        <v>0</v>
      </c>
      <c r="E28" s="458">
        <f t="shared" si="5"/>
        <v>0</v>
      </c>
      <c r="F28" s="458">
        <f t="shared" si="6"/>
        <v>0</v>
      </c>
      <c r="G28" s="458">
        <f t="shared" si="7"/>
        <v>337.77961872713229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622.623406929672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1896.6767608741397</v>
      </c>
      <c r="C32" s="458">
        <f t="shared" ca="1" si="3"/>
        <v>0</v>
      </c>
      <c r="D32" s="458">
        <f t="shared" si="4"/>
        <v>2673.2402923934219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4569.9170532675616</v>
      </c>
    </row>
    <row r="33" spans="1:17" s="470" customFormat="1">
      <c r="A33" s="467" t="s">
        <v>567</v>
      </c>
      <c r="B33" s="468">
        <f ca="1">SUM(B22:B32)</f>
        <v>27591.134886978973</v>
      </c>
      <c r="C33" s="468">
        <f t="shared" ref="C33:Q33" ca="1" si="18">SUM(C22:C32)</f>
        <v>8.4025210084033635</v>
      </c>
      <c r="D33" s="468">
        <f t="shared" ca="1" si="18"/>
        <v>47235.033473814394</v>
      </c>
      <c r="E33" s="468">
        <f t="shared" si="18"/>
        <v>486.47207667596467</v>
      </c>
      <c r="F33" s="468">
        <f t="shared" ca="1" si="18"/>
        <v>4876.608067967989</v>
      </c>
      <c r="G33" s="468">
        <f t="shared" si="18"/>
        <v>21928.216170243795</v>
      </c>
      <c r="H33" s="468">
        <f t="shared" si="18"/>
        <v>2934.147725678381</v>
      </c>
      <c r="I33" s="468">
        <f t="shared" si="18"/>
        <v>0</v>
      </c>
      <c r="J33" s="468">
        <f t="shared" si="18"/>
        <v>55.562575606993292</v>
      </c>
      <c r="K33" s="468">
        <f t="shared" si="18"/>
        <v>0</v>
      </c>
      <c r="L33" s="468">
        <f t="shared" ca="1" si="18"/>
        <v>0</v>
      </c>
      <c r="M33" s="468">
        <f t="shared" si="18"/>
        <v>0</v>
      </c>
      <c r="N33" s="468">
        <f t="shared" ca="1" si="18"/>
        <v>0</v>
      </c>
      <c r="O33" s="468">
        <f t="shared" si="18"/>
        <v>0</v>
      </c>
      <c r="P33" s="468">
        <f t="shared" si="18"/>
        <v>0</v>
      </c>
      <c r="Q33" s="468">
        <f t="shared" ca="1" si="18"/>
        <v>105115.5774979749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3107.8936061219656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24.75</v>
      </c>
      <c r="D8" s="1034">
        <f>'SEAP template'!D76</f>
        <v>29.117647058823533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5.8817647058823539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3107.8936061219656</v>
      </c>
      <c r="C10" s="1038">
        <f>SUM(C4:C9)</f>
        <v>24.75</v>
      </c>
      <c r="D10" s="1038">
        <f t="shared" ref="D10:H10" si="0">SUM(D8:D9)</f>
        <v>29.117647058823533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5.8817647058823539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0.2156352677923298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35.357142857142861</v>
      </c>
      <c r="D17" s="1035">
        <f>'SEAP template'!D87</f>
        <v>41.596638655462193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8.4025210084033635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35.357142857142861</v>
      </c>
      <c r="D20" s="1038">
        <f t="shared" ref="D20:H20" si="2">SUM(D17:D19)</f>
        <v>41.596638655462193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8.4025210084033635</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0.2156352677923298</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2020-06-20T16:20:17Z</dcterms:modified>
</cp:coreProperties>
</file>