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Q5" i="48" s="1"/>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E23" i="48"/>
  <c r="E33" i="48" s="1"/>
  <c r="E15" i="48"/>
  <c r="R10" i="14"/>
  <c r="N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<sst xmlns="http://schemas.openxmlformats.org/spreadsheetml/2006/main" count="2456" uniqueCount="926">
  <si>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</si>
  <si>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</si>
  <si>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</si>
  <si>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</si>
  <si>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</si>
  <si>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</si>
  <si>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</si>
  <si>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</si>
  <si>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</si>
  <si>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</si>
  <si>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</si>
  <si>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</si>
  <si>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</si>
  <si>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</si>
  <si>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</si>
  <si>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</si>
  <si>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</si>
  <si>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</si>
  <si>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</si>
  <si>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</si>
  <si>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</si>
  <si>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</si>
  <si>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</si>
  <si>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</si>
  <si>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</si>
  <si>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</si>
  <si>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</si>
  <si>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</si>
  <si>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</si>
  <si>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</si>
  <si>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</si>
  <si>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</si>
  <si>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</si>
  <si>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</si>
  <si>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</si>
  <si>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</si>
  <si>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</si>
  <si>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</si>
  <si>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</si>
  <si>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</si>
  <si>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</si>
  <si>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</si>
  <si>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</si>
  <si>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</si>
  <si>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</si>
  <si>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</si>
  <si>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</si>
  <si>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</si>
  <si>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</si>
  <si>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</si>
  <si>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</si>
  <si>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</si>
  <si>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</si>
  <si>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</si>
  <si>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</si>
  <si>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</si>
  <si>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</si>
  <si>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</si>
  <si>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</si>
  <si>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</si>
  <si>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</si>
  <si>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</si>
  <si>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</si>
  <si>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</si>
  <si>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</si>
  <si>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</si>
  <si>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</si>
  <si>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</si>
  <si>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</si>
  <si>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</si>
  <si>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</si>
  <si>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</si>
  <si>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</si>
  <si>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</si>
  <si>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</si>
  <si>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</si>
  <si>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</si>
  <si>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</si>
  <si>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</si>
  <si>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</si>
  <si>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</si>
  <si>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</si>
  <si>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</si>
  <si>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</si>
  <si>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</si>
  <si>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</si>
  <si>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</si>
  <si>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</si>
  <si>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</si>
  <si>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</si>
  <si>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</si>
  <si>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</si>
  <si>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</si>
  <si>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</si>
  <si>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</si>
  <si>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</si>
  <si>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</si>
  <si>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</si>
  <si>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</si>
  <si>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</si>
  <si>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</si>
  <si>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</si>
  <si>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</si>
  <si>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</si>
  <si>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</si>
  <si>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</si>
  <si>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</si>
  <si>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</si>
  <si>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</si>
  <si>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</si>
  <si>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</si>
  <si>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</si>
  <si>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</si>
  <si>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</si>
  <si>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</si>
  <si>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</si>
  <si>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</si>
  <si>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</si>
  <si>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</si>
  <si>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</si>
  <si>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</si>
  <si>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</si>
  <si>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</si>
  <si>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</si>
  <si>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</si>
  <si>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</si>
  <si>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</si>
  <si>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</si>
  <si>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</si>
  <si>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</si>
  <si>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</si>
  <si>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</si>
  <si>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</si>
  <si>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</si>
  <si>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</si>
  <si>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</si>
  <si>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</si>
  <si>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</si>
  <si>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</si>
  <si>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</si>
  <si>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</si>
  <si>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</si>
  <si>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</si>
  <si>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</si>
  <si>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</si>
  <si>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</si>
  <si>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</si>
  <si>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</si>
  <si>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</si>
  <si>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</si>
  <si>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</si>
  <si>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</si>
  <si>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</si>
  <si>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</si>
  <si>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</si>
  <si>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</si>
  <si>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</si>
  <si>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</si>
  <si>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</si>
  <si>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</si>
  <si>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</si>
  <si>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</si>
  <si>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</si>
  <si>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</si>
  <si>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</si>
  <si>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</si>
  <si>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</si>
  <si>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</si>
  <si>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</si>
  <si>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</si>
  <si>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</si>
  <si>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</si>
  <si>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</si>
  <si>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</si>
  <si>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</si>
  <si>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</si>
  <si>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</si>
  <si>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</si>
  <si>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</si>
  <si>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</si>
  <si>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</si>
  <si>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</si>
  <si>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</si>
  <si>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</si>
  <si>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</si>
  <si>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</si>
  <si>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</si>
  <si>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</si>
  <si>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</si>
  <si>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</si>
  <si>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</si>
  <si>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</si>
  <si>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</si>
  <si>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</si>
  <si>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</si>
  <si>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</si>
  <si>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</si>
  <si>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</si>
  <si>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</si>
  <si>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</si>
  <si>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</si>
  <si>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</si>
  <si>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</si>
  <si>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</si>
  <si>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</si>
  <si>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</si>
  <si>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</si>
  <si>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</si>
  <si>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</si>
  <si>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</si>
  <si>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</si>
  <si>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</si>
  <si>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</si>
  <si>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</si>
  <si>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</si>
  <si>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</si>
  <si>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</si>
  <si>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</si>
  <si>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</si>
  <si>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</si>
  <si>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</si>
  <si>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</si>
  <si>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</si>
  <si>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</si>
  <si>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</si>
  <si>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</si>
  <si>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</si>
  <si>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</si>
  <si>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</si>
  <si>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</si>
  <si>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</si>
  <si>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</si>
  <si>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</si>
  <si>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</si>
  <si>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</si>
  <si>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</si>
  <si>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</si>
  <si>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</si>
  <si>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</si>
  <si>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</si>
  <si>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</si>
  <si>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</si>
  <si>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</si>
  <si>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</si>
  <si>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</si>
  <si>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</si>
  <si>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</si>
  <si>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</si>
  <si>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</si>
  <si>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</si>
  <si>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</si>
  <si>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</si>
  <si>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</si>
  <si>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</si>
  <si>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</si>
  <si>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</si>
  <si>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</si>
  <si>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</si>
  <si>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</si>
  <si>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</si>
  <si>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</si>
  <si>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</si>
  <si>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</si>
  <si>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</si>
  <si>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</si>
  <si>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</si>
  <si>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</si>
  <si>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</si>
  <si>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</si>
  <si>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</si>
  <si>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</si>
  <si>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</si>
  <si>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</si>
  <si>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</si>
  <si>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</si>
  <si>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</si>
  <si>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</si>
  <si>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</si>
  <si>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</si>
  <si>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</si>
  <si>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</si>
  <si>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</si>
  <si>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</si>
  <si>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</si>
  <si>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</si>
  <si>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</si>
  <si>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</si>
  <si>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</si>
  <si>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</si>
  <si>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</si>
  <si>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</si>
  <si>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</si>
  <si>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</si>
  <si>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</si>
  <si>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</si>
  <si>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</si>
  <si>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</si>
  <si>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</si>
  <si>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</si>
  <si>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</si>
  <si>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</si>
  <si>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</si>
  <si>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</si>
  <si>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</si>
  <si>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</si>
  <si>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</si>
  <si>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</si>
  <si>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</si>
  <si>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</si>
  <si>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</si>
  <si>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</si>
  <si>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</si>
  <si>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</si>
  <si>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</si>
  <si>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</si>
  <si>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</si>
  <si>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</si>
  <si>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</si>
  <si>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</si>
  <si>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</si>
  <si>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</si>
  <si>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</si>
  <si>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</si>
  <si>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</si>
  <si>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</si>
  <si>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</si>
  <si>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</si>
  <si>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</si>
  <si>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</si>
  <si>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</si>
  <si>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</si>
  <si>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</si>
  <si>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</si>
  <si>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</si>
  <si>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</si>
  <si>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</si>
  <si>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</si>
  <si>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</si>
  <si>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</si>
  <si>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</si>
  <si>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</si>
  <si>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</si>
  <si>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</si>
  <si>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</si>
  <si>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</si>
  <si>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</si>
  <si>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</si>
  <si>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</si>
  <si>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</si>
  <si>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</si>
  <si>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</si>
  <si>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</si>
  <si>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</si>
  <si>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</si>
  <si>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</si>
  <si>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</si>
  <si>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</si>
  <si>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</si>
  <si>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</si>
  <si>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</si>
  <si>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</si>
  <si>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</si>
  <si>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</si>
  <si>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</si>
  <si>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</si>
  <si>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</si>
  <si>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</si>
  <si>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</si>
  <si>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</si>
  <si>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</si>
  <si>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</si>
  <si>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</si>
  <si>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</si>
  <si>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</si>
  <si>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</si>
  <si>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</si>
  <si>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</si>
  <si>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</si>
  <si>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</si>
  <si>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</si>
  <si>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</si>
  <si>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</si>
  <si>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</si>
  <si>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</si>
  <si>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</si>
  <si>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</si>
  <si>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</si>
  <si>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</si>
  <si>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</si>
  <si>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</si>
  <si>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</si>
  <si>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</si>
  <si>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</si>
  <si>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</si>
  <si>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</si>
  <si>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</si>
  <si>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</si>
  <si>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</si>
  <si>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</si>
  <si>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</si>
  <si>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</si>
  <si>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</si>
  <si>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</si>
  <si>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</si>
  <si>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</si>
  <si>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</si>
  <si>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</si>
  <si>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</si>
  <si>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</si>
  <si>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</si>
  <si>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</si>
  <si>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</si>
  <si>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</si>
  <si>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</si>
  <si>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</si>
  <si>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</si>
  <si>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</si>
  <si>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</si>
  <si>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</si>
  <si>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</si>
  <si>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</si>
  <si>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</si>
  <si>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</si>
  <si>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</si>
  <si>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</si>
  <si>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</si>
  <si>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</si>
  <si>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</si>
  <si>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</si>
  <si>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</si>
  <si>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</si>
  <si>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</si>
  <si>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</si>
  <si>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</si>
  <si>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</si>
  <si>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</si>
  <si>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</si>
  <si>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</si>
  <si>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</si>
  <si>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</si>
  <si>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</si>
  <si>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</si>
  <si>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</si>
  <si>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</si>
  <si>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</si>
  <si>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</si>
  <si>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</si>
  <si>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</si>
  <si>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</si>
  <si>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</si>
  <si>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</si>
  <si>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</si>
  <si>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</si>
  <si>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</si>
  <si>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</si>
  <si>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</si>
  <si>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</si>
  <si>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</si>
  <si>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</si>
  <si>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</si>
  <si>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</si>
  <si>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</si>
  <si>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</si>
  <si>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</si>
  <si>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</si>
  <si>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</si>
  <si>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</si>
  <si>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</si>
  <si>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</si>
  <si>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</si>
  <si>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</si>
  <si>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</si>
  <si>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</si>
  <si>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</si>
  <si>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</si>
  <si>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</si>
  <si>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</si>
  <si>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</si>
  <si>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</si>
  <si>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</si>
  <si>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</si>
  <si>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</si>
  <si>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</si>
  <si>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</si>
  <si>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</si>
  <si>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</si>
  <si>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</si>
  <si>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</si>
  <si>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</si>
  <si>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</si>
  <si>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</si>
  <si>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</si>
  <si>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</si>
  <si>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</si>
  <si>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</si>
  <si>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</si>
  <si>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</si>
  <si>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</si>
  <si>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</si>
  <si>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</si>
  <si>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</si>
  <si>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</si>
  <si>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</si>
  <si>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</si>
  <si>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</si>
  <si>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</si>
  <si>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</si>
  <si>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</si>
  <si>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</si>
  <si>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</si>
  <si>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</si>
  <si>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</si>
  <si>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</si>
  <si>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</si>
  <si>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</si>
  <si>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</si>
  <si>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</si>
  <si>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</si>
  <si>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</si>
  <si>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</si>
  <si>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</si>
  <si>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</si>
  <si>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</si>
  <si>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</si>
  <si>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</si>
  <si>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</si>
  <si>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</si>
  <si>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</si>
  <si>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</si>
  <si>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</si>
  <si>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</si>
  <si>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</si>
  <si>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</si>
  <si>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</si>
  <si>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</si>
  <si>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</si>
  <si>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</si>
  <si>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</si>
  <si>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</si>
  <si>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</si>
  <si>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</si>
  <si>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</si>
  <si>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</si>
  <si>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</si>
  <si>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</si>
  <si>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</si>
  <si>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</si>
  <si>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</si>
  <si>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</si>
  <si>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</si>
  <si>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</si>
  <si>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</si>
  <si>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</si>
  <si>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</si>
  <si>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</si>
  <si>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</si>
  <si>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</si>
  <si>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</si>
  <si>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</si>
  <si>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</si>
  <si>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</si>
  <si>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</si>
  <si>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</si>
  <si>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</si>
  <si>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</si>
  <si>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</si>
  <si>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</si>
  <si>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</si>
  <si>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</si>
  <si>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</si>
  <si>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</si>
  <si>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</si>
  <si>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</si>
  <si>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</si>
  <si>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</si>
  <si>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</si>
  <si>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</si>
  <si>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</si>
  <si>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</si>
  <si>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</si>
  <si>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</si>
  <si>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</si>
  <si>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</si>
  <si>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</si>
  <si>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</si>
  <si>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</si>
  <si>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</si>
  <si>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</si>
  <si>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</si>
  <si>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</si>
  <si>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</si>
  <si>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</si>
  <si>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</si>
  <si>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</si>
  <si>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</si>
  <si>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</si>
  <si>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</si>
  <si>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</si>
  <si>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</si>
  <si>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</si>
  <si>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</si>
  <si>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</si>
  <si>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</si>
  <si>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</si>
  <si>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</si>
  <si>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</si>
  <si>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</si>
  <si>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</si>
  <si>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</si>
  <si>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</si>
  <si>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</si>
  <si>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</si>
  <si>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</si>
  <si>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</si>
  <si>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</si>
  <si>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</si>
  <si>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</si>
  <si>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</si>
  <si>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</si>
  <si>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</si>
  <si>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</si>
  <si>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</si>
  <si>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</si>
  <si>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</si>
  <si>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</si>
  <si>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</si>
  <si>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</si>
  <si>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</si>
  <si>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</si>
  <si>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</si>
  <si>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</si>
  <si>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</si>
  <si>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</si>
  <si>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</si>
  <si>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</si>
  <si>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</si>
  <si>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</si>
  <si>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</si>
  <si>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</si>
  <si>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</si>
  <si>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</si>
  <si>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</si>
  <si>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</si>
  <si>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</si>
  <si>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</si>
  <si>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</si>
  <si>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</si>
  <si>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</si>
  <si>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</si>
  <si>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</si>
  <si>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</si>
  <si>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</si>
  <si>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</si>
  <si>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</si>
  <si>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</si>
  <si>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</si>
  <si>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</si>
  <si>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</si>
  <si>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</si>
  <si>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</si>
  <si>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</si>
  <si>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</si>
  <si>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</si>
  <si>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</si>
  <si>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</si>
  <si>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</si>
  <si>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</si>
  <si>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</si>
  <si>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</si>
  <si>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</si>
  <si>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</si>
  <si>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</si>
  <si>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</si>
  <si>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</si>
  <si>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</si>
  <si>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</si>
  <si>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</si>
  <si>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</si>
  <si>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</si>
  <si>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</si>
  <si>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</si>
  <si>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</si>
  <si>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</si>
  <si>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</si>
  <si>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</si>
  <si>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</si>
  <si>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</si>
  <si>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</si>
  <si>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</si>
  <si>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</si>
  <si>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</si>
  <si>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</si>
  <si>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</si>
  <si>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</si>
  <si>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</si>
  <si>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</si>
  <si>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</si>
  <si>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</si>
  <si>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</si>
  <si>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</si>
  <si>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</si>
  <si>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</si>
  <si>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</si>
  <si>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</si>
  <si>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</si>
  <si>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</si>
  <si>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</si>
  <si>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</si>
  <si>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</si>
  <si>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</si>
  <si>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</si>
  <si>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</si>
  <si>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</si>
  <si>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</si>
  <si>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</si>
  <si>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</si>
  <si>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</si>
  <si>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</si>
  <si>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</si>
  <si>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</si>
  <si>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</si>
  <si>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</si>
  <si>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</si>
  <si>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</si>
  <si>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</si>
  <si>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</si>
  <si>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</si>
  <si>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</si>
  <si>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</si>
  <si>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</si>
  <si>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</si>
  <si>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</si>
  <si>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</si>
  <si>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</si>
  <si>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</si>
  <si>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</si>
  <si>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</si>
  <si>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</si>
  <si>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</si>
  <si>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</si>
  <si>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</si>
  <si>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</si>
  <si>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</si>
  <si>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</si>
  <si>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</si>
  <si>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</si>
  <si>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</si>
  <si>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</si>
  <si>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</si>
  <si>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</si>
  <si>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</si>
  <si>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</si>
  <si>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</si>
  <si>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</si>
  <si>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</si>
  <si>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</si>
  <si>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</si>
  <si>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</si>
  <si>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</si>
  <si>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</si>
  <si>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</si>
  <si>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</si>
  <si>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</si>
  <si>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</si>
  <si>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</si>
  <si>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</si>
  <si>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</si>
  <si>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</si>
  <si>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</si>
  <si>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</si>
  <si>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</si>
  <si>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</si>
  <si>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</si>
  <si>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</si>
  <si>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</si>
  <si>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</si>
  <si>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</si>
  <si>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</si>
  <si>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</si>
  <si>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</si>
  <si>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</si>
  <si>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</si>
  <si>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</si>
  <si>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</si>
  <si>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</si>
  <si>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</si>
  <si>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</si>
  <si>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</si>
  <si>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</si>
  <si>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</si>
  <si>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</si>
  <si>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</si>
  <si>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</si>
  <si>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</si>
  <si>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</si>
  <si>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</si>
  <si>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</si>
  <si>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</si>
  <si>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</si>
  <si>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</si>
  <si>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</si>
  <si>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</si>
  <si>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</si>
  <si>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</si>
  <si>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</si>
  <si>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</si>
  <si>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</si>
  <si>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</si>
  <si>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</si>
  <si>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</si>
  <si>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</si>
  <si>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</si>
  <si>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</si>
  <si>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</si>
  <si>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</si>
  <si>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</si>
  <si>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</si>
  <si>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</si>
  <si>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</si>
  <si>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</si>
  <si>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</si>
  <si>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</si>
  <si>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</si>
  <si>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</si>
  <si>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</si>
  <si>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</si>
  <si>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</si>
  <si>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</si>
  <si>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</si>
  <si>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</si>
  <si>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</si>
  <si>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</si>
  <si>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</si>
  <si>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</si>
  <si>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</si>
  <si>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</si>
  <si>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</si>
  <si>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</si>
  <si>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</si>
  <si>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</si>
  <si>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</si>
  <si>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</si>
  <si>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</si>
  <si>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</si>
  <si>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</si>
  <si>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</si>
  <si>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</si>
  <si>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</si>
  <si>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</si>
  <si>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</si>
  <si>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</si>
  <si>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</si>
  <si>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</si>
  <si>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</si>
  <si>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</si>
  <si>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</si>
  <si>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</si>
  <si>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</si>
  <si>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</si>
  <si>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</si>
  <si>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</si>
  <si>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</si>
  <si>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</si>
  <si>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</si>
  <si>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</si>
  <si>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</si>
  <si>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</si>
  <si>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</si>
  <si>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</si>
  <si>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</si>
  <si>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</si>
  <si>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</si>
  <si>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</si>
  <si>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</si>
  <si>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</si>
  <si>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</si>
  <si>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</si>
  <si>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</si>
  <si>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</si>
  <si>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</si>
  <si>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</si>
  <si>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</si>
  <si>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</si>
  <si>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</si>
  <si>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</si>
  <si>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</si>
  <si>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</si>
  <si>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</si>
  <si>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</si>
  <si>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</si>
  <si>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</si>
  <si>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</si>
  <si>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</si>
  <si>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</si>
  <si>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</si>
  <si>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</si>
  <si>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</si>
  <si>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</si>
  <si>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</si>
  <si>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</si>
  <si>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</si>
  <si>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</si>
  <si>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</si>
  <si>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</si>
  <si>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</si>
  <si>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</si>
  <si>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</si>
  <si>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</si>
  <si>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</si>
  <si>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</si>
  <si>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</si>
  <si>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</si>
  <si>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</si>
  <si>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37010</t>
  </si>
  <si>
    <t>OOSTROZEBEKE</t>
  </si>
  <si>
    <t>Cultuurgrond (ha)</t>
  </si>
  <si>
    <t>Paarden&amp;pony's 200 - 600 kg</t>
  </si>
  <si>
    <t>Paarden&amp;pony's &lt; 200 kg</t>
  </si>
  <si>
    <t>Fluvius</t>
  </si>
  <si>
    <t>referentietaak LNE (2017); Jaarverslag De Lijn</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</si>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</sst>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67997.22100561767</c:v>
                </c:pt>
                <c:pt idx="1">
                  <c:v>18112.733137556093</c:v>
                </c:pt>
                <c:pt idx="2">
                  <c:v>699.90200000000004</c:v>
                </c:pt>
                <c:pt idx="3">
                  <c:v>19489.567609876398</c:v>
                </c:pt>
                <c:pt idx="4">
                  <c:v>192557.01380815211</c:v>
                </c:pt>
                <c:pt idx="5">
                  <c:v>34379.4471629666</c:v>
                </c:pt>
                <c:pt idx="6">
                  <c:v>171.36121679620425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67997.22100561767</c:v>
                </c:pt>
                <c:pt idx="1">
                  <c:v>18112.733137556093</c:v>
                </c:pt>
                <c:pt idx="2">
                  <c:v>699.90200000000004</c:v>
                </c:pt>
                <c:pt idx="3">
                  <c:v>19489.567609876398</c:v>
                </c:pt>
                <c:pt idx="4">
                  <c:v>192557.01380815211</c:v>
                </c:pt>
                <c:pt idx="5">
                  <c:v>34379.4471629666</c:v>
                </c:pt>
                <c:pt idx="6">
                  <c:v>171.36121679620425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12781.418444591051</c:v>
                </c:pt>
                <c:pt idx="2">
                  <c:v>3724.7678721834709</c:v>
                </c:pt>
                <c:pt idx="3">
                  <c:v>149.0728010732112</c:v>
                </c:pt>
                <c:pt idx="4">
                  <c:v>4721.7030762904815</c:v>
                </c:pt>
                <c:pt idx="5">
                  <c:v>39887.666339306968</c:v>
                </c:pt>
                <c:pt idx="6">
                  <c:v>8717.4215002475867</c:v>
                </c:pt>
                <c:pt idx="7">
                  <c:v>43.803705705185379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12781.418444591051</c:v>
                </c:pt>
                <c:pt idx="2">
                  <c:v>3724.7678721834709</c:v>
                </c:pt>
                <c:pt idx="3">
                  <c:v>149.0728010732112</c:v>
                </c:pt>
                <c:pt idx="4">
                  <c:v>4721.7030762904815</c:v>
                </c:pt>
                <c:pt idx="5">
                  <c:v>39887.666339306968</c:v>
                </c:pt>
                <c:pt idx="6">
                  <c:v>8717.4215002475867</c:v>
                </c:pt>
                <c:pt idx="7">
                  <c:v>43.803705705185379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37010</v>
      </c>
      <c r="B6" s="395"/>
      <c r="C6" s="396"/>
    </row>
    <row r="7" spans="1:7" s="393" customFormat="1" ht="15.75" customHeight="1">
      <c r="A7" s="397" t="str">
        <f>txtMunicipality</f>
        <v>OOSTROZEBEKE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0.21299096312513921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0.21299096312513921</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3096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948</v>
      </c>
      <c r="C14" s="332"/>
      <c r="D14" s="332"/>
      <c r="E14" s="332"/>
      <c r="F14" s="332"/>
    </row>
    <row r="15" spans="1:6">
      <c r="A15" s="1306" t="s">
        <v>183</v>
      </c>
      <c r="B15" s="1307">
        <v>18</v>
      </c>
      <c r="C15" s="332"/>
      <c r="D15" s="332"/>
      <c r="E15" s="332"/>
      <c r="F15" s="332"/>
    </row>
    <row r="16" spans="1:6">
      <c r="A16" s="1306" t="s">
        <v>6</v>
      </c>
      <c r="B16" s="1307">
        <v>542</v>
      </c>
      <c r="C16" s="332"/>
      <c r="D16" s="332"/>
      <c r="E16" s="332"/>
      <c r="F16" s="332"/>
    </row>
    <row r="17" spans="1:6">
      <c r="A17" s="1306" t="s">
        <v>7</v>
      </c>
      <c r="B17" s="1307">
        <v>485</v>
      </c>
      <c r="C17" s="332"/>
      <c r="D17" s="332"/>
      <c r="E17" s="332"/>
      <c r="F17" s="332"/>
    </row>
    <row r="18" spans="1:6">
      <c r="A18" s="1306" t="s">
        <v>8</v>
      </c>
      <c r="B18" s="1307">
        <v>737</v>
      </c>
      <c r="C18" s="332"/>
      <c r="D18" s="332"/>
      <c r="E18" s="332"/>
      <c r="F18" s="332"/>
    </row>
    <row r="19" spans="1:6">
      <c r="A19" s="1306" t="s">
        <v>9</v>
      </c>
      <c r="B19" s="1307">
        <v>719</v>
      </c>
      <c r="C19" s="332"/>
      <c r="D19" s="332"/>
      <c r="E19" s="332"/>
      <c r="F19" s="332"/>
    </row>
    <row r="20" spans="1:6">
      <c r="A20" s="1306" t="s">
        <v>10</v>
      </c>
      <c r="B20" s="1307">
        <v>376</v>
      </c>
      <c r="C20" s="332"/>
      <c r="D20" s="332"/>
      <c r="E20" s="332"/>
      <c r="F20" s="332"/>
    </row>
    <row r="21" spans="1:6">
      <c r="A21" s="1306" t="s">
        <v>11</v>
      </c>
      <c r="B21" s="1307">
        <v>2725</v>
      </c>
      <c r="C21" s="332"/>
      <c r="D21" s="332"/>
      <c r="E21" s="332"/>
      <c r="F21" s="332"/>
    </row>
    <row r="22" spans="1:6">
      <c r="A22" s="1306" t="s">
        <v>12</v>
      </c>
      <c r="B22" s="1307">
        <v>17045</v>
      </c>
      <c r="C22" s="332"/>
      <c r="D22" s="332"/>
      <c r="E22" s="332"/>
      <c r="F22" s="332"/>
    </row>
    <row r="23" spans="1:6">
      <c r="A23" s="1306" t="s">
        <v>13</v>
      </c>
      <c r="B23" s="1307">
        <v>82</v>
      </c>
      <c r="C23" s="332"/>
      <c r="D23" s="332"/>
      <c r="E23" s="332"/>
      <c r="F23" s="332"/>
    </row>
    <row r="24" spans="1:6">
      <c r="A24" s="1306" t="s">
        <v>14</v>
      </c>
      <c r="B24" s="1307">
        <v>8</v>
      </c>
      <c r="C24" s="332"/>
      <c r="D24" s="332"/>
      <c r="E24" s="332"/>
      <c r="F24" s="332"/>
    </row>
    <row r="25" spans="1:6">
      <c r="A25" s="1306" t="s">
        <v>15</v>
      </c>
      <c r="B25" s="1307">
        <v>815</v>
      </c>
      <c r="C25" s="332"/>
      <c r="D25" s="332"/>
      <c r="E25" s="332"/>
      <c r="F25" s="332"/>
    </row>
    <row r="26" spans="1:6">
      <c r="A26" s="1306" t="s">
        <v>16</v>
      </c>
      <c r="B26" s="1307">
        <v>11</v>
      </c>
      <c r="C26" s="332"/>
      <c r="D26" s="332"/>
      <c r="E26" s="332"/>
      <c r="F26" s="332"/>
    </row>
    <row r="27" spans="1:6">
      <c r="A27" s="1306" t="s">
        <v>17</v>
      </c>
      <c r="B27" s="1307">
        <v>7</v>
      </c>
      <c r="C27" s="332"/>
      <c r="D27" s="332"/>
      <c r="E27" s="332"/>
      <c r="F27" s="332"/>
    </row>
    <row r="28" spans="1:6" s="43" customFormat="1">
      <c r="A28" s="1308" t="s">
        <v>18</v>
      </c>
      <c r="B28" s="1309">
        <v>252515</v>
      </c>
      <c r="C28" s="338"/>
      <c r="D28" s="338"/>
      <c r="E28" s="338"/>
      <c r="F28" s="338"/>
    </row>
    <row r="29" spans="1:6">
      <c r="A29" s="1308" t="s">
        <v>916</v>
      </c>
      <c r="B29" s="1309">
        <v>14</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4</v>
      </c>
      <c r="D38" s="1307">
        <v>53303.412059604503</v>
      </c>
      <c r="E38" s="1307">
        <v>2</v>
      </c>
      <c r="F38" s="1307">
        <v>141794.05689556</v>
      </c>
    </row>
    <row r="39" spans="1:6">
      <c r="A39" s="1306" t="s">
        <v>29</v>
      </c>
      <c r="B39" s="1306" t="s">
        <v>30</v>
      </c>
      <c r="C39" s="1307">
        <v>1585</v>
      </c>
      <c r="D39" s="1307">
        <v>26481249.991973098</v>
      </c>
      <c r="E39" s="1307">
        <v>2934</v>
      </c>
      <c r="F39" s="1307">
        <v>12546032.382495601</v>
      </c>
    </row>
    <row r="40" spans="1:6">
      <c r="A40" s="1306" t="s">
        <v>29</v>
      </c>
      <c r="B40" s="1306" t="s">
        <v>28</v>
      </c>
      <c r="C40" s="1307">
        <v>0</v>
      </c>
      <c r="D40" s="1307">
        <v>0</v>
      </c>
      <c r="E40" s="1307">
        <v>0</v>
      </c>
      <c r="F40" s="1307">
        <v>0</v>
      </c>
    </row>
    <row r="41" spans="1:6">
      <c r="A41" s="1306" t="s">
        <v>31</v>
      </c>
      <c r="B41" s="1306" t="s">
        <v>32</v>
      </c>
      <c r="C41" s="1307">
        <v>18</v>
      </c>
      <c r="D41" s="1307">
        <v>326379.05684758601</v>
      </c>
      <c r="E41" s="1307">
        <v>102</v>
      </c>
      <c r="F41" s="1307">
        <v>690436.05662258703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20</v>
      </c>
      <c r="F44" s="1307">
        <v>366295.16525891703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25</v>
      </c>
      <c r="D48" s="1307">
        <v>142102962.61324099</v>
      </c>
      <c r="E48" s="1307">
        <v>32</v>
      </c>
      <c r="F48" s="1307">
        <v>28297702.821899299</v>
      </c>
    </row>
    <row r="49" spans="1:6">
      <c r="A49" s="1306" t="s">
        <v>31</v>
      </c>
      <c r="B49" s="1306" t="s">
        <v>39</v>
      </c>
      <c r="C49" s="1307">
        <v>0</v>
      </c>
      <c r="D49" s="1307">
        <v>0</v>
      </c>
      <c r="E49" s="1307">
        <v>3</v>
      </c>
      <c r="F49" s="1307">
        <v>218861.23608523901</v>
      </c>
    </row>
    <row r="50" spans="1:6">
      <c r="A50" s="1306" t="s">
        <v>31</v>
      </c>
      <c r="B50" s="1306" t="s">
        <v>40</v>
      </c>
      <c r="C50" s="1307">
        <v>3</v>
      </c>
      <c r="D50" s="1307">
        <v>244595.77546917601</v>
      </c>
      <c r="E50" s="1307">
        <v>9</v>
      </c>
      <c r="F50" s="1307">
        <v>8319203.03649313</v>
      </c>
    </row>
    <row r="51" spans="1:6">
      <c r="A51" s="1306" t="s">
        <v>41</v>
      </c>
      <c r="B51" s="1306" t="s">
        <v>42</v>
      </c>
      <c r="C51" s="1307">
        <v>0</v>
      </c>
      <c r="D51" s="1307">
        <v>0</v>
      </c>
      <c r="E51" s="1307">
        <v>72</v>
      </c>
      <c r="F51" s="1307">
        <v>1164879.20608943</v>
      </c>
    </row>
    <row r="52" spans="1:6">
      <c r="A52" s="1306" t="s">
        <v>41</v>
      </c>
      <c r="B52" s="1306" t="s">
        <v>28</v>
      </c>
      <c r="C52" s="1307">
        <v>6</v>
      </c>
      <c r="D52" s="1307">
        <v>29399712.0205734</v>
      </c>
      <c r="E52" s="1307">
        <v>5</v>
      </c>
      <c r="F52" s="1307">
        <v>98477.929915468398</v>
      </c>
    </row>
    <row r="53" spans="1:6">
      <c r="A53" s="1306" t="s">
        <v>43</v>
      </c>
      <c r="B53" s="1306" t="s">
        <v>44</v>
      </c>
      <c r="C53" s="1307">
        <v>49</v>
      </c>
      <c r="D53" s="1307">
        <v>869918.07255701302</v>
      </c>
      <c r="E53" s="1307">
        <v>105</v>
      </c>
      <c r="F53" s="1307">
        <v>497094.90195496398</v>
      </c>
    </row>
    <row r="54" spans="1:6">
      <c r="A54" s="1306" t="s">
        <v>45</v>
      </c>
      <c r="B54" s="1306" t="s">
        <v>46</v>
      </c>
      <c r="C54" s="1307">
        <v>0</v>
      </c>
      <c r="D54" s="1307">
        <v>0</v>
      </c>
      <c r="E54" s="1307">
        <v>1</v>
      </c>
      <c r="F54" s="1307">
        <v>699902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16</v>
      </c>
      <c r="D57" s="1307">
        <v>676762.30478412099</v>
      </c>
      <c r="E57" s="1307">
        <v>43</v>
      </c>
      <c r="F57" s="1307">
        <v>654595.14686777804</v>
      </c>
    </row>
    <row r="58" spans="1:6">
      <c r="A58" s="1306" t="s">
        <v>48</v>
      </c>
      <c r="B58" s="1306" t="s">
        <v>50</v>
      </c>
      <c r="C58" s="1307">
        <v>0</v>
      </c>
      <c r="D58" s="1307">
        <v>0</v>
      </c>
      <c r="E58" s="1307">
        <v>0</v>
      </c>
      <c r="F58" s="1307">
        <v>0</v>
      </c>
    </row>
    <row r="59" spans="1:6">
      <c r="A59" s="1306" t="s">
        <v>48</v>
      </c>
      <c r="B59" s="1306" t="s">
        <v>51</v>
      </c>
      <c r="C59" s="1307">
        <v>22</v>
      </c>
      <c r="D59" s="1307">
        <v>963329.64060390298</v>
      </c>
      <c r="E59" s="1307">
        <v>105</v>
      </c>
      <c r="F59" s="1307">
        <v>2037292.9448488001</v>
      </c>
    </row>
    <row r="60" spans="1:6">
      <c r="A60" s="1306" t="s">
        <v>48</v>
      </c>
      <c r="B60" s="1306" t="s">
        <v>52</v>
      </c>
      <c r="C60" s="1307">
        <v>14</v>
      </c>
      <c r="D60" s="1307">
        <v>403954.95547139499</v>
      </c>
      <c r="E60" s="1307">
        <v>25</v>
      </c>
      <c r="F60" s="1307">
        <v>520700.856195834</v>
      </c>
    </row>
    <row r="61" spans="1:6">
      <c r="A61" s="1306" t="s">
        <v>48</v>
      </c>
      <c r="B61" s="1306" t="s">
        <v>53</v>
      </c>
      <c r="C61" s="1307">
        <v>22</v>
      </c>
      <c r="D61" s="1307">
        <v>2184470.8213163498</v>
      </c>
      <c r="E61" s="1307">
        <v>85</v>
      </c>
      <c r="F61" s="1307">
        <v>2956117.7587020299</v>
      </c>
    </row>
    <row r="62" spans="1:6">
      <c r="A62" s="1306" t="s">
        <v>48</v>
      </c>
      <c r="B62" s="1306" t="s">
        <v>54</v>
      </c>
      <c r="C62" s="1307">
        <v>4</v>
      </c>
      <c r="D62" s="1307">
        <v>749673.69308651495</v>
      </c>
      <c r="E62" s="1307">
        <v>6</v>
      </c>
      <c r="F62" s="1307">
        <v>93534.253345022007</v>
      </c>
    </row>
    <row r="63" spans="1:6">
      <c r="A63" s="1306" t="s">
        <v>48</v>
      </c>
      <c r="B63" s="1306" t="s">
        <v>28</v>
      </c>
      <c r="C63" s="1307">
        <v>76</v>
      </c>
      <c r="D63" s="1307">
        <v>4125631.6315816999</v>
      </c>
      <c r="E63" s="1307">
        <v>87</v>
      </c>
      <c r="F63" s="1307">
        <v>1488551.93167196</v>
      </c>
    </row>
    <row r="64" spans="1:6">
      <c r="A64" s="1306" t="s">
        <v>55</v>
      </c>
      <c r="B64" s="1306" t="s">
        <v>56</v>
      </c>
      <c r="C64" s="1307">
        <v>0</v>
      </c>
      <c r="D64" s="1307">
        <v>0</v>
      </c>
      <c r="E64" s="1307">
        <v>0</v>
      </c>
      <c r="F64" s="1307">
        <v>0</v>
      </c>
    </row>
    <row r="65" spans="1:6">
      <c r="A65" s="1306" t="s">
        <v>55</v>
      </c>
      <c r="B65" s="1306" t="s">
        <v>28</v>
      </c>
      <c r="C65" s="1307">
        <v>1</v>
      </c>
      <c r="D65" s="1307">
        <v>24378.76252815</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255908.128535575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18117407</v>
      </c>
      <c r="E73" s="456"/>
      <c r="F73" s="332"/>
    </row>
    <row r="74" spans="1:6">
      <c r="A74" s="1306" t="s">
        <v>63</v>
      </c>
      <c r="B74" s="1306" t="s">
        <v>724</v>
      </c>
      <c r="C74" s="1320" t="s">
        <v>725</v>
      </c>
      <c r="D74" s="1321">
        <v>4168708.3292162241</v>
      </c>
      <c r="E74" s="456"/>
      <c r="F74" s="332"/>
    </row>
    <row r="75" spans="1:6">
      <c r="A75" s="1306" t="s">
        <v>64</v>
      </c>
      <c r="B75" s="1306" t="s">
        <v>722</v>
      </c>
      <c r="C75" s="1320" t="s">
        <v>726</v>
      </c>
      <c r="D75" s="1321">
        <v>7072859</v>
      </c>
      <c r="E75" s="456"/>
      <c r="F75" s="332"/>
    </row>
    <row r="76" spans="1:6">
      <c r="A76" s="1306" t="s">
        <v>64</v>
      </c>
      <c r="B76" s="1306" t="s">
        <v>724</v>
      </c>
      <c r="C76" s="1320" t="s">
        <v>727</v>
      </c>
      <c r="D76" s="1321">
        <v>1483965.3292162241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45343.341567551863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1595.0659613960906</v>
      </c>
      <c r="C91" s="332"/>
      <c r="D91" s="332"/>
      <c r="E91" s="332"/>
      <c r="F91" s="332"/>
    </row>
    <row r="92" spans="1:6">
      <c r="A92" s="1301" t="s">
        <v>68</v>
      </c>
      <c r="B92" s="1302">
        <v>1338.6565978608446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824</v>
      </c>
      <c r="C97" s="332"/>
      <c r="D97" s="332"/>
      <c r="E97" s="332"/>
      <c r="F97" s="332"/>
    </row>
    <row r="98" spans="1:6">
      <c r="A98" s="1306" t="s">
        <v>71</v>
      </c>
      <c r="B98" s="1307">
        <v>0</v>
      </c>
      <c r="C98" s="332"/>
      <c r="D98" s="332"/>
      <c r="E98" s="332"/>
      <c r="F98" s="332"/>
    </row>
    <row r="99" spans="1:6">
      <c r="A99" s="1306" t="s">
        <v>72</v>
      </c>
      <c r="B99" s="1307">
        <v>50</v>
      </c>
      <c r="C99" s="332"/>
      <c r="D99" s="332"/>
      <c r="E99" s="332"/>
      <c r="F99" s="332"/>
    </row>
    <row r="100" spans="1:6">
      <c r="A100" s="1306" t="s">
        <v>73</v>
      </c>
      <c r="B100" s="1307">
        <v>270</v>
      </c>
      <c r="C100" s="332"/>
      <c r="D100" s="332"/>
      <c r="E100" s="332"/>
      <c r="F100" s="332"/>
    </row>
    <row r="101" spans="1:6">
      <c r="A101" s="1306" t="s">
        <v>74</v>
      </c>
      <c r="B101" s="1307">
        <v>66</v>
      </c>
      <c r="C101" s="332"/>
      <c r="D101" s="332"/>
      <c r="E101" s="332"/>
      <c r="F101" s="332"/>
    </row>
    <row r="102" spans="1:6">
      <c r="A102" s="1306" t="s">
        <v>75</v>
      </c>
      <c r="B102" s="1307">
        <v>62</v>
      </c>
      <c r="C102" s="332"/>
      <c r="D102" s="332"/>
      <c r="E102" s="332"/>
      <c r="F102" s="332"/>
    </row>
    <row r="103" spans="1:6">
      <c r="A103" s="1306" t="s">
        <v>76</v>
      </c>
      <c r="B103" s="1307">
        <v>87</v>
      </c>
      <c r="C103" s="332"/>
      <c r="D103" s="332"/>
      <c r="E103" s="332"/>
      <c r="F103" s="332"/>
    </row>
    <row r="104" spans="1:6">
      <c r="A104" s="1306" t="s">
        <v>77</v>
      </c>
      <c r="B104" s="1307">
        <v>1363</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4</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73</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62245.831049776862</v>
      </c>
      <c r="C3" s="43" t="s">
        <v>169</v>
      </c>
      <c r="D3" s="43"/>
      <c r="E3" s="156"/>
      <c r="F3" s="43"/>
      <c r="G3" s="43"/>
      <c r="H3" s="43"/>
      <c r="I3" s="43"/>
      <c r="J3" s="43"/>
      <c r="K3" s="96"/>
    </row>
    <row r="4" spans="1:11">
      <c r="A4" s="363" t="s">
        <v>170</v>
      </c>
      <c r="B4" s="49">
        <f>IF(ISERROR('SEAP template'!B78+'SEAP template'!C78),0,'SEAP template'!B78+'SEAP template'!C78)</f>
        <v>11933.722559256936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2138.8235294117653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0.21299096312513921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3055.4621848739503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12857.142857142857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699.90200000000004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699.90200000000004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0.21299096312513921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149.0728010732112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12546.032382495601</v>
      </c>
      <c r="C5" s="17">
        <f>IF(ISERROR('Eigen informatie GS &amp; warmtenet'!B57),0,'Eigen informatie GS &amp; warmtenet'!B57)</f>
        <v>0</v>
      </c>
      <c r="D5" s="30">
        <f>(SUM(HH_hh_gas_kWh,HH_rest_gas_kWh)/1000)*0.902</f>
        <v>23886.087492759736</v>
      </c>
      <c r="E5" s="17">
        <f>B46*B57</f>
        <v>2408.9742595883354</v>
      </c>
      <c r="F5" s="17">
        <f>B51*B62</f>
        <v>15958.761957840261</v>
      </c>
      <c r="G5" s="18"/>
      <c r="H5" s="17"/>
      <c r="I5" s="17"/>
      <c r="J5" s="17">
        <f>B50*B61+C50*C61</f>
        <v>386.09043918327609</v>
      </c>
      <c r="K5" s="17"/>
      <c r="L5" s="17"/>
      <c r="M5" s="17"/>
      <c r="N5" s="17">
        <f>B48*B59+C48*C59</f>
        <v>10884.535179021032</v>
      </c>
      <c r="O5" s="17">
        <f>B69*B70*B71</f>
        <v>121.94000000000001</v>
      </c>
      <c r="P5" s="17">
        <f>B77*B78*B79/1000-B77*B78*B79/1000/B80</f>
        <v>209.73333333333335</v>
      </c>
    </row>
    <row r="6" spans="1:16">
      <c r="A6" s="16" t="s">
        <v>633</v>
      </c>
      <c r="B6" s="779">
        <f>kWh_PV_kleiner_dan_10kW</f>
        <v>1595.0659613960906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14141.098343891692</v>
      </c>
      <c r="C8" s="21">
        <f>C5</f>
        <v>0</v>
      </c>
      <c r="D8" s="21">
        <f>D5</f>
        <v>23886.087492759736</v>
      </c>
      <c r="E8" s="21">
        <f>E5</f>
        <v>2408.9742595883354</v>
      </c>
      <c r="F8" s="21">
        <f>F5</f>
        <v>15958.761957840261</v>
      </c>
      <c r="G8" s="21"/>
      <c r="H8" s="21"/>
      <c r="I8" s="21"/>
      <c r="J8" s="21">
        <f>J5</f>
        <v>386.09043918327609</v>
      </c>
      <c r="K8" s="21"/>
      <c r="L8" s="21">
        <f>L5</f>
        <v>0</v>
      </c>
      <c r="M8" s="21">
        <f>M5</f>
        <v>0</v>
      </c>
      <c r="N8" s="21">
        <f>N5</f>
        <v>10884.535179021032</v>
      </c>
      <c r="O8" s="21">
        <f>O5</f>
        <v>121.94000000000001</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0.21299096312513921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3011.9261559128026</v>
      </c>
      <c r="C12" s="23">
        <f ca="1">C10*C8</f>
        <v>0</v>
      </c>
      <c r="D12" s="23">
        <f>D8*D10</f>
        <v>4824.9896735374668</v>
      </c>
      <c r="E12" s="23">
        <f>E10*E8</f>
        <v>546.8371569265521</v>
      </c>
      <c r="F12" s="23">
        <f>F10*F8</f>
        <v>4260.9894427433501</v>
      </c>
      <c r="G12" s="23"/>
      <c r="H12" s="23"/>
      <c r="I12" s="23"/>
      <c r="J12" s="23">
        <f>J10*J8</f>
        <v>136.67601547087972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824</v>
      </c>
      <c r="C18" s="168" t="s">
        <v>110</v>
      </c>
      <c r="D18" s="230"/>
      <c r="E18" s="15"/>
    </row>
    <row r="19" spans="1:7">
      <c r="A19" s="173" t="s">
        <v>71</v>
      </c>
      <c r="B19" s="37">
        <f>aantalw2001_ander</f>
        <v>0</v>
      </c>
      <c r="C19" s="168" t="s">
        <v>110</v>
      </c>
      <c r="D19" s="231"/>
      <c r="E19" s="15"/>
    </row>
    <row r="20" spans="1:7">
      <c r="A20" s="173" t="s">
        <v>72</v>
      </c>
      <c r="B20" s="37">
        <f>aantalw2001_propaan</f>
        <v>50</v>
      </c>
      <c r="C20" s="169">
        <f>IF(ISERROR(B20/SUM($B$20,$B$21,$B$22)*100),0,B20/SUM($B$20,$B$21,$B$22)*100)</f>
        <v>12.953367875647666</v>
      </c>
      <c r="D20" s="231"/>
      <c r="E20" s="15"/>
    </row>
    <row r="21" spans="1:7">
      <c r="A21" s="173" t="s">
        <v>73</v>
      </c>
      <c r="B21" s="37">
        <f>aantalw2001_elektriciteit</f>
        <v>270</v>
      </c>
      <c r="C21" s="169">
        <f>IF(ISERROR(B21/SUM($B$20,$B$21,$B$22)*100),0,B21/SUM($B$20,$B$21,$B$22)*100)</f>
        <v>69.948186528497416</v>
      </c>
      <c r="D21" s="231"/>
      <c r="E21" s="15"/>
    </row>
    <row r="22" spans="1:7">
      <c r="A22" s="173" t="s">
        <v>74</v>
      </c>
      <c r="B22" s="37">
        <f>aantalw2001_hout</f>
        <v>66</v>
      </c>
      <c r="C22" s="169">
        <f>IF(ISERROR(B22/SUM($B$20,$B$21,$B$22)*100),0,B22/SUM($B$20,$B$21,$B$22)*100)</f>
        <v>17.098445595854923</v>
      </c>
      <c r="D22" s="231"/>
      <c r="E22" s="15"/>
    </row>
    <row r="23" spans="1:7">
      <c r="A23" s="173" t="s">
        <v>75</v>
      </c>
      <c r="B23" s="37">
        <f>aantalw2001_niet_gespec</f>
        <v>62</v>
      </c>
      <c r="C23" s="168" t="s">
        <v>110</v>
      </c>
      <c r="D23" s="230"/>
      <c r="E23" s="15"/>
    </row>
    <row r="24" spans="1:7">
      <c r="A24" s="173" t="s">
        <v>76</v>
      </c>
      <c r="B24" s="37">
        <f>aantalw2001_steenkool</f>
        <v>87</v>
      </c>
      <c r="C24" s="168" t="s">
        <v>110</v>
      </c>
      <c r="D24" s="231"/>
      <c r="E24" s="15"/>
    </row>
    <row r="25" spans="1:7">
      <c r="A25" s="173" t="s">
        <v>77</v>
      </c>
      <c r="B25" s="37">
        <f>aantalw2001_stookolie</f>
        <v>1363</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3096</v>
      </c>
      <c r="C28" s="36"/>
      <c r="D28" s="230"/>
    </row>
    <row r="29" spans="1:7" s="15" customFormat="1">
      <c r="A29" s="232" t="s">
        <v>743</v>
      </c>
      <c r="B29" s="37">
        <f>SUM(HH_hh_gas_aantal,HH_rest_gas_aantal)</f>
        <v>1585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1585</v>
      </c>
      <c r="C32" s="169">
        <f>IF(ISERROR(B32/SUM($B$32,$B$34,$B$35,$B$36,$B$38,$B$39)*100),0,B32/SUM($B$32,$B$34,$B$35,$B$36,$B$38,$B$39)*100)</f>
        <v>51.377633711507301</v>
      </c>
      <c r="D32" s="235"/>
      <c r="G32" s="15"/>
    </row>
    <row r="33" spans="1:7">
      <c r="A33" s="173" t="s">
        <v>71</v>
      </c>
      <c r="B33" s="34" t="s">
        <v>110</v>
      </c>
      <c r="C33" s="169"/>
      <c r="D33" s="235"/>
      <c r="G33" s="15"/>
    </row>
    <row r="34" spans="1:7">
      <c r="A34" s="173" t="s">
        <v>72</v>
      </c>
      <c r="B34" s="33">
        <f>IF((($B$28-$B$32-$B$39-$B$77-$B$38)*C20/100)&lt;0,0,($B$28-$B$32-$B$39-$B$77-$B$38)*C20/100)</f>
        <v>105.05181347150257</v>
      </c>
      <c r="C34" s="169">
        <f>IF(ISERROR(B34/SUM($B$32,$B$34,$B$35,$B$36,$B$38,$B$39)*100),0,B34/SUM($B$32,$B$34,$B$35,$B$36,$B$38,$B$39)*100)</f>
        <v>3.40524516925454</v>
      </c>
      <c r="D34" s="235"/>
      <c r="G34" s="15"/>
    </row>
    <row r="35" spans="1:7">
      <c r="A35" s="173" t="s">
        <v>73</v>
      </c>
      <c r="B35" s="33">
        <f>IF((($B$28-$B$32-$B$39-$B$77-$B$38)*C21/100)&lt;0,0,($B$28-$B$32-$B$39-$B$77-$B$38)*C21/100)</f>
        <v>567.27979274611403</v>
      </c>
      <c r="C35" s="169">
        <f>IF(ISERROR(B35/SUM($B$32,$B$34,$B$35,$B$36,$B$38,$B$39)*100),0,B35/SUM($B$32,$B$34,$B$35,$B$36,$B$38,$B$39)*100)</f>
        <v>18.388323913974521</v>
      </c>
      <c r="D35" s="235"/>
      <c r="G35" s="15"/>
    </row>
    <row r="36" spans="1:7">
      <c r="A36" s="173" t="s">
        <v>74</v>
      </c>
      <c r="B36" s="33">
        <f>IF((($B$28-$B$32-$B$39-$B$77-$B$38)*C22/100)&lt;0,0,($B$28-$B$32-$B$39-$B$77-$B$38)*C22/100)</f>
        <v>138.66839378238342</v>
      </c>
      <c r="C36" s="169">
        <f>IF(ISERROR(B36/SUM($B$32,$B$34,$B$35,$B$36,$B$38,$B$39)*100),0,B36/SUM($B$32,$B$34,$B$35,$B$36,$B$38,$B$39)*100)</f>
        <v>4.4949236234159935</v>
      </c>
      <c r="D36" s="235"/>
      <c r="G36" s="15"/>
    </row>
    <row r="37" spans="1:7">
      <c r="A37" s="173" t="s">
        <v>75</v>
      </c>
      <c r="B37" s="34" t="s">
        <v>110</v>
      </c>
      <c r="C37" s="169"/>
      <c r="D37" s="175"/>
      <c r="G37" s="15"/>
    </row>
    <row r="38" spans="1:7">
      <c r="A38" s="173" t="s">
        <v>76</v>
      </c>
      <c r="B38" s="33">
        <f>IF((B24-(B29-B18)*0.1)&lt;0,0,B24-(B29-B18)*0.1)</f>
        <v>10.899999999999991</v>
      </c>
      <c r="C38" s="169">
        <f>IF(ISERROR(B38/SUM($B$32,$B$34,$B$35,$B$36,$B$38,$B$39)*100),0,B38/SUM($B$32,$B$34,$B$35,$B$36,$B$38,$B$39)*100)</f>
        <v>0.35332252836304673</v>
      </c>
      <c r="D38" s="236"/>
      <c r="G38" s="15"/>
    </row>
    <row r="39" spans="1:7">
      <c r="A39" s="173" t="s">
        <v>77</v>
      </c>
      <c r="B39" s="33">
        <f>IF((B25-(B29-B18))&lt;0,0,B25-(B29-B18)*0.9)</f>
        <v>678.1</v>
      </c>
      <c r="C39" s="169">
        <f>IF(ISERROR(B39/SUM($B$32,$B$34,$B$35,$B$36,$B$38,$B$39)*100),0,B39/SUM($B$32,$B$34,$B$35,$B$36,$B$38,$B$39)*100)</f>
        <v>21.980551053484604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1585</v>
      </c>
      <c r="C44" s="34" t="s">
        <v>110</v>
      </c>
      <c r="D44" s="176"/>
    </row>
    <row r="45" spans="1:7">
      <c r="A45" s="173" t="s">
        <v>71</v>
      </c>
      <c r="B45" s="33" t="str">
        <f t="shared" si="0"/>
        <v>-</v>
      </c>
      <c r="C45" s="34" t="s">
        <v>110</v>
      </c>
      <c r="D45" s="176"/>
    </row>
    <row r="46" spans="1:7">
      <c r="A46" s="173" t="s">
        <v>72</v>
      </c>
      <c r="B46" s="33">
        <f t="shared" si="0"/>
        <v>105.05181347150257</v>
      </c>
      <c r="C46" s="34" t="s">
        <v>110</v>
      </c>
      <c r="D46" s="176"/>
    </row>
    <row r="47" spans="1:7">
      <c r="A47" s="173" t="s">
        <v>73</v>
      </c>
      <c r="B47" s="33">
        <f t="shared" si="0"/>
        <v>567.27979274611403</v>
      </c>
      <c r="C47" s="34" t="s">
        <v>110</v>
      </c>
      <c r="D47" s="176"/>
    </row>
    <row r="48" spans="1:7">
      <c r="A48" s="173" t="s">
        <v>74</v>
      </c>
      <c r="B48" s="33">
        <f t="shared" si="0"/>
        <v>138.66839378238342</v>
      </c>
      <c r="C48" s="33">
        <f>B48*10</f>
        <v>1386.6839378238342</v>
      </c>
      <c r="D48" s="236"/>
    </row>
    <row r="49" spans="1:6">
      <c r="A49" s="173" t="s">
        <v>75</v>
      </c>
      <c r="B49" s="33" t="str">
        <f t="shared" si="0"/>
        <v>-</v>
      </c>
      <c r="C49" s="34" t="s">
        <v>110</v>
      </c>
      <c r="D49" s="236"/>
    </row>
    <row r="50" spans="1:6">
      <c r="A50" s="173" t="s">
        <v>76</v>
      </c>
      <c r="B50" s="33">
        <f t="shared" si="0"/>
        <v>10.899999999999991</v>
      </c>
      <c r="C50" s="33">
        <f>B50*2</f>
        <v>21.799999999999983</v>
      </c>
      <c r="D50" s="236"/>
    </row>
    <row r="51" spans="1:6">
      <c r="A51" s="173" t="s">
        <v>77</v>
      </c>
      <c r="B51" s="33">
        <f t="shared" si="0"/>
        <v>678.1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7750.792891631424</v>
      </c>
      <c r="C5" s="17">
        <f>IF(ISERROR('Eigen informatie GS &amp; warmtenet'!B58),0,'Eigen informatie GS &amp; warmtenet'!B58)</f>
        <v>0</v>
      </c>
      <c r="D5" s="30">
        <f>SUM(D6:D12)</f>
        <v>8211.6483882532739</v>
      </c>
      <c r="E5" s="17">
        <f>SUM(E6:E12)</f>
        <v>91.333208698111918</v>
      </c>
      <c r="F5" s="17">
        <f>SUM(F6:F12)</f>
        <v>1477.2787131452365</v>
      </c>
      <c r="G5" s="18"/>
      <c r="H5" s="17"/>
      <c r="I5" s="17"/>
      <c r="J5" s="17">
        <f>SUM(J6:J12)</f>
        <v>0</v>
      </c>
      <c r="K5" s="17"/>
      <c r="L5" s="17"/>
      <c r="M5" s="17"/>
      <c r="N5" s="17">
        <f>SUM(N6:N12)</f>
        <v>581.67993582804718</v>
      </c>
      <c r="O5" s="17">
        <f>B38*B39*B40</f>
        <v>0</v>
      </c>
      <c r="P5" s="17">
        <f>B46*B47*B48/1000-B46*B47*B48/1000/B49</f>
        <v>0</v>
      </c>
      <c r="R5" s="32"/>
    </row>
    <row r="6" spans="1:18">
      <c r="A6" s="32" t="s">
        <v>53</v>
      </c>
      <c r="B6" s="37">
        <f>B26</f>
        <v>2956.1177587020297</v>
      </c>
      <c r="C6" s="33"/>
      <c r="D6" s="37">
        <f>IF(ISERROR(TER_kantoor_gas_kWh/1000),0,TER_kantoor_gas_kWh/1000)*0.902</f>
        <v>1970.3926808273477</v>
      </c>
      <c r="E6" s="33">
        <f>$C$26*'E Balans VL '!I12/100/3.6*1000000</f>
        <v>11.485143339151755</v>
      </c>
      <c r="F6" s="33">
        <f>$C$26*('E Balans VL '!L12+'E Balans VL '!N12)/100/3.6*1000000</f>
        <v>449.59861257151118</v>
      </c>
      <c r="G6" s="34"/>
      <c r="H6" s="33"/>
      <c r="I6" s="33"/>
      <c r="J6" s="33">
        <f>$C$26*('E Balans VL '!D12+'E Balans VL '!E12)/100/3.6*1000000</f>
        <v>0</v>
      </c>
      <c r="K6" s="33"/>
      <c r="L6" s="33"/>
      <c r="M6" s="33"/>
      <c r="N6" s="33">
        <f>$C$26*'E Balans VL '!Y12/100/3.6*1000000</f>
        <v>1.6291750192310688</v>
      </c>
      <c r="O6" s="33"/>
      <c r="P6" s="33"/>
      <c r="R6" s="32"/>
    </row>
    <row r="7" spans="1:18">
      <c r="A7" s="32" t="s">
        <v>52</v>
      </c>
      <c r="B7" s="37">
        <f t="shared" ref="B7:B12" si="0">B27</f>
        <v>520.70085619583404</v>
      </c>
      <c r="C7" s="33"/>
      <c r="D7" s="37">
        <f>IF(ISERROR(TER_horeca_gas_kWh/1000),0,TER_horeca_gas_kWh/1000)*0.902</f>
        <v>364.3673698351983</v>
      </c>
      <c r="E7" s="33">
        <f>$C$27*'E Balans VL '!I9/100/3.6*1000000</f>
        <v>29.331218441855228</v>
      </c>
      <c r="F7" s="33">
        <f>$C$27*('E Balans VL '!L9+'E Balans VL '!N9)/100/3.6*1000000</f>
        <v>150.13895320299838</v>
      </c>
      <c r="G7" s="34"/>
      <c r="H7" s="33"/>
      <c r="I7" s="33"/>
      <c r="J7" s="33">
        <f>$C$27*('E Balans VL '!D9+'E Balans VL '!E9)/100/3.6*1000000</f>
        <v>0</v>
      </c>
      <c r="K7" s="33"/>
      <c r="L7" s="33"/>
      <c r="M7" s="33"/>
      <c r="N7" s="33">
        <f>$C$27*'E Balans VL '!Y9/100/3.6*1000000</f>
        <v>0.14376280057943902</v>
      </c>
      <c r="O7" s="33"/>
      <c r="P7" s="33"/>
      <c r="R7" s="32"/>
    </row>
    <row r="8" spans="1:18">
      <c r="A8" s="6" t="s">
        <v>51</v>
      </c>
      <c r="B8" s="37">
        <f t="shared" si="0"/>
        <v>2037.2929448488001</v>
      </c>
      <c r="C8" s="33"/>
      <c r="D8" s="37">
        <f>IF(ISERROR(TER_handel_gas_kWh/1000),0,TER_handel_gas_kWh/1000)*0.902</f>
        <v>868.92333582472043</v>
      </c>
      <c r="E8" s="33">
        <f>$C$28*'E Balans VL '!I13/100/3.6*1000000</f>
        <v>29.364303182672391</v>
      </c>
      <c r="F8" s="33">
        <f>$C$28*('E Balans VL '!L13+'E Balans VL '!N13)/100/3.6*1000000</f>
        <v>353.92522987136431</v>
      </c>
      <c r="G8" s="34"/>
      <c r="H8" s="33"/>
      <c r="I8" s="33"/>
      <c r="J8" s="33">
        <f>$C$28*('E Balans VL '!D13+'E Balans VL '!E13)/100/3.6*1000000</f>
        <v>0</v>
      </c>
      <c r="K8" s="33"/>
      <c r="L8" s="33"/>
      <c r="M8" s="33"/>
      <c r="N8" s="33">
        <f>$C$28*'E Balans VL '!Y13/100/3.6*1000000</f>
        <v>6.1039564588896607</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654.595146867778</v>
      </c>
      <c r="C10" s="33"/>
      <c r="D10" s="37">
        <f>IF(ISERROR(TER_ander_gas_kWh/1000),0,TER_ander_gas_kWh/1000)*0.902</f>
        <v>610.43959891527709</v>
      </c>
      <c r="E10" s="33">
        <f>$C$30*'E Balans VL '!I14/100/3.6*1000000</f>
        <v>3.0103835091315316</v>
      </c>
      <c r="F10" s="33">
        <f>$C$30*('E Balans VL '!L14+'E Balans VL '!N14)/100/3.6*1000000</f>
        <v>196.20281330299318</v>
      </c>
      <c r="G10" s="34"/>
      <c r="H10" s="33"/>
      <c r="I10" s="33"/>
      <c r="J10" s="33">
        <f>$C$30*('E Balans VL '!D14+'E Balans VL '!E14)/100/3.6*1000000</f>
        <v>0</v>
      </c>
      <c r="K10" s="33"/>
      <c r="L10" s="33"/>
      <c r="M10" s="33"/>
      <c r="N10" s="33">
        <f>$C$30*'E Balans VL '!Y14/100/3.6*1000000</f>
        <v>455.64143254879605</v>
      </c>
      <c r="O10" s="33"/>
      <c r="P10" s="33"/>
      <c r="R10" s="32"/>
    </row>
    <row r="11" spans="1:18">
      <c r="A11" s="32" t="s">
        <v>54</v>
      </c>
      <c r="B11" s="37">
        <f t="shared" si="0"/>
        <v>93.534253345022009</v>
      </c>
      <c r="C11" s="33"/>
      <c r="D11" s="37">
        <f>IF(ISERROR(TER_onderwijs_gas_kWh/1000),0,TER_onderwijs_gas_kWh/1000)*0.902</f>
        <v>676.20567116403652</v>
      </c>
      <c r="E11" s="33">
        <f>$C$31*'E Balans VL '!I11/100/3.6*1000000</f>
        <v>8.676532055288734E-2</v>
      </c>
      <c r="F11" s="33">
        <f>$C$31*('E Balans VL '!L11+'E Balans VL '!N11)/100/3.6*1000000</f>
        <v>32.856433469850558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1488.5519316719601</v>
      </c>
      <c r="C12" s="33"/>
      <c r="D12" s="37">
        <f>IF(ISERROR(TER_rest_gas_kWh/1000),0,TER_rest_gas_kWh/1000)*0.902</f>
        <v>3721.3197316866936</v>
      </c>
      <c r="E12" s="33">
        <f>$C$32*'E Balans VL '!I8/100/3.6*1000000</f>
        <v>18.05539490474813</v>
      </c>
      <c r="F12" s="33">
        <f>$C$32*('E Balans VL '!L8+'E Balans VL '!N8)/100/3.6*1000000</f>
        <v>294.55667072651892</v>
      </c>
      <c r="G12" s="34"/>
      <c r="H12" s="33"/>
      <c r="I12" s="33"/>
      <c r="J12" s="33">
        <f>$C$32*('E Balans VL '!D8+'E Balans VL '!E8)/100/3.6*1000000</f>
        <v>0</v>
      </c>
      <c r="K12" s="33"/>
      <c r="L12" s="33"/>
      <c r="M12" s="33"/>
      <c r="N12" s="33">
        <f>$C$32*'E Balans VL '!Y8/100/3.6*1000000</f>
        <v>118.16160900055098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7750.792891631424</v>
      </c>
      <c r="C16" s="21">
        <f t="shared" ca="1" si="1"/>
        <v>0</v>
      </c>
      <c r="D16" s="21">
        <f t="shared" ca="1" si="1"/>
        <v>8211.6483882532739</v>
      </c>
      <c r="E16" s="21">
        <f t="shared" si="1"/>
        <v>91.333208698111918</v>
      </c>
      <c r="F16" s="21">
        <f t="shared" ca="1" si="1"/>
        <v>1477.2787131452365</v>
      </c>
      <c r="G16" s="21">
        <f t="shared" si="1"/>
        <v>0</v>
      </c>
      <c r="H16" s="21">
        <f t="shared" si="1"/>
        <v>0</v>
      </c>
      <c r="I16" s="21">
        <f t="shared" si="1"/>
        <v>0</v>
      </c>
      <c r="J16" s="21">
        <f t="shared" si="1"/>
        <v>0</v>
      </c>
      <c r="K16" s="21">
        <f t="shared" si="1"/>
        <v>0</v>
      </c>
      <c r="L16" s="21">
        <f t="shared" ca="1" si="1"/>
        <v>0</v>
      </c>
      <c r="M16" s="21">
        <f t="shared" si="1"/>
        <v>0</v>
      </c>
      <c r="N16" s="21">
        <f t="shared" ca="1" si="1"/>
        <v>581.67993582804718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0.21299096312513921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1650.8488429720599</v>
      </c>
      <c r="C20" s="23">
        <f t="shared" ref="C20:P20" ca="1" si="2">C16*C18</f>
        <v>0</v>
      </c>
      <c r="D20" s="23">
        <f t="shared" ca="1" si="2"/>
        <v>1658.7529744271615</v>
      </c>
      <c r="E20" s="23">
        <f t="shared" si="2"/>
        <v>20.732638374471406</v>
      </c>
      <c r="F20" s="23">
        <f t="shared" ca="1" si="2"/>
        <v>394.43341640977815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2956.1177587020297</v>
      </c>
      <c r="C26" s="39">
        <f>IF(ISERROR(B26*3.6/1000000/'E Balans VL '!Z12*100),0,B26*3.6/1000000/'E Balans VL '!Z12*100)</f>
        <v>6.2789405465216233E-2</v>
      </c>
      <c r="D26" s="239" t="s">
        <v>689</v>
      </c>
      <c r="F26" s="6"/>
    </row>
    <row r="27" spans="1:18">
      <c r="A27" s="233" t="s">
        <v>52</v>
      </c>
      <c r="B27" s="33">
        <f>IF(ISERROR(TER_horeca_ele_kWh/1000),0,TER_horeca_ele_kWh/1000)</f>
        <v>520.70085619583404</v>
      </c>
      <c r="C27" s="39">
        <f>IF(ISERROR(B27*3.6/1000000/'E Balans VL '!Z9*100),0,B27*3.6/1000000/'E Balans VL '!Z9*100)</f>
        <v>4.048766267820901E-2</v>
      </c>
      <c r="D27" s="239" t="s">
        <v>689</v>
      </c>
      <c r="F27" s="6"/>
    </row>
    <row r="28" spans="1:18">
      <c r="A28" s="173" t="s">
        <v>51</v>
      </c>
      <c r="B28" s="33">
        <f>IF(ISERROR(TER_handel_ele_kWh/1000),0,TER_handel_ele_kWh/1000)</f>
        <v>2037.2929448488001</v>
      </c>
      <c r="C28" s="39">
        <f>IF(ISERROR(B28*3.6/1000000/'E Balans VL '!Z13*100),0,B28*3.6/1000000/'E Balans VL '!Z13*100)</f>
        <v>5.8289348806070757E-2</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654.595146867778</v>
      </c>
      <c r="C30" s="39">
        <f>IF(ISERROR(B30*3.6/1000000/'E Balans VL '!Z14*100),0,B30*3.6/1000000/'E Balans VL '!Z14*100)</f>
        <v>4.7901787933893873E-2</v>
      </c>
      <c r="D30" s="239" t="s">
        <v>689</v>
      </c>
      <c r="F30" s="6"/>
    </row>
    <row r="31" spans="1:18">
      <c r="A31" s="233" t="s">
        <v>54</v>
      </c>
      <c r="B31" s="33">
        <f>IF(ISERROR(TER_onderwijs_ele_kWh/1000),0,TER_onderwijs_ele_kWh/1000)</f>
        <v>93.534253345022009</v>
      </c>
      <c r="C31" s="39">
        <f>IF(ISERROR(B31*3.6/1000000/'E Balans VL '!Z11*100),0,B31*3.6/1000000/'E Balans VL '!Z11*100)</f>
        <v>1.8786424240968942E-2</v>
      </c>
      <c r="D31" s="239" t="s">
        <v>689</v>
      </c>
    </row>
    <row r="32" spans="1:18">
      <c r="A32" s="233" t="s">
        <v>259</v>
      </c>
      <c r="B32" s="33">
        <f>IF(ISERROR(TER_rest_ele_kWh/1000),0,TER_rest_ele_kWh/1000)</f>
        <v>1488.5519316719601</v>
      </c>
      <c r="C32" s="39">
        <f>IF(ISERROR(B32*3.6/1000000/'E Balans VL '!Z8*100),0,B32*3.6/1000000/'E Balans VL '!Z8*100)</f>
        <v>1.2130794886857947E-2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37892.498316359175</v>
      </c>
      <c r="C5" s="17">
        <f>IF(ISERROR('Eigen informatie GS &amp; warmtenet'!B59),0,'Eigen informatie GS &amp; warmtenet'!B59)</f>
        <v>0</v>
      </c>
      <c r="D5" s="30">
        <f>SUM(D6:D15)</f>
        <v>128691.8915758931</v>
      </c>
      <c r="E5" s="17">
        <f>SUM(E6:E15)</f>
        <v>2454.6590489179962</v>
      </c>
      <c r="F5" s="17">
        <f>SUM(F6:F15)</f>
        <v>19618.811888331817</v>
      </c>
      <c r="G5" s="18"/>
      <c r="H5" s="17"/>
      <c r="I5" s="17"/>
      <c r="J5" s="17">
        <f>SUM(J6:J15)</f>
        <v>72.638844826346812</v>
      </c>
      <c r="K5" s="17"/>
      <c r="L5" s="17"/>
      <c r="M5" s="17"/>
      <c r="N5" s="17">
        <f>SUM(N6:N15)</f>
        <v>3826.5141338236963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366.29516525891705</v>
      </c>
      <c r="C8" s="33"/>
      <c r="D8" s="37">
        <f>IF( ISERROR(IND_metaal_Gas_kWH/1000),0,IND_metaal_Gas_kWH/1000)*0.902</f>
        <v>0</v>
      </c>
      <c r="E8" s="33">
        <f>C30*'E Balans VL '!I18/100/3.6*1000000</f>
        <v>10.521372049615316</v>
      </c>
      <c r="F8" s="33">
        <f>C30*'E Balans VL '!L18/100/3.6*1000000+C30*'E Balans VL '!N18/100/3.6*1000000</f>
        <v>93.947665020457194</v>
      </c>
      <c r="G8" s="34"/>
      <c r="H8" s="33"/>
      <c r="I8" s="33"/>
      <c r="J8" s="40">
        <f>C30*'E Balans VL '!D18/100/3.6*1000000+C30*'E Balans VL '!E18/100/3.6*1000000</f>
        <v>0</v>
      </c>
      <c r="K8" s="33"/>
      <c r="L8" s="33"/>
      <c r="M8" s="33"/>
      <c r="N8" s="33">
        <f>C30*'E Balans VL '!Y18/100/3.6*1000000</f>
        <v>9.9456614511463606</v>
      </c>
      <c r="O8" s="33"/>
      <c r="P8" s="33"/>
      <c r="R8" s="32"/>
    </row>
    <row r="9" spans="1:18">
      <c r="A9" s="6" t="s">
        <v>32</v>
      </c>
      <c r="B9" s="37">
        <f t="shared" si="0"/>
        <v>690.43605662258699</v>
      </c>
      <c r="C9" s="33"/>
      <c r="D9" s="37">
        <f>IF( ISERROR(IND_andere_gas_kWh/1000),0,IND_andere_gas_kWh/1000)*0.902</f>
        <v>294.39390927652261</v>
      </c>
      <c r="E9" s="33">
        <f>C31*'E Balans VL '!I19/100/3.6*1000000</f>
        <v>186.88406474848492</v>
      </c>
      <c r="F9" s="33">
        <f>C31*'E Balans VL '!L19/100/3.6*1000000+C31*'E Balans VL '!N19/100/3.6*1000000</f>
        <v>459.90347710766491</v>
      </c>
      <c r="G9" s="34"/>
      <c r="H9" s="33"/>
      <c r="I9" s="33"/>
      <c r="J9" s="40">
        <f>C31*'E Balans VL '!D19/100/3.6*1000000+C31*'E Balans VL '!E19/100/3.6*1000000</f>
        <v>0</v>
      </c>
      <c r="K9" s="33"/>
      <c r="L9" s="33"/>
      <c r="M9" s="33"/>
      <c r="N9" s="33">
        <f>C31*'E Balans VL '!Y19/100/3.6*1000000</f>
        <v>58.371794970843155</v>
      </c>
      <c r="O9" s="33"/>
      <c r="P9" s="33"/>
      <c r="R9" s="32"/>
    </row>
    <row r="10" spans="1:18">
      <c r="A10" s="6" t="s">
        <v>40</v>
      </c>
      <c r="B10" s="37">
        <f t="shared" si="0"/>
        <v>8319.2030364931306</v>
      </c>
      <c r="C10" s="33"/>
      <c r="D10" s="37">
        <f>IF( ISERROR(IND_voed_gas_kWh/1000),0,IND_voed_gas_kWh/1000)*0.902</f>
        <v>220.62538947319675</v>
      </c>
      <c r="E10" s="33">
        <f>C32*'E Balans VL '!I20/100/3.6*1000000</f>
        <v>678.53331252801331</v>
      </c>
      <c r="F10" s="33">
        <f>C32*'E Balans VL '!L20/100/3.6*1000000+C32*'E Balans VL '!N20/100/3.6*1000000</f>
        <v>12404.686511645898</v>
      </c>
      <c r="G10" s="34"/>
      <c r="H10" s="33"/>
      <c r="I10" s="33"/>
      <c r="J10" s="40">
        <f>C32*'E Balans VL '!D20/100/3.6*1000000+C32*'E Balans VL '!E20/100/3.6*1000000</f>
        <v>0.11005295801499185</v>
      </c>
      <c r="K10" s="33"/>
      <c r="L10" s="33"/>
      <c r="M10" s="33"/>
      <c r="N10" s="33">
        <f>C32*'E Balans VL '!Y20/100/3.6*1000000</f>
        <v>2443.8882990997181</v>
      </c>
      <c r="O10" s="33"/>
      <c r="P10" s="33"/>
      <c r="R10" s="32"/>
    </row>
    <row r="11" spans="1:18">
      <c r="A11" s="6" t="s">
        <v>39</v>
      </c>
      <c r="B11" s="37">
        <f t="shared" si="0"/>
        <v>218.861236085239</v>
      </c>
      <c r="C11" s="33"/>
      <c r="D11" s="37">
        <f>IF( ISERROR(IND_textiel_gas_kWh/1000),0,IND_textiel_gas_kWh/1000)*0.902</f>
        <v>0</v>
      </c>
      <c r="E11" s="33">
        <f>C33*'E Balans VL '!I21/100/3.6*1000000</f>
        <v>4.33827748294595E-2</v>
      </c>
      <c r="F11" s="33">
        <f>C33*'E Balans VL '!L21/100/3.6*1000000+C33*'E Balans VL '!N21/100/3.6*1000000</f>
        <v>8.0609233819436419</v>
      </c>
      <c r="G11" s="34"/>
      <c r="H11" s="33"/>
      <c r="I11" s="33"/>
      <c r="J11" s="40">
        <f>C33*'E Balans VL '!D21/100/3.6*1000000+C33*'E Balans VL '!E21/100/3.6*1000000</f>
        <v>0</v>
      </c>
      <c r="K11" s="33"/>
      <c r="L11" s="33"/>
      <c r="M11" s="33"/>
      <c r="N11" s="33">
        <f>C33*'E Balans VL '!Y21/100/3.6*1000000</f>
        <v>1.0176494980617612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28297.7028218993</v>
      </c>
      <c r="C15" s="33"/>
      <c r="D15" s="37">
        <f>IF( ISERROR(IND_rest_gas_kWh/1000),0,IND_rest_gas_kWh/1000)*0.902</f>
        <v>128176.87227714338</v>
      </c>
      <c r="E15" s="33">
        <f>C37*'E Balans VL '!I15/100/3.6*1000000</f>
        <v>1578.6769168170533</v>
      </c>
      <c r="F15" s="33">
        <f>C37*'E Balans VL '!L15/100/3.6*1000000+C37*'E Balans VL '!N15/100/3.6*1000000</f>
        <v>6652.2133111758558</v>
      </c>
      <c r="G15" s="34"/>
      <c r="H15" s="33"/>
      <c r="I15" s="33"/>
      <c r="J15" s="40">
        <f>C37*'E Balans VL '!D15/100/3.6*1000000+C37*'E Balans VL '!E15/100/3.6*1000000</f>
        <v>72.528791868331822</v>
      </c>
      <c r="K15" s="33"/>
      <c r="L15" s="33"/>
      <c r="M15" s="33"/>
      <c r="N15" s="33">
        <f>C37*'E Balans VL '!Y15/100/3.6*1000000</f>
        <v>1313.2907288039269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37892.498316359175</v>
      </c>
      <c r="C18" s="21">
        <f>C5+C16</f>
        <v>0</v>
      </c>
      <c r="D18" s="21">
        <f>MAX((D5+D16),0)</f>
        <v>128691.8915758931</v>
      </c>
      <c r="E18" s="21">
        <f>MAX((E5+E16),0)</f>
        <v>2454.6590489179962</v>
      </c>
      <c r="F18" s="21">
        <f>MAX((F5+F16),0)</f>
        <v>19618.811888331817</v>
      </c>
      <c r="G18" s="21"/>
      <c r="H18" s="21"/>
      <c r="I18" s="21"/>
      <c r="J18" s="21">
        <f>MAX((J5+J16),0)</f>
        <v>72.638844826346812</v>
      </c>
      <c r="K18" s="21"/>
      <c r="L18" s="21">
        <f>MAX((L5+L16),0)</f>
        <v>0</v>
      </c>
      <c r="M18" s="21"/>
      <c r="N18" s="21">
        <f>MAX((N5+N16),0)</f>
        <v>3826.5141338236963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0.21299096312513921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8070.7597116190564</v>
      </c>
      <c r="C22" s="23">
        <f ca="1">C18*C20</f>
        <v>0</v>
      </c>
      <c r="D22" s="23">
        <f>D18*D20</f>
        <v>25995.762098330408</v>
      </c>
      <c r="E22" s="23">
        <f>E18*E20</f>
        <v>557.20760410438515</v>
      </c>
      <c r="F22" s="23">
        <f>F18*F20</f>
        <v>5238.2227741845954</v>
      </c>
      <c r="G22" s="23"/>
      <c r="H22" s="23"/>
      <c r="I22" s="23"/>
      <c r="J22" s="23">
        <f>J18*J20</f>
        <v>25.714151068526771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366.29516525891705</v>
      </c>
      <c r="C30" s="39">
        <f>IF(ISERROR(B30*3.6/1000000/'E Balans VL '!Z18*100),0,B30*3.6/1000000/'E Balans VL '!Z18*100)</f>
        <v>3.6042509209526993E-2</v>
      </c>
      <c r="D30" s="239" t="s">
        <v>689</v>
      </c>
    </row>
    <row r="31" spans="1:18">
      <c r="A31" s="6" t="s">
        <v>32</v>
      </c>
      <c r="B31" s="37">
        <f>IF( ISERROR(IND_ander_ele_kWh/1000),0,IND_ander_ele_kWh/1000)</f>
        <v>690.43605662258699</v>
      </c>
      <c r="C31" s="39">
        <f>IF(ISERROR(B31*3.6/1000000/'E Balans VL '!Z19*100),0,B31*3.6/1000000/'E Balans VL '!Z19*100)</f>
        <v>3.0067939510496598E-2</v>
      </c>
      <c r="D31" s="239" t="s">
        <v>689</v>
      </c>
    </row>
    <row r="32" spans="1:18">
      <c r="A32" s="173" t="s">
        <v>40</v>
      </c>
      <c r="B32" s="37">
        <f>IF( ISERROR(IND_voed_ele_kWh/1000),0,IND_voed_ele_kWh/1000)</f>
        <v>8319.2030364931306</v>
      </c>
      <c r="C32" s="39">
        <f>IF(ISERROR(B32*3.6/1000000/'E Balans VL '!Z20*100),0,B32*3.6/1000000/'E Balans VL '!Z20*100)</f>
        <v>1.5784488002149606</v>
      </c>
      <c r="D32" s="239" t="s">
        <v>689</v>
      </c>
    </row>
    <row r="33" spans="1:5">
      <c r="A33" s="173" t="s">
        <v>39</v>
      </c>
      <c r="B33" s="37">
        <f>IF( ISERROR(IND_textiel_ele_kWh/1000),0,IND_textiel_ele_kWh/1000)</f>
        <v>218.861236085239</v>
      </c>
      <c r="C33" s="39">
        <f>IF(ISERROR(B33*3.6/1000000/'E Balans VL '!Z21*100),0,B33*3.6/1000000/'E Balans VL '!Z21*100)</f>
        <v>1.2495866679249405E-2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28297.7028218993</v>
      </c>
      <c r="C37" s="39">
        <f>IF(ISERROR(B37*3.6/1000000/'E Balans VL '!Z15*100),0,B37*3.6/1000000/'E Balans VL '!Z15*100)</f>
        <v>0.2180685569861564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1263.3571360048984</v>
      </c>
      <c r="C5" s="17">
        <f>'Eigen informatie GS &amp; warmtenet'!B60</f>
        <v>0</v>
      </c>
      <c r="D5" s="30">
        <f>IF(ISERROR(SUM(LB_lb_gas_kWh,LB_rest_gas_kWh)/1000),0,SUM(LB_lb_gas_kWh,LB_rest_gas_kWh)/1000)*0.902</f>
        <v>26518.540242557207</v>
      </c>
      <c r="E5" s="17">
        <f>B17*'E Balans VL '!I25/3.6*1000000/100</f>
        <v>15.919927448564229</v>
      </c>
      <c r="F5" s="17">
        <f>B17*('E Balans VL '!L25/3.6*1000000+'E Balans VL '!N25/3.6*1000000)/100</f>
        <v>4358.8986090905146</v>
      </c>
      <c r="G5" s="18"/>
      <c r="H5" s="17"/>
      <c r="I5" s="17"/>
      <c r="J5" s="17">
        <f>('E Balans VL '!D25+'E Balans VL '!E25)/3.6*1000000*landbouw!B17/100</f>
        <v>189.9945519180734</v>
      </c>
      <c r="K5" s="17"/>
      <c r="L5" s="17">
        <f>L6*(-1)</f>
        <v>0</v>
      </c>
      <c r="M5" s="17"/>
      <c r="N5" s="17">
        <f>N6*(-1)</f>
        <v>0</v>
      </c>
      <c r="O5" s="17"/>
      <c r="P5" s="17"/>
      <c r="R5" s="32"/>
    </row>
    <row r="6" spans="1:18">
      <c r="A6" s="16" t="s">
        <v>496</v>
      </c>
      <c r="B6" s="17" t="s">
        <v>210</v>
      </c>
      <c r="C6" s="17">
        <f>'lokale energieproductie'!O39+'lokale energieproductie'!O32</f>
        <v>12857.142857142857</v>
      </c>
      <c r="D6" s="310">
        <f>('lokale energieproductie'!P32+'lokale energieproductie'!P39)*(-1)</f>
        <v>-25714.285714285717</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1263.3571360048984</v>
      </c>
      <c r="C8" s="21">
        <f>C5+C6</f>
        <v>12857.142857142857</v>
      </c>
      <c r="D8" s="21">
        <f>MAX((D5+D6),0)</f>
        <v>804.25452827148911</v>
      </c>
      <c r="E8" s="21">
        <f>MAX((E5+E6),0)</f>
        <v>15.919927448564229</v>
      </c>
      <c r="F8" s="21">
        <f>MAX((F5+F6),0)</f>
        <v>4358.8986090905146</v>
      </c>
      <c r="G8" s="21"/>
      <c r="H8" s="21"/>
      <c r="I8" s="21"/>
      <c r="J8" s="21">
        <f>MAX((J5+J6),0)</f>
        <v>189.9945519180734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0.21299096312513921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269.08365316870078</v>
      </c>
      <c r="C12" s="23">
        <f ca="1">C8*C10</f>
        <v>3055.4621848739503</v>
      </c>
      <c r="D12" s="23">
        <f>D8*D10</f>
        <v>162.4594147108408</v>
      </c>
      <c r="E12" s="23">
        <f>E8*E10</f>
        <v>3.6138235308240803</v>
      </c>
      <c r="F12" s="23">
        <f>F8*F10</f>
        <v>1163.8259286271675</v>
      </c>
      <c r="G12" s="23"/>
      <c r="H12" s="23"/>
      <c r="I12" s="23"/>
      <c r="J12" s="23">
        <f>J8*J10</f>
        <v>67.258071378997982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0.17619850176708501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229.59717987044056</v>
      </c>
      <c r="C26" s="249">
        <f>B26*'GWP N2O_CH4'!B5</f>
        <v>4821.5407772792514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133.57972405031995</v>
      </c>
      <c r="C27" s="249">
        <f>B27*'GWP N2O_CH4'!B5</f>
        <v>2805.1742050567191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3.5682313338423244</v>
      </c>
      <c r="C28" s="249">
        <f>B28*'GWP N2O_CH4'!B4</f>
        <v>1106.1517134911205</v>
      </c>
      <c r="D28" s="50"/>
    </row>
    <row r="29" spans="1:4">
      <c r="A29" s="41" t="s">
        <v>276</v>
      </c>
      <c r="B29" s="249">
        <f>B34*'ha_N2O bodem landbouw'!B4</f>
        <v>5.6468796995832067</v>
      </c>
      <c r="C29" s="249">
        <f>B29*'GWP N2O_CH4'!B4</f>
        <v>1750.5327068707941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1.4099694357891292E-3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3.9148557649457E-6</v>
      </c>
      <c r="C5" s="444" t="s">
        <v>210</v>
      </c>
      <c r="D5" s="429">
        <f>SUM(D6:D11)</f>
        <v>6.9371441831240657E-6</v>
      </c>
      <c r="E5" s="429">
        <f>SUM(E6:E11)</f>
        <v>2.4307328142781449E-4</v>
      </c>
      <c r="F5" s="442" t="s">
        <v>210</v>
      </c>
      <c r="G5" s="429">
        <f>SUM(G6:G11)</f>
        <v>0.10559445121424875</v>
      </c>
      <c r="H5" s="429">
        <f>SUM(H6:H11)</f>
        <v>1.2576651244088034E-2</v>
      </c>
      <c r="I5" s="444" t="s">
        <v>210</v>
      </c>
      <c r="J5" s="444" t="s">
        <v>210</v>
      </c>
      <c r="K5" s="444" t="s">
        <v>210</v>
      </c>
      <c r="L5" s="444" t="s">
        <v>210</v>
      </c>
      <c r="M5" s="429">
        <f>SUM(M6:M11)</f>
        <v>5.3409820469670988E-3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2.8156524921101499E-6</v>
      </c>
      <c r="C6" s="883"/>
      <c r="D6" s="883">
        <f>vkm_GW_PW*SUMIFS(TableVerdeelsleutelVkm[CNG],TableVerdeelsleutelVkm[Voertuigtype],"Lichte voertuigen")*SUMIFS(TableECFTransport[EnergieConsumptieFactor (PJ per km)],TableECFTransport[Index],CONCATENATE($A6,"_CNG_CNG"))</f>
        <v>4.1727131273410694E-6</v>
      </c>
      <c r="E6" s="883">
        <f>vkm_GW_PW*SUMIFS(TableVerdeelsleutelVkm[LPG],TableVerdeelsleutelVkm[Voertuigtype],"Lichte voertuigen")*SUMIFS(TableECFTransport[EnergieConsumptieFactor (PJ per km)],TableECFTransport[Index],CONCATENATE($A6,"_LPG_LPG"))</f>
        <v>1.4945133696924796E-4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3.0077531156225149E-2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7.6837352457103728E-3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1.7082988251919617E-3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3.9470141960789976E-2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9.1706290535064367E-7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1.7821385173196977E-3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1.0992032728355499E-6</v>
      </c>
      <c r="C8" s="883"/>
      <c r="D8" s="432">
        <f>vkm_NGW_PW*SUMIFS(TableVerdeelsleutelVkm[CNG],TableVerdeelsleutelVkm[Voertuigtype],"Lichte voertuigen")*SUMIFS(TableECFTransport[EnergieConsumptieFactor (PJ per km)],TableECFTransport[Index],CONCATENATE($A8,"_CNG_CNG"))</f>
        <v>2.7644310557829963E-6</v>
      </c>
      <c r="E8" s="432">
        <f>vkm_NGW_PW*SUMIFS(TableVerdeelsleutelVkm[LPG],TableVerdeelsleutelVkm[Voertuigtype],"Lichte voertuigen")*SUMIFS(TableECFTransport[EnergieConsumptieFactor (PJ per km)],TableECFTransport[Index],CONCATENATE($A8,"_LPG_LPG"))</f>
        <v>9.362194445856652E-5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1.7898087694913148E-2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4.8915101781976007E-3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1.0310999468154578E-3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1.8148690402320481E-2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4.8875727470938575E-7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8.194447576399819E-4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1.087459934707139</v>
      </c>
      <c r="C14" s="21"/>
      <c r="D14" s="21">
        <f t="shared" ref="D14:M14" si="0">((D5)*10^9/3600)+D12</f>
        <v>1.9269844953122404</v>
      </c>
      <c r="E14" s="21">
        <f t="shared" si="0"/>
        <v>67.520355952170689</v>
      </c>
      <c r="F14" s="21"/>
      <c r="G14" s="21">
        <f t="shared" si="0"/>
        <v>29331.792003957984</v>
      </c>
      <c r="H14" s="21">
        <f t="shared" si="0"/>
        <v>3493.5142344688979</v>
      </c>
      <c r="I14" s="21"/>
      <c r="J14" s="21"/>
      <c r="K14" s="21"/>
      <c r="L14" s="21"/>
      <c r="M14" s="21">
        <f t="shared" si="0"/>
        <v>1483.6061241575273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0.21299096312513921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0.23161913885327454</v>
      </c>
      <c r="C18" s="23"/>
      <c r="D18" s="23">
        <f t="shared" ref="D18:M18" si="1">D14*D16</f>
        <v>0.38925086805307257</v>
      </c>
      <c r="E18" s="23">
        <f t="shared" si="1"/>
        <v>15.327120801142748</v>
      </c>
      <c r="F18" s="23"/>
      <c r="G18" s="23">
        <f t="shared" si="1"/>
        <v>7831.5884650567823</v>
      </c>
      <c r="H18" s="23">
        <f t="shared" si="1"/>
        <v>869.88504438275561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5.9061176231710614E-4</v>
      </c>
      <c r="H50" s="321">
        <f t="shared" si="2"/>
        <v>0</v>
      </c>
      <c r="I50" s="321">
        <f t="shared" si="2"/>
        <v>0</v>
      </c>
      <c r="J50" s="321">
        <f t="shared" si="2"/>
        <v>0</v>
      </c>
      <c r="K50" s="321">
        <f t="shared" si="2"/>
        <v>0</v>
      </c>
      <c r="L50" s="321">
        <f t="shared" si="2"/>
        <v>0</v>
      </c>
      <c r="M50" s="321">
        <f t="shared" si="2"/>
        <v>2.6288618149229154E-5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5.9061176231710614E-4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2.6288618149229154E-5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164.05882286586282</v>
      </c>
      <c r="H54" s="21">
        <f t="shared" si="3"/>
        <v>0</v>
      </c>
      <c r="I54" s="21">
        <f t="shared" si="3"/>
        <v>0</v>
      </c>
      <c r="J54" s="21">
        <f t="shared" si="3"/>
        <v>0</v>
      </c>
      <c r="K54" s="21">
        <f t="shared" si="3"/>
        <v>0</v>
      </c>
      <c r="L54" s="21">
        <f t="shared" si="3"/>
        <v>0</v>
      </c>
      <c r="M54" s="21">
        <f t="shared" si="3"/>
        <v>7.3023939303414318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0.21299096312513921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43.803705705185379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8450.694891631425</v>
      </c>
      <c r="D10" s="686">
        <f ca="1">tertiair!C16</f>
        <v>0</v>
      </c>
      <c r="E10" s="686">
        <f ca="1">tertiair!D16</f>
        <v>8211.6483882532739</v>
      </c>
      <c r="F10" s="686">
        <f>tertiair!E16</f>
        <v>91.333208698111918</v>
      </c>
      <c r="G10" s="686">
        <f ca="1">tertiair!F16</f>
        <v>1477.2787131452365</v>
      </c>
      <c r="H10" s="686">
        <f>tertiair!G16</f>
        <v>0</v>
      </c>
      <c r="I10" s="686">
        <f>tertiair!H16</f>
        <v>0</v>
      </c>
      <c r="J10" s="686">
        <f>tertiair!I16</f>
        <v>0</v>
      </c>
      <c r="K10" s="686">
        <f>tertiair!J16</f>
        <v>0</v>
      </c>
      <c r="L10" s="686">
        <f>tertiair!K16</f>
        <v>0</v>
      </c>
      <c r="M10" s="686">
        <f ca="1">tertiair!L16</f>
        <v>0</v>
      </c>
      <c r="N10" s="686">
        <f>tertiair!M16</f>
        <v>0</v>
      </c>
      <c r="O10" s="686">
        <f ca="1">tertiair!N16</f>
        <v>581.67993582804718</v>
      </c>
      <c r="P10" s="686">
        <f>tertiair!O16</f>
        <v>0</v>
      </c>
      <c r="Q10" s="687">
        <f>tertiair!P16</f>
        <v>0</v>
      </c>
      <c r="R10" s="689">
        <f ca="1">SUM(C10:Q10)</f>
        <v>18812.635137556095</v>
      </c>
      <c r="S10" s="67"/>
    </row>
    <row r="11" spans="1:19" s="454" customFormat="1">
      <c r="A11" s="801" t="s">
        <v>224</v>
      </c>
      <c r="B11" s="806"/>
      <c r="C11" s="686">
        <f>huishoudens!B8</f>
        <v>14141.098343891692</v>
      </c>
      <c r="D11" s="686">
        <f>huishoudens!C8</f>
        <v>0</v>
      </c>
      <c r="E11" s="686">
        <f>huishoudens!D8</f>
        <v>23886.087492759736</v>
      </c>
      <c r="F11" s="686">
        <f>huishoudens!E8</f>
        <v>2408.9742595883354</v>
      </c>
      <c r="G11" s="686">
        <f>huishoudens!F8</f>
        <v>15958.761957840261</v>
      </c>
      <c r="H11" s="686">
        <f>huishoudens!G8</f>
        <v>0</v>
      </c>
      <c r="I11" s="686">
        <f>huishoudens!H8</f>
        <v>0</v>
      </c>
      <c r="J11" s="686">
        <f>huishoudens!I8</f>
        <v>0</v>
      </c>
      <c r="K11" s="686">
        <f>huishoudens!J8</f>
        <v>386.09043918327609</v>
      </c>
      <c r="L11" s="686">
        <f>huishoudens!K8</f>
        <v>0</v>
      </c>
      <c r="M11" s="686">
        <f>huishoudens!L8</f>
        <v>0</v>
      </c>
      <c r="N11" s="686">
        <f>huishoudens!M8</f>
        <v>0</v>
      </c>
      <c r="O11" s="686">
        <f>huishoudens!N8</f>
        <v>10884.535179021032</v>
      </c>
      <c r="P11" s="686">
        <f>huishoudens!O8</f>
        <v>121.94000000000001</v>
      </c>
      <c r="Q11" s="687">
        <f>huishoudens!P8</f>
        <v>209.73333333333335</v>
      </c>
      <c r="R11" s="689">
        <f>SUM(C11:Q11)</f>
        <v>67997.22100561767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37892.498316359175</v>
      </c>
      <c r="D13" s="686">
        <f>industrie!C18</f>
        <v>0</v>
      </c>
      <c r="E13" s="686">
        <f>industrie!D18</f>
        <v>128691.8915758931</v>
      </c>
      <c r="F13" s="686">
        <f>industrie!E18</f>
        <v>2454.6590489179962</v>
      </c>
      <c r="G13" s="686">
        <f>industrie!F18</f>
        <v>19618.811888331817</v>
      </c>
      <c r="H13" s="686">
        <f>industrie!G18</f>
        <v>0</v>
      </c>
      <c r="I13" s="686">
        <f>industrie!H18</f>
        <v>0</v>
      </c>
      <c r="J13" s="686">
        <f>industrie!I18</f>
        <v>0</v>
      </c>
      <c r="K13" s="686">
        <f>industrie!J18</f>
        <v>72.638844826346812</v>
      </c>
      <c r="L13" s="686">
        <f>industrie!K18</f>
        <v>0</v>
      </c>
      <c r="M13" s="686">
        <f>industrie!L18</f>
        <v>0</v>
      </c>
      <c r="N13" s="686">
        <f>industrie!M18</f>
        <v>0</v>
      </c>
      <c r="O13" s="686">
        <f>industrie!N18</f>
        <v>3826.5141338236963</v>
      </c>
      <c r="P13" s="686">
        <f>industrie!O18</f>
        <v>0</v>
      </c>
      <c r="Q13" s="687">
        <f>industrie!P18</f>
        <v>0</v>
      </c>
      <c r="R13" s="689">
        <f>SUM(C13:Q13)</f>
        <v>192557.01380815211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60484.291551882292</v>
      </c>
      <c r="D16" s="721">
        <f t="shared" ref="D16:R16" ca="1" si="0">SUM(D9:D15)</f>
        <v>0</v>
      </c>
      <c r="E16" s="721">
        <f t="shared" ca="1" si="0"/>
        <v>160789.62745690611</v>
      </c>
      <c r="F16" s="721">
        <f t="shared" si="0"/>
        <v>4954.9665172044433</v>
      </c>
      <c r="G16" s="721">
        <f t="shared" ca="1" si="0"/>
        <v>37054.852559317311</v>
      </c>
      <c r="H16" s="721">
        <f t="shared" si="0"/>
        <v>0</v>
      </c>
      <c r="I16" s="721">
        <f t="shared" si="0"/>
        <v>0</v>
      </c>
      <c r="J16" s="721">
        <f t="shared" si="0"/>
        <v>0</v>
      </c>
      <c r="K16" s="721">
        <f t="shared" si="0"/>
        <v>458.72928400962292</v>
      </c>
      <c r="L16" s="721">
        <f t="shared" si="0"/>
        <v>0</v>
      </c>
      <c r="M16" s="721">
        <f t="shared" ca="1" si="0"/>
        <v>0</v>
      </c>
      <c r="N16" s="721">
        <f t="shared" si="0"/>
        <v>0</v>
      </c>
      <c r="O16" s="721">
        <f t="shared" ca="1" si="0"/>
        <v>15292.729248672775</v>
      </c>
      <c r="P16" s="721">
        <f t="shared" si="0"/>
        <v>121.94000000000001</v>
      </c>
      <c r="Q16" s="721">
        <f t="shared" si="0"/>
        <v>209.73333333333335</v>
      </c>
      <c r="R16" s="721">
        <f t="shared" ca="1" si="0"/>
        <v>279366.86995132588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164.05882286586282</v>
      </c>
      <c r="I19" s="686">
        <f>transport!H54</f>
        <v>0</v>
      </c>
      <c r="J19" s="686">
        <f>transport!I54</f>
        <v>0</v>
      </c>
      <c r="K19" s="686">
        <f>transport!J54</f>
        <v>0</v>
      </c>
      <c r="L19" s="686">
        <f>transport!K54</f>
        <v>0</v>
      </c>
      <c r="M19" s="686">
        <f>transport!L54</f>
        <v>0</v>
      </c>
      <c r="N19" s="686">
        <f>transport!M54</f>
        <v>7.3023939303414318</v>
      </c>
      <c r="O19" s="686">
        <f>transport!N54</f>
        <v>0</v>
      </c>
      <c r="P19" s="686">
        <f>transport!O54</f>
        <v>0</v>
      </c>
      <c r="Q19" s="687">
        <f>transport!P54</f>
        <v>0</v>
      </c>
      <c r="R19" s="689">
        <f>SUM(C19:Q19)</f>
        <v>171.36121679620425</v>
      </c>
      <c r="S19" s="67"/>
    </row>
    <row r="20" spans="1:19" s="454" customFormat="1">
      <c r="A20" s="801" t="s">
        <v>306</v>
      </c>
      <c r="B20" s="806"/>
      <c r="C20" s="686">
        <f>transport!B14</f>
        <v>1.087459934707139</v>
      </c>
      <c r="D20" s="686">
        <f>transport!C14</f>
        <v>0</v>
      </c>
      <c r="E20" s="686">
        <f>transport!D14</f>
        <v>1.9269844953122404</v>
      </c>
      <c r="F20" s="686">
        <f>transport!E14</f>
        <v>67.520355952170689</v>
      </c>
      <c r="G20" s="686">
        <f>transport!F14</f>
        <v>0</v>
      </c>
      <c r="H20" s="686">
        <f>transport!G14</f>
        <v>29331.792003957984</v>
      </c>
      <c r="I20" s="686">
        <f>transport!H14</f>
        <v>3493.5142344688979</v>
      </c>
      <c r="J20" s="686">
        <f>transport!I14</f>
        <v>0</v>
      </c>
      <c r="K20" s="686">
        <f>transport!J14</f>
        <v>0</v>
      </c>
      <c r="L20" s="686">
        <f>transport!K14</f>
        <v>0</v>
      </c>
      <c r="M20" s="686">
        <f>transport!L14</f>
        <v>0</v>
      </c>
      <c r="N20" s="686">
        <f>transport!M14</f>
        <v>1483.6061241575273</v>
      </c>
      <c r="O20" s="686">
        <f>transport!N14</f>
        <v>0</v>
      </c>
      <c r="P20" s="686">
        <f>transport!O14</f>
        <v>0</v>
      </c>
      <c r="Q20" s="687">
        <f>transport!P14</f>
        <v>0</v>
      </c>
      <c r="R20" s="689">
        <f>SUM(C20:Q20)</f>
        <v>34379.4471629666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1.087459934707139</v>
      </c>
      <c r="D22" s="804">
        <f t="shared" ref="D22:R22" si="1">SUM(D18:D21)</f>
        <v>0</v>
      </c>
      <c r="E22" s="804">
        <f t="shared" si="1"/>
        <v>1.9269844953122404</v>
      </c>
      <c r="F22" s="804">
        <f t="shared" si="1"/>
        <v>67.520355952170689</v>
      </c>
      <c r="G22" s="804">
        <f t="shared" si="1"/>
        <v>0</v>
      </c>
      <c r="H22" s="804">
        <f t="shared" si="1"/>
        <v>29495.850826823847</v>
      </c>
      <c r="I22" s="804">
        <f t="shared" si="1"/>
        <v>3493.5142344688979</v>
      </c>
      <c r="J22" s="804">
        <f t="shared" si="1"/>
        <v>0</v>
      </c>
      <c r="K22" s="804">
        <f t="shared" si="1"/>
        <v>0</v>
      </c>
      <c r="L22" s="804">
        <f t="shared" si="1"/>
        <v>0</v>
      </c>
      <c r="M22" s="804">
        <f t="shared" si="1"/>
        <v>0</v>
      </c>
      <c r="N22" s="804">
        <f t="shared" si="1"/>
        <v>1490.9085180878687</v>
      </c>
      <c r="O22" s="804">
        <f t="shared" si="1"/>
        <v>0</v>
      </c>
      <c r="P22" s="804">
        <f t="shared" si="1"/>
        <v>0</v>
      </c>
      <c r="Q22" s="804">
        <f t="shared" si="1"/>
        <v>0</v>
      </c>
      <c r="R22" s="804">
        <f t="shared" si="1"/>
        <v>34550.808379762806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1263.3571360048984</v>
      </c>
      <c r="D24" s="686">
        <f>+landbouw!C8</f>
        <v>12857.142857142857</v>
      </c>
      <c r="E24" s="686">
        <f>+landbouw!D8</f>
        <v>804.25452827148911</v>
      </c>
      <c r="F24" s="686">
        <f>+landbouw!E8</f>
        <v>15.919927448564229</v>
      </c>
      <c r="G24" s="686">
        <f>+landbouw!F8</f>
        <v>4358.8986090905146</v>
      </c>
      <c r="H24" s="686">
        <f>+landbouw!G8</f>
        <v>0</v>
      </c>
      <c r="I24" s="686">
        <f>+landbouw!H8</f>
        <v>0</v>
      </c>
      <c r="J24" s="686">
        <f>+landbouw!I8</f>
        <v>0</v>
      </c>
      <c r="K24" s="686">
        <f>+landbouw!J8</f>
        <v>189.9945519180734</v>
      </c>
      <c r="L24" s="686">
        <f>+landbouw!K8</f>
        <v>0</v>
      </c>
      <c r="M24" s="686">
        <f>+landbouw!L8</f>
        <v>0</v>
      </c>
      <c r="N24" s="686">
        <f>+landbouw!M8</f>
        <v>0</v>
      </c>
      <c r="O24" s="686">
        <f>+landbouw!N8</f>
        <v>0</v>
      </c>
      <c r="P24" s="686">
        <f>+landbouw!O8</f>
        <v>0</v>
      </c>
      <c r="Q24" s="687">
        <f>+landbouw!P8</f>
        <v>0</v>
      </c>
      <c r="R24" s="689">
        <f>SUM(C24:Q24)</f>
        <v>19489.567609876398</v>
      </c>
      <c r="S24" s="67"/>
    </row>
    <row r="25" spans="1:19" s="454" customFormat="1" ht="15" thickBot="1">
      <c r="A25" s="823" t="s">
        <v>856</v>
      </c>
      <c r="B25" s="991"/>
      <c r="C25" s="992">
        <f>IF(Onbekend_ele_kWh="---",0,Onbekend_ele_kWh)/1000+IF(REST_rest_ele_kWh="---",0,REST_rest_ele_kWh)/1000</f>
        <v>497.09490195496397</v>
      </c>
      <c r="D25" s="992"/>
      <c r="E25" s="992">
        <f>IF(onbekend_gas_kWh="---",0,onbekend_gas_kWh)/1000+IF(REST_rest_gas_kWh="---",0,REST_rest_gas_kWh)/1000</f>
        <v>869.91807255701303</v>
      </c>
      <c r="F25" s="992"/>
      <c r="G25" s="992"/>
      <c r="H25" s="992"/>
      <c r="I25" s="992"/>
      <c r="J25" s="992"/>
      <c r="K25" s="992"/>
      <c r="L25" s="992"/>
      <c r="M25" s="992"/>
      <c r="N25" s="992"/>
      <c r="O25" s="992"/>
      <c r="P25" s="992"/>
      <c r="Q25" s="993"/>
      <c r="R25" s="689">
        <f>SUM(C25:Q25)</f>
        <v>1367.0129745119771</v>
      </c>
      <c r="S25" s="67"/>
    </row>
    <row r="26" spans="1:19" s="454" customFormat="1" ht="15.75" thickBot="1">
      <c r="A26" s="694" t="s">
        <v>857</v>
      </c>
      <c r="B26" s="809"/>
      <c r="C26" s="804">
        <f>SUM(C24:C25)</f>
        <v>1760.4520379598623</v>
      </c>
      <c r="D26" s="804">
        <f t="shared" ref="D26:R26" si="2">SUM(D24:D25)</f>
        <v>12857.142857142857</v>
      </c>
      <c r="E26" s="804">
        <f t="shared" si="2"/>
        <v>1674.1726008285023</v>
      </c>
      <c r="F26" s="804">
        <f t="shared" si="2"/>
        <v>15.919927448564229</v>
      </c>
      <c r="G26" s="804">
        <f t="shared" si="2"/>
        <v>4358.8986090905146</v>
      </c>
      <c r="H26" s="804">
        <f t="shared" si="2"/>
        <v>0</v>
      </c>
      <c r="I26" s="804">
        <f t="shared" si="2"/>
        <v>0</v>
      </c>
      <c r="J26" s="804">
        <f t="shared" si="2"/>
        <v>0</v>
      </c>
      <c r="K26" s="804">
        <f t="shared" si="2"/>
        <v>189.9945519180734</v>
      </c>
      <c r="L26" s="804">
        <f t="shared" si="2"/>
        <v>0</v>
      </c>
      <c r="M26" s="804">
        <f t="shared" si="2"/>
        <v>0</v>
      </c>
      <c r="N26" s="804">
        <f t="shared" si="2"/>
        <v>0</v>
      </c>
      <c r="O26" s="804">
        <f t="shared" si="2"/>
        <v>0</v>
      </c>
      <c r="P26" s="804">
        <f t="shared" si="2"/>
        <v>0</v>
      </c>
      <c r="Q26" s="804">
        <f t="shared" si="2"/>
        <v>0</v>
      </c>
      <c r="R26" s="804">
        <f t="shared" si="2"/>
        <v>20856.580584388375</v>
      </c>
      <c r="S26" s="67"/>
    </row>
    <row r="27" spans="1:19" s="454" customFormat="1" ht="17.25" thickTop="1" thickBot="1">
      <c r="A27" s="695" t="s">
        <v>115</v>
      </c>
      <c r="B27" s="796"/>
      <c r="C27" s="696">
        <f ca="1">C22+C16+C26</f>
        <v>62245.831049776862</v>
      </c>
      <c r="D27" s="696">
        <f t="shared" ref="D27:R27" ca="1" si="3">D22+D16+D26</f>
        <v>12857.142857142857</v>
      </c>
      <c r="E27" s="696">
        <f t="shared" ca="1" si="3"/>
        <v>162465.7270422299</v>
      </c>
      <c r="F27" s="696">
        <f t="shared" si="3"/>
        <v>5038.4068006051784</v>
      </c>
      <c r="G27" s="696">
        <f t="shared" ca="1" si="3"/>
        <v>41413.751168407827</v>
      </c>
      <c r="H27" s="696">
        <f t="shared" si="3"/>
        <v>29495.850826823847</v>
      </c>
      <c r="I27" s="696">
        <f t="shared" si="3"/>
        <v>3493.5142344688979</v>
      </c>
      <c r="J27" s="696">
        <f t="shared" si="3"/>
        <v>0</v>
      </c>
      <c r="K27" s="696">
        <f t="shared" si="3"/>
        <v>648.72383592769631</v>
      </c>
      <c r="L27" s="696">
        <f t="shared" si="3"/>
        <v>0</v>
      </c>
      <c r="M27" s="696">
        <f t="shared" ca="1" si="3"/>
        <v>0</v>
      </c>
      <c r="N27" s="696">
        <f t="shared" si="3"/>
        <v>1490.9085180878687</v>
      </c>
      <c r="O27" s="696">
        <f t="shared" ca="1" si="3"/>
        <v>15292.729248672775</v>
      </c>
      <c r="P27" s="696">
        <f t="shared" si="3"/>
        <v>121.94000000000001</v>
      </c>
      <c r="Q27" s="696">
        <f t="shared" si="3"/>
        <v>209.73333333333335</v>
      </c>
      <c r="R27" s="696">
        <f t="shared" ca="1" si="3"/>
        <v>334774.25891547708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1799.921644045271</v>
      </c>
      <c r="D40" s="686">
        <f ca="1">tertiair!C20</f>
        <v>0</v>
      </c>
      <c r="E40" s="686">
        <f ca="1">tertiair!D20</f>
        <v>1658.7529744271615</v>
      </c>
      <c r="F40" s="686">
        <f>tertiair!E20</f>
        <v>20.732638374471406</v>
      </c>
      <c r="G40" s="686">
        <f ca="1">tertiair!F20</f>
        <v>394.43341640977815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3873.8406732566818</v>
      </c>
    </row>
    <row r="41" spans="1:18">
      <c r="A41" s="814" t="s">
        <v>224</v>
      </c>
      <c r="B41" s="821"/>
      <c r="C41" s="686">
        <f ca="1">huishoudens!B12</f>
        <v>3011.9261559128026</v>
      </c>
      <c r="D41" s="686">
        <f ca="1">huishoudens!C12</f>
        <v>0</v>
      </c>
      <c r="E41" s="686">
        <f>huishoudens!D12</f>
        <v>4824.9896735374668</v>
      </c>
      <c r="F41" s="686">
        <f>huishoudens!E12</f>
        <v>546.8371569265521</v>
      </c>
      <c r="G41" s="686">
        <f>huishoudens!F12</f>
        <v>4260.9894427433501</v>
      </c>
      <c r="H41" s="686">
        <f>huishoudens!G12</f>
        <v>0</v>
      </c>
      <c r="I41" s="686">
        <f>huishoudens!H12</f>
        <v>0</v>
      </c>
      <c r="J41" s="686">
        <f>huishoudens!I12</f>
        <v>0</v>
      </c>
      <c r="K41" s="686">
        <f>huishoudens!J12</f>
        <v>136.67601547087972</v>
      </c>
      <c r="L41" s="686">
        <f>huishoudens!K12</f>
        <v>0</v>
      </c>
      <c r="M41" s="686">
        <f>huishoudens!L12</f>
        <v>0</v>
      </c>
      <c r="N41" s="686">
        <f>huishoudens!M12</f>
        <v>0</v>
      </c>
      <c r="O41" s="686">
        <f>huishoudens!N12</f>
        <v>0</v>
      </c>
      <c r="P41" s="686">
        <f>huishoudens!O12</f>
        <v>0</v>
      </c>
      <c r="Q41" s="763">
        <f>huishoudens!P12</f>
        <v>0</v>
      </c>
      <c r="R41" s="842">
        <f t="shared" ca="1" si="4"/>
        <v>12781.418444591051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8070.7597116190564</v>
      </c>
      <c r="D43" s="686">
        <f ca="1">industrie!C22</f>
        <v>0</v>
      </c>
      <c r="E43" s="686">
        <f>industrie!D22</f>
        <v>25995.762098330408</v>
      </c>
      <c r="F43" s="686">
        <f>industrie!E22</f>
        <v>557.20760410438515</v>
      </c>
      <c r="G43" s="686">
        <f>industrie!F22</f>
        <v>5238.2227741845954</v>
      </c>
      <c r="H43" s="686">
        <f>industrie!G22</f>
        <v>0</v>
      </c>
      <c r="I43" s="686">
        <f>industrie!H22</f>
        <v>0</v>
      </c>
      <c r="J43" s="686">
        <f>industrie!I22</f>
        <v>0</v>
      </c>
      <c r="K43" s="686">
        <f>industrie!J22</f>
        <v>25.714151068526771</v>
      </c>
      <c r="L43" s="686">
        <f>industrie!K22</f>
        <v>0</v>
      </c>
      <c r="M43" s="686">
        <f>industrie!L22</f>
        <v>0</v>
      </c>
      <c r="N43" s="686">
        <f>industrie!M22</f>
        <v>0</v>
      </c>
      <c r="O43" s="686">
        <f>industrie!N22</f>
        <v>0</v>
      </c>
      <c r="P43" s="686">
        <f>industrie!O22</f>
        <v>0</v>
      </c>
      <c r="Q43" s="763">
        <f>industrie!P22</f>
        <v>0</v>
      </c>
      <c r="R43" s="841">
        <f t="shared" ca="1" si="4"/>
        <v>39887.666339306968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12882.607511577131</v>
      </c>
      <c r="D46" s="721">
        <f t="shared" ref="D46:Q46" ca="1" si="5">SUM(D39:D45)</f>
        <v>0</v>
      </c>
      <c r="E46" s="721">
        <f t="shared" ca="1" si="5"/>
        <v>32479.504746295035</v>
      </c>
      <c r="F46" s="721">
        <f t="shared" si="5"/>
        <v>1124.7773994054087</v>
      </c>
      <c r="G46" s="721">
        <f t="shared" ca="1" si="5"/>
        <v>9893.6456333377246</v>
      </c>
      <c r="H46" s="721">
        <f t="shared" si="5"/>
        <v>0</v>
      </c>
      <c r="I46" s="721">
        <f t="shared" si="5"/>
        <v>0</v>
      </c>
      <c r="J46" s="721">
        <f t="shared" si="5"/>
        <v>0</v>
      </c>
      <c r="K46" s="721">
        <f t="shared" si="5"/>
        <v>162.39016653940649</v>
      </c>
      <c r="L46" s="721">
        <f t="shared" si="5"/>
        <v>0</v>
      </c>
      <c r="M46" s="721">
        <f t="shared" ca="1" si="5"/>
        <v>0</v>
      </c>
      <c r="N46" s="721">
        <f t="shared" si="5"/>
        <v>0</v>
      </c>
      <c r="O46" s="721">
        <f t="shared" ca="1" si="5"/>
        <v>0</v>
      </c>
      <c r="P46" s="721">
        <f t="shared" si="5"/>
        <v>0</v>
      </c>
      <c r="Q46" s="721">
        <f t="shared" si="5"/>
        <v>0</v>
      </c>
      <c r="R46" s="721">
        <f ca="1">SUM(R39:R45)</f>
        <v>56542.925457154699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43.803705705185379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43.803705705185379</v>
      </c>
    </row>
    <row r="50" spans="1:18">
      <c r="A50" s="817" t="s">
        <v>306</v>
      </c>
      <c r="B50" s="827"/>
      <c r="C50" s="692">
        <f ca="1">transport!B18</f>
        <v>0.23161913885327454</v>
      </c>
      <c r="D50" s="692">
        <f>transport!C18</f>
        <v>0</v>
      </c>
      <c r="E50" s="692">
        <f>transport!D18</f>
        <v>0.38925086805307257</v>
      </c>
      <c r="F50" s="692">
        <f>transport!E18</f>
        <v>15.327120801142748</v>
      </c>
      <c r="G50" s="692">
        <f>transport!F18</f>
        <v>0</v>
      </c>
      <c r="H50" s="692">
        <f>transport!G18</f>
        <v>7831.5884650567823</v>
      </c>
      <c r="I50" s="692">
        <f>transport!H18</f>
        <v>869.88504438275561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8717.4215002475867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0.23161913885327454</v>
      </c>
      <c r="D52" s="721">
        <f t="shared" ref="D52:Q52" ca="1" si="6">SUM(D48:D51)</f>
        <v>0</v>
      </c>
      <c r="E52" s="721">
        <f t="shared" si="6"/>
        <v>0.38925086805307257</v>
      </c>
      <c r="F52" s="721">
        <f t="shared" si="6"/>
        <v>15.327120801142748</v>
      </c>
      <c r="G52" s="721">
        <f t="shared" si="6"/>
        <v>0</v>
      </c>
      <c r="H52" s="721">
        <f t="shared" si="6"/>
        <v>7875.3921707619675</v>
      </c>
      <c r="I52" s="721">
        <f t="shared" si="6"/>
        <v>869.88504438275561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8761.2252059527727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269.08365316870078</v>
      </c>
      <c r="D54" s="692">
        <f ca="1">+landbouw!C12</f>
        <v>3055.4621848739503</v>
      </c>
      <c r="E54" s="692">
        <f>+landbouw!D12</f>
        <v>162.4594147108408</v>
      </c>
      <c r="F54" s="692">
        <f>+landbouw!E12</f>
        <v>3.6138235308240803</v>
      </c>
      <c r="G54" s="692">
        <f>+landbouw!F12</f>
        <v>1163.8259286271675</v>
      </c>
      <c r="H54" s="692">
        <f>+landbouw!G12</f>
        <v>0</v>
      </c>
      <c r="I54" s="692">
        <f>+landbouw!H12</f>
        <v>0</v>
      </c>
      <c r="J54" s="692">
        <f>+landbouw!I12</f>
        <v>0</v>
      </c>
      <c r="K54" s="692">
        <f>+landbouw!J12</f>
        <v>67.258071378997982</v>
      </c>
      <c r="L54" s="692">
        <f>+landbouw!K12</f>
        <v>0</v>
      </c>
      <c r="M54" s="692">
        <f>+landbouw!L12</f>
        <v>0</v>
      </c>
      <c r="N54" s="692">
        <f>+landbouw!M12</f>
        <v>0</v>
      </c>
      <c r="O54" s="692">
        <f>+landbouw!N12</f>
        <v>0</v>
      </c>
      <c r="P54" s="692">
        <f>+landbouw!O12</f>
        <v>0</v>
      </c>
      <c r="Q54" s="693">
        <f>+landbouw!P12</f>
        <v>0</v>
      </c>
      <c r="R54" s="720">
        <f ca="1">SUM(C54:Q54)</f>
        <v>4721.7030762904815</v>
      </c>
    </row>
    <row r="55" spans="1:18" ht="15" thickBot="1">
      <c r="A55" s="817" t="s">
        <v>856</v>
      </c>
      <c r="B55" s="827"/>
      <c r="C55" s="692">
        <f ca="1">C25*'EF ele_warmte'!B12</f>
        <v>105.87672193198442</v>
      </c>
      <c r="D55" s="692"/>
      <c r="E55" s="692">
        <f>E25*EF_CO2_aardgas</f>
        <v>175.72345065651663</v>
      </c>
      <c r="F55" s="692"/>
      <c r="G55" s="692"/>
      <c r="H55" s="692"/>
      <c r="I55" s="692"/>
      <c r="J55" s="692"/>
      <c r="K55" s="692"/>
      <c r="L55" s="692"/>
      <c r="M55" s="692"/>
      <c r="N55" s="692"/>
      <c r="O55" s="692"/>
      <c r="P55" s="692"/>
      <c r="Q55" s="693"/>
      <c r="R55" s="720">
        <f ca="1">SUM(C55:Q55)</f>
        <v>281.60017258850104</v>
      </c>
    </row>
    <row r="56" spans="1:18" ht="15.75" thickBot="1">
      <c r="A56" s="815" t="s">
        <v>857</v>
      </c>
      <c r="B56" s="828"/>
      <c r="C56" s="721">
        <f ca="1">SUM(C54:C55)</f>
        <v>374.96037510068521</v>
      </c>
      <c r="D56" s="721">
        <f t="shared" ref="D56:Q56" ca="1" si="7">SUM(D54:D55)</f>
        <v>3055.4621848739503</v>
      </c>
      <c r="E56" s="721">
        <f t="shared" si="7"/>
        <v>338.18286536735741</v>
      </c>
      <c r="F56" s="721">
        <f t="shared" si="7"/>
        <v>3.6138235308240803</v>
      </c>
      <c r="G56" s="721">
        <f t="shared" si="7"/>
        <v>1163.8259286271675</v>
      </c>
      <c r="H56" s="721">
        <f t="shared" si="7"/>
        <v>0</v>
      </c>
      <c r="I56" s="721">
        <f t="shared" si="7"/>
        <v>0</v>
      </c>
      <c r="J56" s="721">
        <f t="shared" si="7"/>
        <v>0</v>
      </c>
      <c r="K56" s="721">
        <f t="shared" si="7"/>
        <v>67.258071378997982</v>
      </c>
      <c r="L56" s="721">
        <f t="shared" si="7"/>
        <v>0</v>
      </c>
      <c r="M56" s="721">
        <f t="shared" si="7"/>
        <v>0</v>
      </c>
      <c r="N56" s="721">
        <f t="shared" si="7"/>
        <v>0</v>
      </c>
      <c r="O56" s="721">
        <f t="shared" si="7"/>
        <v>0</v>
      </c>
      <c r="P56" s="721">
        <f t="shared" si="7"/>
        <v>0</v>
      </c>
      <c r="Q56" s="722">
        <f t="shared" si="7"/>
        <v>0</v>
      </c>
      <c r="R56" s="723">
        <f ca="1">SUM(R54:R55)</f>
        <v>5003.3032488789822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13257.799505816669</v>
      </c>
      <c r="D61" s="729">
        <f t="shared" ref="D61:Q61" ca="1" si="8">D46+D52+D56</f>
        <v>3055.4621848739503</v>
      </c>
      <c r="E61" s="729">
        <f t="shared" ca="1" si="8"/>
        <v>32818.076862530448</v>
      </c>
      <c r="F61" s="729">
        <f t="shared" si="8"/>
        <v>1143.7183437373753</v>
      </c>
      <c r="G61" s="729">
        <f t="shared" ca="1" si="8"/>
        <v>11057.471561964892</v>
      </c>
      <c r="H61" s="729">
        <f t="shared" si="8"/>
        <v>7875.3921707619675</v>
      </c>
      <c r="I61" s="729">
        <f t="shared" si="8"/>
        <v>869.88504438275561</v>
      </c>
      <c r="J61" s="729">
        <f t="shared" si="8"/>
        <v>0</v>
      </c>
      <c r="K61" s="729">
        <f t="shared" si="8"/>
        <v>229.64823791840448</v>
      </c>
      <c r="L61" s="729">
        <f t="shared" si="8"/>
        <v>0</v>
      </c>
      <c r="M61" s="729">
        <f t="shared" ca="1" si="8"/>
        <v>0</v>
      </c>
      <c r="N61" s="729">
        <f t="shared" si="8"/>
        <v>0</v>
      </c>
      <c r="O61" s="729">
        <f t="shared" ca="1" si="8"/>
        <v>0</v>
      </c>
      <c r="P61" s="729">
        <f t="shared" si="8"/>
        <v>0</v>
      </c>
      <c r="Q61" s="729">
        <f t="shared" si="8"/>
        <v>0</v>
      </c>
      <c r="R61" s="729">
        <f ca="1">R46+R52+R56</f>
        <v>70307.453911986449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0.21299096312513921</v>
      </c>
      <c r="D63" s="772">
        <f t="shared" ca="1" si="9"/>
        <v>0.23764705882352946</v>
      </c>
      <c r="E63" s="998">
        <f t="shared" ca="1" si="9"/>
        <v>0.20200000000000004</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2933.7225592569353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9000</v>
      </c>
      <c r="D76" s="1008">
        <f>'lokale energieproductie'!C8</f>
        <v>10588.235294117649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2138.8235294117653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2933.7225592569353</v>
      </c>
      <c r="C78" s="744">
        <f>SUM(C72:C77)</f>
        <v>9000</v>
      </c>
      <c r="D78" s="745">
        <f t="shared" ref="D78:H78" si="10">SUM(D76:D77)</f>
        <v>10588.235294117649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2138.8235294117653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12857.142857142857</v>
      </c>
      <c r="D87" s="766">
        <f>'lokale energieproductie'!C17</f>
        <v>15126.050420168069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3055.4621848739503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12857.142857142857</v>
      </c>
      <c r="D90" s="744">
        <f t="shared" ref="D90:H90" si="12">SUM(D87:D89)</f>
        <v>15126.050420168069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3055.4621848739503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2933.7225592569353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9000</v>
      </c>
      <c r="C8" s="556">
        <f>B48</f>
        <v>10588.235294117649</v>
      </c>
      <c r="D8" s="1015"/>
      <c r="E8" s="1015">
        <f>E48</f>
        <v>0</v>
      </c>
      <c r="F8" s="1016"/>
      <c r="G8" s="557"/>
      <c r="H8" s="1015">
        <f>I48</f>
        <v>0</v>
      </c>
      <c r="I8" s="1015">
        <f>G48+F48</f>
        <v>0</v>
      </c>
      <c r="J8" s="1015">
        <f>H48+D48+C48</f>
        <v>0</v>
      </c>
      <c r="K8" s="1015"/>
      <c r="L8" s="1015"/>
      <c r="M8" s="1015"/>
      <c r="N8" s="558"/>
      <c r="O8" s="559">
        <f>C8*$C$12+D8*$D$12+E8*$E$12+F8*$F$12+G8*$G$12+H8*$H$12+I8*$I$12+J8*$J$12</f>
        <v>2138.8235294117653</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11933.722559256936</v>
      </c>
      <c r="C10" s="569">
        <f t="shared" ref="C10:L10" si="0">SUM(C8:C9)</f>
        <v>10588.235294117649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2138.8235294117653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12857.142857142857</v>
      </c>
      <c r="C17" s="581">
        <f>B49</f>
        <v>15126.050420168069</v>
      </c>
      <c r="D17" s="582"/>
      <c r="E17" s="582">
        <f>E49</f>
        <v>0</v>
      </c>
      <c r="F17" s="1021"/>
      <c r="G17" s="583"/>
      <c r="H17" s="581">
        <f>I49</f>
        <v>0</v>
      </c>
      <c r="I17" s="582">
        <f>G49+F49</f>
        <v>0</v>
      </c>
      <c r="J17" s="582">
        <f>H49+D49+C49</f>
        <v>0</v>
      </c>
      <c r="K17" s="582"/>
      <c r="L17" s="582"/>
      <c r="M17" s="582"/>
      <c r="N17" s="1022"/>
      <c r="O17" s="584">
        <f>C17*$C$22+E17*$E$22+H17*$H$22+I17*$I$22+J17*$J$22+D17*$D$22+F17*$F$22+G17*$G$22+K17*$K$22+L17*$L$22</f>
        <v>3055.4621848739503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12857.142857142857</v>
      </c>
      <c r="C20" s="568">
        <f>SUM(C17:C19)</f>
        <v>15126.050420168069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3055.4621848739503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37010</v>
      </c>
      <c r="C28" s="787">
        <v>8780</v>
      </c>
      <c r="D28" s="640" t="s">
        <v>920</v>
      </c>
      <c r="E28" s="639" t="s">
        <v>921</v>
      </c>
      <c r="F28" s="639" t="s">
        <v>922</v>
      </c>
      <c r="G28" s="639" t="s">
        <v>923</v>
      </c>
      <c r="H28" s="639" t="s">
        <v>924</v>
      </c>
      <c r="I28" s="639" t="s">
        <v>921</v>
      </c>
      <c r="J28" s="786">
        <v>39853</v>
      </c>
      <c r="K28" s="786">
        <v>39875</v>
      </c>
      <c r="L28" s="639" t="s">
        <v>925</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2000</v>
      </c>
      <c r="N29" s="597">
        <f>SUM(N28:N28)</f>
        <v>9000</v>
      </c>
      <c r="O29" s="597">
        <f>SUM(O28:O28)</f>
        <v>12857.142857142857</v>
      </c>
      <c r="P29" s="597">
        <f>SUM(P28:P28)</f>
        <v>25714.285714285717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2000</v>
      </c>
      <c r="N32" s="602">
        <f>SUMIF($Z$28:$Z$28,"landbouw",N28:N28)</f>
        <v>9000</v>
      </c>
      <c r="O32" s="602">
        <f>SUMIF($Z$28:$Z$28,"landbouw",O28:O28)</f>
        <v>12857.142857142857</v>
      </c>
      <c r="P32" s="602">
        <f>SUMIF($Z$28:$Z$28,"landbouw",P28:P28)</f>
        <v>25714.285714285717</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15126.050420168069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14141.098343891692</v>
      </c>
      <c r="C4" s="458">
        <f>huishoudens!C8</f>
        <v>0</v>
      </c>
      <c r="D4" s="458">
        <f>huishoudens!D8</f>
        <v>23886.087492759736</v>
      </c>
      <c r="E4" s="458">
        <f>huishoudens!E8</f>
        <v>2408.9742595883354</v>
      </c>
      <c r="F4" s="458">
        <f>huishoudens!F8</f>
        <v>15958.761957840261</v>
      </c>
      <c r="G4" s="458">
        <f>huishoudens!G8</f>
        <v>0</v>
      </c>
      <c r="H4" s="458">
        <f>huishoudens!H8</f>
        <v>0</v>
      </c>
      <c r="I4" s="458">
        <f>huishoudens!I8</f>
        <v>0</v>
      </c>
      <c r="J4" s="458">
        <f>huishoudens!J8</f>
        <v>386.09043918327609</v>
      </c>
      <c r="K4" s="458">
        <f>huishoudens!K8</f>
        <v>0</v>
      </c>
      <c r="L4" s="458">
        <f>huishoudens!L8</f>
        <v>0</v>
      </c>
      <c r="M4" s="458">
        <f>huishoudens!M8</f>
        <v>0</v>
      </c>
      <c r="N4" s="458">
        <f>huishoudens!N8</f>
        <v>10884.535179021032</v>
      </c>
      <c r="O4" s="458">
        <f>huishoudens!O8</f>
        <v>121.94000000000001</v>
      </c>
      <c r="P4" s="459">
        <f>huishoudens!P8</f>
        <v>209.73333333333335</v>
      </c>
      <c r="Q4" s="460">
        <f>SUM(B4:P4)</f>
        <v>67997.22100561767</v>
      </c>
    </row>
    <row r="5" spans="1:17">
      <c r="A5" s="457" t="s">
        <v>155</v>
      </c>
      <c r="B5" s="458">
        <f ca="1">tertiair!B16</f>
        <v>7750.792891631424</v>
      </c>
      <c r="C5" s="458">
        <f ca="1">tertiair!C16</f>
        <v>0</v>
      </c>
      <c r="D5" s="458">
        <f ca="1">tertiair!D16</f>
        <v>8211.6483882532739</v>
      </c>
      <c r="E5" s="458">
        <f>tertiair!E16</f>
        <v>91.333208698111918</v>
      </c>
      <c r="F5" s="458">
        <f ca="1">tertiair!F16</f>
        <v>1477.2787131452365</v>
      </c>
      <c r="G5" s="458">
        <f>tertiair!G16</f>
        <v>0</v>
      </c>
      <c r="H5" s="458">
        <f>tertiair!H16</f>
        <v>0</v>
      </c>
      <c r="I5" s="458">
        <f>tertiair!I16</f>
        <v>0</v>
      </c>
      <c r="J5" s="458">
        <f>tertiair!J16</f>
        <v>0</v>
      </c>
      <c r="K5" s="458">
        <f>tertiair!K16</f>
        <v>0</v>
      </c>
      <c r="L5" s="458">
        <f ca="1">tertiair!L16</f>
        <v>0</v>
      </c>
      <c r="M5" s="458">
        <f>tertiair!M16</f>
        <v>0</v>
      </c>
      <c r="N5" s="458">
        <f ca="1">tertiair!N16</f>
        <v>581.67993582804718</v>
      </c>
      <c r="O5" s="458">
        <f>tertiair!O16</f>
        <v>0</v>
      </c>
      <c r="P5" s="459">
        <f>tertiair!P16</f>
        <v>0</v>
      </c>
      <c r="Q5" s="457">
        <f t="shared" ref="Q5:Q14" ca="1" si="0">SUM(B5:P5)</f>
        <v>18112.733137556093</v>
      </c>
    </row>
    <row r="6" spans="1:17">
      <c r="A6" s="457" t="s">
        <v>193</v>
      </c>
      <c r="B6" s="458">
        <f>'openbare verlichting'!B8</f>
        <v>699.90200000000004</v>
      </c>
      <c r="C6" s="458"/>
      <c r="D6" s="458"/>
      <c r="E6" s="458"/>
      <c r="F6" s="458"/>
      <c r="G6" s="458"/>
      <c r="H6" s="458"/>
      <c r="I6" s="458"/>
      <c r="J6" s="458"/>
      <c r="K6" s="458"/>
      <c r="L6" s="458"/>
      <c r="M6" s="458"/>
      <c r="N6" s="458"/>
      <c r="O6" s="458"/>
      <c r="P6" s="459"/>
      <c r="Q6" s="457">
        <f t="shared" si="0"/>
        <v>699.90200000000004</v>
      </c>
    </row>
    <row r="7" spans="1:17">
      <c r="A7" s="457" t="s">
        <v>111</v>
      </c>
      <c r="B7" s="458">
        <f>landbouw!B8</f>
        <v>1263.3571360048984</v>
      </c>
      <c r="C7" s="458">
        <f>landbouw!C8</f>
        <v>12857.142857142857</v>
      </c>
      <c r="D7" s="458">
        <f>landbouw!D8</f>
        <v>804.25452827148911</v>
      </c>
      <c r="E7" s="458">
        <f>landbouw!E8</f>
        <v>15.919927448564229</v>
      </c>
      <c r="F7" s="458">
        <f>landbouw!F8</f>
        <v>4358.8986090905146</v>
      </c>
      <c r="G7" s="458">
        <f>landbouw!G8</f>
        <v>0</v>
      </c>
      <c r="H7" s="458">
        <f>landbouw!H8</f>
        <v>0</v>
      </c>
      <c r="I7" s="458">
        <f>landbouw!I8</f>
        <v>0</v>
      </c>
      <c r="J7" s="458">
        <f>landbouw!J8</f>
        <v>189.9945519180734</v>
      </c>
      <c r="K7" s="458">
        <f>landbouw!K8</f>
        <v>0</v>
      </c>
      <c r="L7" s="458">
        <f>landbouw!L8</f>
        <v>0</v>
      </c>
      <c r="M7" s="458">
        <f>landbouw!M8</f>
        <v>0</v>
      </c>
      <c r="N7" s="458">
        <f>landbouw!N8</f>
        <v>0</v>
      </c>
      <c r="O7" s="458">
        <f>landbouw!O8</f>
        <v>0</v>
      </c>
      <c r="P7" s="459">
        <f>landbouw!P8</f>
        <v>0</v>
      </c>
      <c r="Q7" s="457">
        <f t="shared" si="0"/>
        <v>19489.567609876398</v>
      </c>
    </row>
    <row r="8" spans="1:17">
      <c r="A8" s="457" t="s">
        <v>655</v>
      </c>
      <c r="B8" s="458">
        <f>industrie!B18</f>
        <v>37892.498316359175</v>
      </c>
      <c r="C8" s="458">
        <f>industrie!C18</f>
        <v>0</v>
      </c>
      <c r="D8" s="458">
        <f>industrie!D18</f>
        <v>128691.8915758931</v>
      </c>
      <c r="E8" s="458">
        <f>industrie!E18</f>
        <v>2454.6590489179962</v>
      </c>
      <c r="F8" s="458">
        <f>industrie!F18</f>
        <v>19618.811888331817</v>
      </c>
      <c r="G8" s="458">
        <f>industrie!G18</f>
        <v>0</v>
      </c>
      <c r="H8" s="458">
        <f>industrie!H18</f>
        <v>0</v>
      </c>
      <c r="I8" s="458">
        <f>industrie!I18</f>
        <v>0</v>
      </c>
      <c r="J8" s="458">
        <f>industrie!J18</f>
        <v>72.638844826346812</v>
      </c>
      <c r="K8" s="458">
        <f>industrie!K18</f>
        <v>0</v>
      </c>
      <c r="L8" s="458">
        <f>industrie!L18</f>
        <v>0</v>
      </c>
      <c r="M8" s="458">
        <f>industrie!M18</f>
        <v>0</v>
      </c>
      <c r="N8" s="458">
        <f>industrie!N18</f>
        <v>3826.5141338236963</v>
      </c>
      <c r="O8" s="458">
        <f>industrie!O18</f>
        <v>0</v>
      </c>
      <c r="P8" s="459">
        <f>industrie!P18</f>
        <v>0</v>
      </c>
      <c r="Q8" s="457">
        <f t="shared" si="0"/>
        <v>192557.01380815211</v>
      </c>
    </row>
    <row r="9" spans="1:17" s="463" customFormat="1">
      <c r="A9" s="461" t="s">
        <v>573</v>
      </c>
      <c r="B9" s="462">
        <f>transport!B14</f>
        <v>1.087459934707139</v>
      </c>
      <c r="C9" s="462">
        <f>transport!C14</f>
        <v>0</v>
      </c>
      <c r="D9" s="462">
        <f>transport!D14</f>
        <v>1.9269844953122404</v>
      </c>
      <c r="E9" s="462">
        <f>transport!E14</f>
        <v>67.520355952170689</v>
      </c>
      <c r="F9" s="462">
        <f>transport!F14</f>
        <v>0</v>
      </c>
      <c r="G9" s="462">
        <f>transport!G14</f>
        <v>29331.792003957984</v>
      </c>
      <c r="H9" s="462">
        <f>transport!H14</f>
        <v>3493.5142344688979</v>
      </c>
      <c r="I9" s="462">
        <f>transport!I14</f>
        <v>0</v>
      </c>
      <c r="J9" s="462">
        <f>transport!J14</f>
        <v>0</v>
      </c>
      <c r="K9" s="462">
        <f>transport!K14</f>
        <v>0</v>
      </c>
      <c r="L9" s="462">
        <f>transport!L14</f>
        <v>0</v>
      </c>
      <c r="M9" s="462">
        <f>transport!M14</f>
        <v>1483.6061241575273</v>
      </c>
      <c r="N9" s="462">
        <f>transport!N14</f>
        <v>0</v>
      </c>
      <c r="O9" s="462">
        <f>transport!O14</f>
        <v>0</v>
      </c>
      <c r="P9" s="462">
        <f>transport!P14</f>
        <v>0</v>
      </c>
      <c r="Q9" s="461">
        <f>SUM(B9:P9)</f>
        <v>34379.4471629666</v>
      </c>
    </row>
    <row r="10" spans="1:17">
      <c r="A10" s="457" t="s">
        <v>563</v>
      </c>
      <c r="B10" s="458">
        <f>transport!B54</f>
        <v>0</v>
      </c>
      <c r="C10" s="458">
        <f>transport!C54</f>
        <v>0</v>
      </c>
      <c r="D10" s="458">
        <f>transport!D54</f>
        <v>0</v>
      </c>
      <c r="E10" s="458">
        <f>transport!E54</f>
        <v>0</v>
      </c>
      <c r="F10" s="458">
        <f>transport!F54</f>
        <v>0</v>
      </c>
      <c r="G10" s="458">
        <f>transport!G54</f>
        <v>164.05882286586282</v>
      </c>
      <c r="H10" s="458">
        <f>transport!H54</f>
        <v>0</v>
      </c>
      <c r="I10" s="458">
        <f>transport!I54</f>
        <v>0</v>
      </c>
      <c r="J10" s="458">
        <f>transport!J54</f>
        <v>0</v>
      </c>
      <c r="K10" s="458">
        <f>transport!K54</f>
        <v>0</v>
      </c>
      <c r="L10" s="458">
        <f>transport!L54</f>
        <v>0</v>
      </c>
      <c r="M10" s="458">
        <f>transport!M54</f>
        <v>7.3023939303414318</v>
      </c>
      <c r="N10" s="458">
        <f>transport!N54</f>
        <v>0</v>
      </c>
      <c r="O10" s="458">
        <f>transport!O54</f>
        <v>0</v>
      </c>
      <c r="P10" s="459">
        <f>transport!P54</f>
        <v>0</v>
      </c>
      <c r="Q10" s="457">
        <f t="shared" si="0"/>
        <v>171.36121679620425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497.09490195496397</v>
      </c>
      <c r="C14" s="465"/>
      <c r="D14" s="465">
        <f>'SEAP template'!E25</f>
        <v>869.91807255701303</v>
      </c>
      <c r="E14" s="465"/>
      <c r="F14" s="465"/>
      <c r="G14" s="465"/>
      <c r="H14" s="465"/>
      <c r="I14" s="465"/>
      <c r="J14" s="465"/>
      <c r="K14" s="465"/>
      <c r="L14" s="465"/>
      <c r="M14" s="465"/>
      <c r="N14" s="465"/>
      <c r="O14" s="465"/>
      <c r="P14" s="466"/>
      <c r="Q14" s="457">
        <f t="shared" si="0"/>
        <v>1367.0129745119771</v>
      </c>
    </row>
    <row r="15" spans="1:17" s="470" customFormat="1">
      <c r="A15" s="467" t="s">
        <v>567</v>
      </c>
      <c r="B15" s="468">
        <f ca="1">SUM(B4:B14)</f>
        <v>62245.831049776869</v>
      </c>
      <c r="C15" s="468">
        <f t="shared" ref="C15:Q15" ca="1" si="1">SUM(C4:C14)</f>
        <v>12857.142857142857</v>
      </c>
      <c r="D15" s="468">
        <f t="shared" ca="1" si="1"/>
        <v>162465.7270422299</v>
      </c>
      <c r="E15" s="468">
        <f t="shared" si="1"/>
        <v>5038.4068006051784</v>
      </c>
      <c r="F15" s="468">
        <f t="shared" ca="1" si="1"/>
        <v>41413.751168407827</v>
      </c>
      <c r="G15" s="468">
        <f t="shared" si="1"/>
        <v>29495.850826823847</v>
      </c>
      <c r="H15" s="468">
        <f t="shared" si="1"/>
        <v>3493.5142344688979</v>
      </c>
      <c r="I15" s="468">
        <f t="shared" si="1"/>
        <v>0</v>
      </c>
      <c r="J15" s="468">
        <f t="shared" si="1"/>
        <v>648.72383592769631</v>
      </c>
      <c r="K15" s="468">
        <f t="shared" si="1"/>
        <v>0</v>
      </c>
      <c r="L15" s="468">
        <f t="shared" ca="1" si="1"/>
        <v>0</v>
      </c>
      <c r="M15" s="468">
        <f t="shared" si="1"/>
        <v>1490.9085180878687</v>
      </c>
      <c r="N15" s="468">
        <f t="shared" ca="1" si="1"/>
        <v>15292.729248672775</v>
      </c>
      <c r="O15" s="468">
        <f t="shared" si="1"/>
        <v>121.94000000000001</v>
      </c>
      <c r="P15" s="468">
        <f t="shared" si="1"/>
        <v>209.73333333333335</v>
      </c>
      <c r="Q15" s="468">
        <f t="shared" ca="1" si="1"/>
        <v>334774.25891547702</v>
      </c>
    </row>
    <row r="17" spans="1:17">
      <c r="A17" s="471" t="s">
        <v>568</v>
      </c>
      <c r="B17" s="777">
        <f ca="1">huishoudens!B10</f>
        <v>0.21299096312513921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3011.9261559128026</v>
      </c>
      <c r="C22" s="458">
        <f t="shared" ref="C22:C32" ca="1" si="3">C4*$C$17</f>
        <v>0</v>
      </c>
      <c r="D22" s="458">
        <f t="shared" ref="D22:D32" si="4">D4*$D$17</f>
        <v>4824.9896735374668</v>
      </c>
      <c r="E22" s="458">
        <f t="shared" ref="E22:E32" si="5">E4*$E$17</f>
        <v>546.8371569265521</v>
      </c>
      <c r="F22" s="458">
        <f t="shared" ref="F22:F32" si="6">F4*$F$17</f>
        <v>4260.9894427433501</v>
      </c>
      <c r="G22" s="458">
        <f t="shared" ref="G22:G32" si="7">G4*$G$17</f>
        <v>0</v>
      </c>
      <c r="H22" s="458">
        <f t="shared" ref="H22:H32" si="8">H4*$H$17</f>
        <v>0</v>
      </c>
      <c r="I22" s="458">
        <f t="shared" ref="I22:I32" si="9">I4*$I$17</f>
        <v>0</v>
      </c>
      <c r="J22" s="458">
        <f t="shared" ref="J22:J32" si="10">J4*$J$17</f>
        <v>136.67601547087972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12781.418444591051</v>
      </c>
    </row>
    <row r="23" spans="1:17">
      <c r="A23" s="457" t="s">
        <v>155</v>
      </c>
      <c r="B23" s="458">
        <f t="shared" ca="1" si="2"/>
        <v>1650.8488429720599</v>
      </c>
      <c r="C23" s="458">
        <f t="shared" ca="1" si="3"/>
        <v>0</v>
      </c>
      <c r="D23" s="458">
        <f t="shared" ca="1" si="4"/>
        <v>1658.7529744271615</v>
      </c>
      <c r="E23" s="458">
        <f t="shared" si="5"/>
        <v>20.732638374471406</v>
      </c>
      <c r="F23" s="458">
        <f t="shared" ca="1" si="6"/>
        <v>394.43341640977815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3724.7678721834709</v>
      </c>
    </row>
    <row r="24" spans="1:17">
      <c r="A24" s="457" t="s">
        <v>193</v>
      </c>
      <c r="B24" s="458">
        <f t="shared" ca="1" si="2"/>
        <v>149.0728010732112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149.0728010732112</v>
      </c>
    </row>
    <row r="25" spans="1:17">
      <c r="A25" s="457" t="s">
        <v>111</v>
      </c>
      <c r="B25" s="458">
        <f t="shared" ca="1" si="2"/>
        <v>269.08365316870078</v>
      </c>
      <c r="C25" s="458">
        <f t="shared" ca="1" si="3"/>
        <v>3055.4621848739503</v>
      </c>
      <c r="D25" s="458">
        <f t="shared" si="4"/>
        <v>162.4594147108408</v>
      </c>
      <c r="E25" s="458">
        <f t="shared" si="5"/>
        <v>3.6138235308240803</v>
      </c>
      <c r="F25" s="458">
        <f t="shared" si="6"/>
        <v>1163.8259286271675</v>
      </c>
      <c r="G25" s="458">
        <f t="shared" si="7"/>
        <v>0</v>
      </c>
      <c r="H25" s="458">
        <f t="shared" si="8"/>
        <v>0</v>
      </c>
      <c r="I25" s="458">
        <f t="shared" si="9"/>
        <v>0</v>
      </c>
      <c r="J25" s="458">
        <f t="shared" si="10"/>
        <v>67.258071378997982</v>
      </c>
      <c r="K25" s="458">
        <f t="shared" si="11"/>
        <v>0</v>
      </c>
      <c r="L25" s="458">
        <f t="shared" si="12"/>
        <v>0</v>
      </c>
      <c r="M25" s="458">
        <f t="shared" si="13"/>
        <v>0</v>
      </c>
      <c r="N25" s="458">
        <f t="shared" si="14"/>
        <v>0</v>
      </c>
      <c r="O25" s="458">
        <f t="shared" si="15"/>
        <v>0</v>
      </c>
      <c r="P25" s="459">
        <f t="shared" si="16"/>
        <v>0</v>
      </c>
      <c r="Q25" s="457">
        <f t="shared" ca="1" si="17"/>
        <v>4721.7030762904815</v>
      </c>
    </row>
    <row r="26" spans="1:17">
      <c r="A26" s="457" t="s">
        <v>655</v>
      </c>
      <c r="B26" s="458">
        <f t="shared" ca="1" si="2"/>
        <v>8070.7597116190564</v>
      </c>
      <c r="C26" s="458">
        <f t="shared" ca="1" si="3"/>
        <v>0</v>
      </c>
      <c r="D26" s="458">
        <f t="shared" si="4"/>
        <v>25995.762098330408</v>
      </c>
      <c r="E26" s="458">
        <f t="shared" si="5"/>
        <v>557.20760410438515</v>
      </c>
      <c r="F26" s="458">
        <f t="shared" si="6"/>
        <v>5238.2227741845954</v>
      </c>
      <c r="G26" s="458">
        <f t="shared" si="7"/>
        <v>0</v>
      </c>
      <c r="H26" s="458">
        <f t="shared" si="8"/>
        <v>0</v>
      </c>
      <c r="I26" s="458">
        <f t="shared" si="9"/>
        <v>0</v>
      </c>
      <c r="J26" s="458">
        <f t="shared" si="10"/>
        <v>25.714151068526771</v>
      </c>
      <c r="K26" s="458">
        <f t="shared" si="11"/>
        <v>0</v>
      </c>
      <c r="L26" s="458">
        <f t="shared" si="12"/>
        <v>0</v>
      </c>
      <c r="M26" s="458">
        <f t="shared" si="13"/>
        <v>0</v>
      </c>
      <c r="N26" s="458">
        <f t="shared" si="14"/>
        <v>0</v>
      </c>
      <c r="O26" s="458">
        <f t="shared" si="15"/>
        <v>0</v>
      </c>
      <c r="P26" s="459">
        <f t="shared" si="16"/>
        <v>0</v>
      </c>
      <c r="Q26" s="457">
        <f t="shared" ca="1" si="17"/>
        <v>39887.666339306968</v>
      </c>
    </row>
    <row r="27" spans="1:17" s="463" customFormat="1">
      <c r="A27" s="461" t="s">
        <v>573</v>
      </c>
      <c r="B27" s="771">
        <f t="shared" ca="1" si="2"/>
        <v>0.23161913885327454</v>
      </c>
      <c r="C27" s="462">
        <f t="shared" ca="1" si="3"/>
        <v>0</v>
      </c>
      <c r="D27" s="462">
        <f t="shared" si="4"/>
        <v>0.38925086805307257</v>
      </c>
      <c r="E27" s="462">
        <f t="shared" si="5"/>
        <v>15.327120801142748</v>
      </c>
      <c r="F27" s="462">
        <f t="shared" si="6"/>
        <v>0</v>
      </c>
      <c r="G27" s="462">
        <f t="shared" si="7"/>
        <v>7831.5884650567823</v>
      </c>
      <c r="H27" s="462">
        <f t="shared" si="8"/>
        <v>869.88504438275561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8717.4215002475867</v>
      </c>
    </row>
    <row r="28" spans="1:17">
      <c r="A28" s="457" t="s">
        <v>563</v>
      </c>
      <c r="B28" s="458">
        <f t="shared" ca="1" si="2"/>
        <v>0</v>
      </c>
      <c r="C28" s="458">
        <f t="shared" ca="1" si="3"/>
        <v>0</v>
      </c>
      <c r="D28" s="458">
        <f t="shared" si="4"/>
        <v>0</v>
      </c>
      <c r="E28" s="458">
        <f t="shared" si="5"/>
        <v>0</v>
      </c>
      <c r="F28" s="458">
        <f t="shared" si="6"/>
        <v>0</v>
      </c>
      <c r="G28" s="458">
        <f t="shared" si="7"/>
        <v>43.803705705185379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43.803705705185379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105.87672193198442</v>
      </c>
      <c r="C32" s="458">
        <f t="shared" ca="1" si="3"/>
        <v>0</v>
      </c>
      <c r="D32" s="458">
        <f t="shared" si="4"/>
        <v>175.72345065651663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281.60017258850104</v>
      </c>
    </row>
    <row r="33" spans="1:17" s="470" customFormat="1">
      <c r="A33" s="467" t="s">
        <v>567</v>
      </c>
      <c r="B33" s="468">
        <f ca="1">SUM(B22:B32)</f>
        <v>13257.799505816669</v>
      </c>
      <c r="C33" s="468">
        <f t="shared" ref="C33:Q33" ca="1" si="18">SUM(C22:C32)</f>
        <v>3055.4621848739503</v>
      </c>
      <c r="D33" s="468">
        <f t="shared" ca="1" si="18"/>
        <v>32818.076862530448</v>
      </c>
      <c r="E33" s="468">
        <f t="shared" si="18"/>
        <v>1143.7183437373753</v>
      </c>
      <c r="F33" s="468">
        <f t="shared" ca="1" si="18"/>
        <v>11057.471561964892</v>
      </c>
      <c r="G33" s="468">
        <f t="shared" si="18"/>
        <v>7875.3921707619675</v>
      </c>
      <c r="H33" s="468">
        <f t="shared" si="18"/>
        <v>869.88504438275561</v>
      </c>
      <c r="I33" s="468">
        <f t="shared" si="18"/>
        <v>0</v>
      </c>
      <c r="J33" s="468">
        <f t="shared" si="18"/>
        <v>229.64823791840448</v>
      </c>
      <c r="K33" s="468">
        <f t="shared" si="18"/>
        <v>0</v>
      </c>
      <c r="L33" s="468">
        <f t="shared" ca="1" si="18"/>
        <v>0</v>
      </c>
      <c r="M33" s="468">
        <f t="shared" si="18"/>
        <v>0</v>
      </c>
      <c r="N33" s="468">
        <f t="shared" ca="1" si="18"/>
        <v>0</v>
      </c>
      <c r="O33" s="468">
        <f t="shared" si="18"/>
        <v>0</v>
      </c>
      <c r="P33" s="468">
        <f t="shared" si="18"/>
        <v>0</v>
      </c>
      <c r="Q33" s="468">
        <f t="shared" ca="1" si="18"/>
        <v>70307.453911986449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2933.7225592569353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9000</v>
      </c>
      <c r="D8" s="1034">
        <f>'SEAP template'!D76</f>
        <v>10588.235294117649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2138.8235294117653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2933.7225592569353</v>
      </c>
      <c r="C10" s="1038">
        <f>SUM(C4:C9)</f>
        <v>9000</v>
      </c>
      <c r="D10" s="1038">
        <f t="shared" ref="D10:H10" si="0">SUM(D8:D9)</f>
        <v>10588.235294117649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2138.8235294117653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0.21299096312513921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12857.142857142857</v>
      </c>
      <c r="D17" s="1035">
        <f>'SEAP template'!D87</f>
        <v>15126.050420168069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3055.4621848739503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12857.142857142857</v>
      </c>
      <c r="D20" s="1038">
        <f t="shared" ref="D20:H20" si="2">SUM(D17:D19)</f>
        <v>15126.050420168069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3055.4621848739503</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0.21299096312513921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2020-06-20T16:19:57Z</dcterms:modified>
</cp:coreProperties>
</file>