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11" i="14"/>
  <c r="O4" i="48"/>
  <c r="O22" i="48"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Q5" i="48"/>
  <c r="N63" i="14"/>
  <c r="J22" i="16"/>
  <c r="K43" i="14" s="1"/>
  <c r="K46" i="14" s="1"/>
  <c r="K61" i="14" s="1"/>
  <c r="K63" i="14" s="1"/>
  <c r="J8" i="48"/>
  <c r="K13" i="14"/>
  <c r="K16" i="14" s="1"/>
  <c r="K27" i="14" s="1"/>
  <c r="F13" i="14"/>
  <c r="F16" i="14" s="1"/>
  <c r="F27" i="14" s="1"/>
  <c r="E8" i="48"/>
  <c r="E26" i="48" s="1"/>
  <c r="E22" i="16"/>
  <c r="F43" i="14" s="1"/>
  <c r="F46" i="14" s="1"/>
  <c r="F61" i="14" s="1"/>
  <c r="H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33" i="48" l="1"/>
  <c r="E15" i="48"/>
  <c r="F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<sst xmlns="http://schemas.openxmlformats.org/spreadsheetml/2006/main" count="2456" uniqueCount="927">
  <si>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</si>
  <si>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</si>
  <si>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</si>
  <si>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</si>
  <si>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</si>
  <si>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</si>
  <si>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</si>
  <si>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</si>
  <si>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</si>
  <si>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</si>
  <si>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</si>
  <si>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</si>
  <si>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</si>
  <si>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</si>
  <si>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</si>
  <si>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</si>
  <si>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</si>
  <si>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</si>
  <si>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</si>
  <si>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</si>
  <si>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</si>
  <si>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</si>
  <si>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</si>
  <si>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</si>
  <si>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</si>
  <si>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</si>
  <si>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</si>
  <si>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</si>
  <si>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</si>
  <si>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</si>
  <si>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</si>
  <si>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</si>
  <si>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</si>
  <si>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</si>
  <si>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</si>
  <si>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</si>
  <si>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</si>
  <si>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</si>
  <si>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</si>
  <si>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</si>
  <si>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</si>
  <si>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</si>
  <si>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</si>
  <si>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</si>
  <si>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</si>
  <si>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</si>
  <si>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</si>
  <si>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</si>
  <si>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</si>
  <si>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</si>
  <si>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</si>
  <si>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</si>
  <si>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</si>
  <si>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</si>
  <si>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</si>
  <si>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</si>
  <si>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</si>
  <si>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</si>
  <si>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</si>
  <si>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</si>
  <si>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</si>
  <si>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</si>
  <si>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</si>
  <si>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</si>
  <si>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</si>
  <si>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</si>
  <si>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</si>
  <si>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</si>
  <si>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</si>
  <si>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</si>
  <si>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</si>
  <si>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</si>
  <si>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</si>
  <si>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</si>
  <si>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</si>
  <si>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</si>
  <si>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</si>
  <si>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</si>
  <si>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</si>
  <si>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</si>
  <si>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</si>
  <si>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</si>
  <si>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</si>
  <si>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</si>
  <si>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</si>
  <si>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</si>
  <si>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</si>
  <si>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</si>
  <si>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</si>
  <si>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</si>
  <si>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</si>
  <si>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</si>
  <si>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</si>
  <si>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</si>
  <si>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</si>
  <si>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</si>
  <si>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</si>
  <si>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</si>
  <si>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</si>
  <si>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</si>
  <si>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</si>
  <si>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</si>
  <si>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</si>
  <si>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</si>
  <si>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</si>
  <si>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</si>
  <si>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</si>
  <si>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</si>
  <si>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</si>
  <si>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</si>
  <si>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</si>
  <si>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</si>
  <si>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</si>
  <si>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</si>
  <si>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</si>
  <si>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</si>
  <si>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</si>
  <si>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</si>
  <si>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</si>
  <si>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</si>
  <si>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</si>
  <si>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</si>
  <si>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</si>
  <si>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</si>
  <si>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</si>
  <si>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</si>
  <si>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</si>
  <si>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</si>
  <si>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</si>
  <si>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</si>
  <si>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</si>
  <si>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</si>
  <si>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</si>
  <si>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</si>
  <si>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</si>
  <si>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</si>
  <si>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</si>
  <si>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</si>
  <si>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</si>
  <si>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</si>
  <si>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</si>
  <si>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</si>
  <si>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</si>
  <si>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</si>
  <si>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</si>
  <si>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</si>
  <si>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</si>
  <si>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</si>
  <si>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</si>
  <si>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</si>
  <si>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</si>
  <si>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</si>
  <si>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</si>
  <si>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</si>
  <si>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</si>
  <si>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</si>
  <si>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</si>
  <si>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</si>
  <si>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</si>
  <si>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</si>
  <si>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</si>
  <si>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</si>
  <si>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</si>
  <si>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</si>
  <si>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</si>
  <si>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</si>
  <si>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</si>
  <si>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</si>
  <si>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</si>
  <si>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</si>
  <si>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</si>
  <si>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</si>
  <si>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</si>
  <si>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</si>
  <si>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</si>
  <si>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</si>
  <si>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</si>
  <si>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</si>
  <si>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</si>
  <si>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</si>
  <si>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</si>
  <si>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</si>
  <si>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</si>
  <si>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</si>
  <si>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</si>
  <si>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</si>
  <si>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</si>
  <si>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</si>
  <si>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</si>
  <si>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</si>
  <si>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</si>
  <si>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</si>
  <si>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</si>
  <si>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</si>
  <si>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</si>
  <si>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</si>
  <si>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</si>
  <si>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</si>
  <si>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</si>
  <si>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</si>
  <si>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</si>
  <si>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</si>
  <si>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</si>
  <si>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</si>
  <si>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</si>
  <si>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</si>
  <si>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</si>
  <si>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</si>
  <si>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</si>
  <si>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</si>
  <si>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</si>
  <si>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</si>
  <si>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</si>
  <si>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</si>
  <si>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</si>
  <si>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</si>
  <si>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</si>
  <si>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</si>
  <si>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</si>
  <si>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</si>
  <si>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</si>
  <si>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</si>
  <si>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</si>
  <si>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</si>
  <si>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</si>
  <si>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</si>
  <si>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</si>
  <si>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</si>
  <si>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</si>
  <si>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</si>
  <si>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</si>
  <si>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</si>
  <si>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</si>
  <si>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</si>
  <si>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</si>
  <si>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</si>
  <si>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</si>
  <si>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</si>
  <si>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</si>
  <si>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</si>
  <si>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</si>
  <si>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</si>
  <si>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</si>
  <si>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</si>
  <si>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</si>
  <si>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</si>
  <si>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</si>
  <si>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</si>
  <si>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</si>
  <si>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</si>
  <si>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</si>
  <si>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</si>
  <si>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</si>
  <si>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</si>
  <si>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</si>
  <si>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</si>
  <si>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</si>
  <si>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</si>
  <si>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</si>
  <si>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</si>
  <si>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</si>
  <si>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</si>
  <si>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</si>
  <si>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</si>
  <si>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</si>
  <si>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</si>
  <si>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</si>
  <si>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</si>
  <si>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</si>
  <si>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</si>
  <si>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</si>
  <si>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</si>
  <si>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</si>
  <si>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</si>
  <si>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</si>
  <si>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</si>
  <si>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</si>
  <si>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</si>
  <si>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</si>
  <si>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</si>
  <si>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</si>
  <si>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</si>
  <si>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</si>
  <si>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</si>
  <si>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</si>
  <si>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</si>
  <si>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</si>
  <si>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</si>
  <si>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</si>
  <si>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</si>
  <si>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</si>
  <si>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</si>
  <si>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</si>
  <si>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</si>
  <si>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</si>
  <si>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</si>
  <si>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</si>
  <si>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</si>
  <si>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</si>
  <si>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</si>
  <si>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</si>
  <si>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</si>
  <si>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</si>
  <si>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</si>
  <si>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</si>
  <si>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</si>
  <si>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</si>
  <si>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</si>
  <si>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</si>
  <si>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</si>
  <si>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</si>
  <si>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</si>
  <si>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</si>
  <si>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</si>
  <si>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</si>
  <si>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</si>
  <si>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</si>
  <si>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</si>
  <si>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</si>
  <si>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</si>
  <si>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</si>
  <si>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</si>
  <si>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</si>
  <si>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</si>
  <si>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</si>
  <si>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</si>
  <si>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</si>
  <si>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</si>
  <si>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</si>
  <si>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</si>
  <si>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</si>
  <si>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</si>
  <si>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</si>
  <si>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</si>
  <si>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</si>
  <si>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</si>
  <si>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</si>
  <si>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</si>
  <si>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</si>
  <si>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</si>
  <si>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</si>
  <si>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</si>
  <si>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</si>
  <si>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</si>
  <si>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</si>
  <si>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</si>
  <si>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</si>
  <si>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</si>
  <si>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</si>
  <si>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</si>
  <si>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</si>
  <si>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</si>
  <si>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</si>
  <si>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</si>
  <si>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</si>
  <si>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</si>
  <si>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</si>
  <si>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</si>
  <si>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</si>
  <si>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</si>
  <si>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</si>
  <si>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</si>
  <si>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</si>
  <si>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</si>
  <si>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</si>
  <si>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</si>
  <si>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</si>
  <si>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</si>
  <si>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</si>
  <si>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</si>
  <si>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</si>
  <si>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</si>
  <si>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</si>
  <si>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</si>
  <si>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</si>
  <si>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</si>
  <si>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</si>
  <si>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</si>
  <si>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</si>
  <si>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</si>
  <si>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</si>
  <si>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</si>
  <si>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</si>
  <si>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</si>
  <si>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</si>
  <si>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</si>
  <si>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</si>
  <si>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</si>
  <si>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</si>
  <si>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</si>
  <si>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</si>
  <si>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</si>
  <si>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</si>
  <si>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</si>
  <si>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</si>
  <si>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</si>
  <si>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</si>
  <si>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</si>
  <si>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</si>
  <si>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</si>
  <si>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</si>
  <si>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</si>
  <si>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</si>
  <si>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</si>
  <si>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</si>
  <si>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</si>
  <si>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</si>
  <si>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</si>
  <si>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</si>
  <si>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</si>
  <si>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</si>
  <si>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</si>
  <si>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</si>
  <si>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</si>
  <si>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</si>
  <si>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</si>
  <si>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</si>
  <si>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</si>
  <si>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</si>
  <si>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</si>
  <si>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</si>
  <si>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</si>
  <si>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</si>
  <si>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</si>
  <si>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</si>
  <si>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</si>
  <si>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</si>
  <si>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</si>
  <si>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</si>
  <si>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</si>
  <si>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</si>
  <si>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</si>
  <si>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</si>
  <si>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</si>
  <si>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</si>
  <si>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</si>
  <si>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</si>
  <si>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</si>
  <si>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</si>
  <si>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</si>
  <si>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</si>
  <si>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</si>
  <si>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</si>
  <si>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</si>
  <si>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</si>
  <si>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</si>
  <si>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</si>
  <si>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</si>
  <si>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</si>
  <si>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</si>
  <si>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</si>
  <si>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</si>
  <si>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</si>
  <si>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</si>
  <si>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</si>
  <si>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</si>
  <si>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</si>
  <si>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</si>
  <si>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</si>
  <si>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</si>
  <si>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</si>
  <si>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</si>
  <si>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</si>
  <si>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</si>
  <si>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</si>
  <si>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</si>
  <si>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</si>
  <si>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</si>
  <si>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</si>
  <si>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</si>
  <si>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</si>
  <si>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</si>
  <si>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</si>
  <si>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</si>
  <si>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</si>
  <si>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</si>
  <si>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</si>
  <si>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</si>
  <si>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</si>
  <si>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</si>
  <si>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</si>
  <si>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</si>
  <si>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</si>
  <si>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</si>
  <si>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</si>
  <si>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</si>
  <si>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</si>
  <si>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</si>
  <si>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</si>
  <si>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</si>
  <si>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</si>
  <si>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</si>
  <si>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</si>
  <si>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</si>
  <si>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</si>
  <si>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</si>
  <si>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</si>
  <si>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</si>
  <si>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</si>
  <si>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</si>
  <si>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</si>
  <si>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</si>
  <si>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</si>
  <si>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</si>
  <si>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</si>
  <si>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</si>
  <si>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</si>
  <si>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</si>
  <si>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</si>
  <si>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</si>
  <si>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</si>
  <si>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</si>
  <si>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</si>
  <si>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</si>
  <si>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</si>
  <si>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</si>
  <si>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</si>
  <si>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</si>
  <si>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</si>
  <si>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</si>
  <si>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</si>
  <si>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</si>
  <si>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</si>
  <si>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</si>
  <si>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</si>
  <si>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</si>
  <si>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</si>
  <si>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</si>
  <si>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</si>
  <si>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</si>
  <si>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</si>
  <si>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</si>
  <si>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</si>
  <si>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</si>
  <si>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</si>
  <si>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</si>
  <si>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</si>
  <si>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</si>
  <si>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</si>
  <si>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</si>
  <si>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</si>
  <si>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</si>
  <si>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</si>
  <si>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</si>
  <si>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</si>
  <si>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</si>
  <si>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</si>
  <si>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</si>
  <si>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</si>
  <si>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</si>
  <si>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</si>
  <si>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</si>
  <si>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</si>
  <si>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</si>
  <si>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</si>
  <si>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</si>
  <si>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</si>
  <si>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</si>
  <si>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</si>
  <si>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</si>
  <si>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</si>
  <si>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</si>
  <si>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</si>
  <si>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</si>
  <si>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</si>
  <si>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</si>
  <si>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</si>
  <si>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</si>
  <si>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</si>
  <si>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</si>
  <si>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</si>
  <si>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</si>
  <si>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</si>
  <si>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</si>
  <si>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</si>
  <si>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</si>
  <si>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</si>
  <si>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</si>
  <si>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</si>
  <si>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</si>
  <si>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</si>
  <si>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</si>
  <si>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</si>
  <si>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</si>
  <si>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</si>
  <si>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</si>
  <si>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</si>
  <si>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</si>
  <si>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</si>
  <si>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</si>
  <si>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</si>
  <si>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</si>
  <si>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</si>
  <si>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</si>
  <si>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</si>
  <si>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</si>
  <si>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</si>
  <si>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</si>
  <si>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</si>
  <si>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</si>
  <si>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</si>
  <si>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</si>
  <si>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</si>
  <si>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</si>
  <si>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</si>
  <si>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</si>
  <si>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</si>
  <si>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</si>
  <si>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</si>
  <si>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</si>
  <si>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</si>
  <si>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</si>
  <si>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</si>
  <si>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</si>
  <si>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</si>
  <si>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</si>
  <si>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</si>
  <si>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</si>
  <si>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</si>
  <si>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</si>
  <si>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</si>
  <si>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</si>
  <si>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</si>
  <si>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</si>
  <si>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</si>
  <si>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</si>
  <si>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</si>
  <si>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</si>
  <si>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</si>
  <si>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</si>
  <si>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</si>
  <si>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</si>
  <si>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</si>
  <si>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</si>
  <si>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</si>
  <si>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</si>
  <si>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</si>
  <si>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</si>
  <si>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</si>
  <si>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</si>
  <si>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</si>
  <si>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</si>
  <si>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</si>
  <si>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</si>
  <si>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</si>
  <si>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</si>
  <si>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</si>
  <si>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</si>
  <si>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</si>
  <si>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</si>
  <si>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</si>
  <si>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</si>
  <si>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</si>
  <si>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</si>
  <si>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</si>
  <si>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</si>
  <si>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</si>
  <si>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</si>
  <si>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</si>
  <si>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</si>
  <si>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</si>
  <si>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</si>
  <si>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</si>
  <si>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</si>
  <si>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</si>
  <si>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</si>
  <si>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</si>
  <si>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</si>
  <si>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</si>
  <si>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</si>
  <si>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</si>
  <si>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</si>
  <si>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</si>
  <si>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</si>
  <si>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</si>
  <si>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</si>
  <si>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</si>
  <si>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</si>
  <si>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</si>
  <si>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</si>
  <si>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</si>
  <si>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</si>
  <si>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</si>
  <si>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</si>
  <si>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</si>
  <si>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</si>
  <si>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</si>
  <si>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</si>
  <si>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</si>
  <si>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</si>
  <si>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</si>
  <si>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</si>
  <si>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</si>
  <si>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</si>
  <si>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</si>
  <si>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</si>
  <si>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</si>
  <si>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</si>
  <si>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</si>
  <si>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</si>
  <si>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</si>
  <si>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</si>
  <si>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</si>
  <si>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</si>
  <si>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</si>
  <si>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</si>
  <si>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</si>
  <si>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</si>
  <si>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</si>
  <si>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</si>
  <si>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</si>
  <si>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</si>
  <si>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</si>
  <si>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</si>
  <si>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</si>
  <si>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</si>
  <si>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</si>
  <si>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</si>
  <si>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</si>
  <si>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</si>
  <si>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</si>
  <si>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</si>
  <si>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</si>
  <si>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</si>
  <si>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</si>
  <si>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</si>
  <si>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</si>
  <si>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</si>
  <si>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</si>
  <si>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</si>
  <si>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</si>
  <si>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</si>
  <si>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</si>
  <si>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</si>
  <si>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</si>
  <si>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</si>
  <si>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</si>
  <si>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</si>
  <si>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</si>
  <si>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</si>
  <si>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</si>
  <si>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</si>
  <si>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</si>
  <si>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</si>
  <si>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</si>
  <si>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</si>
  <si>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</si>
  <si>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</si>
  <si>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</si>
  <si>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</si>
  <si>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</si>
  <si>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</si>
  <si>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</si>
  <si>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</si>
  <si>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</si>
  <si>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</si>
  <si>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</si>
  <si>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</si>
  <si>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</si>
  <si>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</si>
  <si>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</si>
  <si>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</si>
  <si>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</si>
  <si>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</si>
  <si>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</si>
  <si>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</si>
  <si>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</si>
  <si>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</si>
  <si>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</si>
  <si>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</si>
  <si>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</si>
  <si>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</si>
  <si>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</si>
  <si>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</si>
  <si>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</si>
  <si>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</si>
  <si>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</si>
  <si>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</si>
  <si>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</si>
  <si>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</si>
  <si>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</si>
  <si>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</si>
  <si>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</si>
  <si>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</si>
  <si>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</si>
  <si>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</si>
  <si>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</si>
  <si>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</si>
  <si>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</si>
  <si>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</si>
  <si>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</si>
  <si>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</si>
  <si>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</si>
  <si>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</si>
  <si>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</si>
  <si>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</si>
  <si>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</si>
  <si>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</si>
  <si>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</si>
  <si>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</si>
  <si>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</si>
  <si>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</si>
  <si>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</si>
  <si>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</si>
  <si>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</si>
  <si>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</si>
  <si>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</si>
  <si>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</si>
  <si>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</si>
  <si>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</si>
  <si>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</si>
  <si>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</si>
  <si>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</si>
  <si>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</si>
  <si>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</si>
  <si>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</si>
  <si>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</si>
  <si>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</si>
  <si>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</si>
  <si>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</si>
  <si>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</si>
  <si>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</si>
  <si>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</si>
  <si>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</si>
  <si>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</si>
  <si>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</si>
  <si>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</si>
  <si>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</si>
  <si>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</si>
  <si>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</si>
  <si>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</si>
  <si>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</si>
  <si>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</si>
  <si>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</si>
  <si>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</si>
  <si>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</si>
  <si>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</si>
  <si>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</si>
  <si>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</si>
  <si>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</si>
  <si>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</si>
  <si>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</si>
  <si>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</si>
  <si>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</si>
  <si>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</si>
  <si>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</si>
  <si>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</si>
  <si>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</si>
  <si>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</si>
  <si>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</si>
  <si>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</si>
  <si>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</si>
  <si>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</si>
  <si>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</si>
  <si>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</si>
  <si>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</si>
  <si>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</si>
  <si>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</si>
  <si>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</si>
  <si>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</si>
  <si>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</si>
  <si>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</si>
  <si>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</si>
  <si>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</si>
  <si>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</si>
  <si>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</si>
  <si>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</si>
  <si>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</si>
  <si>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</si>
  <si>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</si>
  <si>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</si>
  <si>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</si>
  <si>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</si>
  <si>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</si>
  <si>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</si>
  <si>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</si>
  <si>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</si>
  <si>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</si>
  <si>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</si>
  <si>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</si>
  <si>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</si>
  <si>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</si>
  <si>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</si>
  <si>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</si>
  <si>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</si>
  <si>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</si>
  <si>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</si>
  <si>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</si>
  <si>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</si>
  <si>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</si>
  <si>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</si>
  <si>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</si>
  <si>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</si>
  <si>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</si>
  <si>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</si>
  <si>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</si>
  <si>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</si>
  <si>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</si>
  <si>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</si>
  <si>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</si>
  <si>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</si>
  <si>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</si>
  <si>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</si>
  <si>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</si>
  <si>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</si>
  <si>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</si>
  <si>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</si>
  <si>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</si>
  <si>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</si>
  <si>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</si>
  <si>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</si>
  <si>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</si>
  <si>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</si>
  <si>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36012</t>
  </si>
  <si>
    <t>MOORSLEDE</t>
  </si>
  <si>
    <t>Cultuurgrond (ha)</t>
  </si>
  <si>
    <t>Paarden&amp;pony's 200 - 600 kg</t>
  </si>
  <si>
    <t>Paarden&amp;pony's &lt; 200 kg</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</si>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</sst>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103617.05812793309</c:v>
                </c:pt>
                <c:pt idx="1">
                  <c:v>51969.078137055658</c:v>
                </c:pt>
                <c:pt idx="2">
                  <c:v>1056.8699999999999</c:v>
                </c:pt>
                <c:pt idx="3">
                  <c:v>11048.988801341806</c:v>
                </c:pt>
                <c:pt idx="4">
                  <c:v>43060.838441185937</c:v>
                </c:pt>
                <c:pt idx="5">
                  <c:v>38447.517709050473</c:v>
                </c:pt>
                <c:pt idx="6">
                  <c:v>1267.8722173594476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103617.05812793309</c:v>
                </c:pt>
                <c:pt idx="1">
                  <c:v>51969.078137055658</c:v>
                </c:pt>
                <c:pt idx="2">
                  <c:v>1056.8699999999999</c:v>
                </c:pt>
                <c:pt idx="3">
                  <c:v>11048.988801341806</c:v>
                </c:pt>
                <c:pt idx="4">
                  <c:v>43060.838441185937</c:v>
                </c:pt>
                <c:pt idx="5">
                  <c:v>38447.517709050473</c:v>
                </c:pt>
                <c:pt idx="6">
                  <c:v>1267.8722173594476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17919.978167900274</c:v>
                </c:pt>
                <c:pt idx="2">
                  <c:v>8378.5769625146404</c:v>
                </c:pt>
                <c:pt idx="3">
                  <c:v>195.05713773024718</c:v>
                </c:pt>
                <c:pt idx="4">
                  <c:v>2772.6277053091826</c:v>
                </c:pt>
                <c:pt idx="5">
                  <c:v>8544.8875234237657</c:v>
                </c:pt>
                <c:pt idx="6">
                  <c:v>9704.4177770617625</c:v>
                </c:pt>
                <c:pt idx="7">
                  <c:v>324.09609665087447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17919.978167900274</c:v>
                </c:pt>
                <c:pt idx="2">
                  <c:v>8378.5769625146404</c:v>
                </c:pt>
                <c:pt idx="3">
                  <c:v>195.05713773024718</c:v>
                </c:pt>
                <c:pt idx="4">
                  <c:v>2772.6277053091826</c:v>
                </c:pt>
                <c:pt idx="5">
                  <c:v>8544.8875234237657</c:v>
                </c:pt>
                <c:pt idx="6">
                  <c:v>9704.4177770617625</c:v>
                </c:pt>
                <c:pt idx="7">
                  <c:v>324.09609665087447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36012</v>
      </c>
      <c r="B6" s="395"/>
      <c r="C6" s="396"/>
    </row>
    <row r="7" spans="1:7" s="393" customFormat="1" ht="15.75" customHeight="1">
      <c r="A7" s="397" t="str">
        <f>txtMunicipality</f>
        <v>MOORSLEDE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23894.119855669676</v>
      </c>
      <c r="D10" s="686">
        <f ca="1">tertiair!C16</f>
        <v>9552.8571428571431</v>
      </c>
      <c r="E10" s="686">
        <f ca="1">tertiair!D16</f>
        <v>16052.979594079334</v>
      </c>
      <c r="F10" s="686">
        <f>tertiair!E16</f>
        <v>235.4307204713852</v>
      </c>
      <c r="G10" s="686">
        <f ca="1">tertiair!F16</f>
        <v>3249.3008239781261</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3.1266666666666669</v>
      </c>
      <c r="Q10" s="687">
        <f>tertiair!P16</f>
        <v>38.133333333333333</v>
      </c>
      <c r="R10" s="689">
        <f ca="1">SUM(C10:Q10)</f>
        <v>53025.94813705566</v>
      </c>
      <c r="S10" s="67"/>
    </row>
    <row r="11" spans="1:19" s="454" customFormat="1">
      <c r="A11" s="801" t="s">
        <v>224</v>
      </c>
      <c r="B11" s="806"/>
      <c r="C11" s="686">
        <f>huishoudens!B8</f>
        <v>18968.442895663575</v>
      </c>
      <c r="D11" s="686">
        <f>huishoudens!C8</f>
        <v>0</v>
      </c>
      <c r="E11" s="686">
        <f>huishoudens!D8</f>
        <v>44814.382959161965</v>
      </c>
      <c r="F11" s="686">
        <f>huishoudens!E8</f>
        <v>6527.0658964857384</v>
      </c>
      <c r="G11" s="686">
        <f>huishoudens!F8</f>
        <v>12084.979008038599</v>
      </c>
      <c r="H11" s="686">
        <f>huishoudens!G8</f>
        <v>0</v>
      </c>
      <c r="I11" s="686">
        <f>huishoudens!H8</f>
        <v>0</v>
      </c>
      <c r="J11" s="686">
        <f>huishoudens!I8</f>
        <v>0</v>
      </c>
      <c r="K11" s="686">
        <f>huishoudens!J8</f>
        <v>1859.609913497432</v>
      </c>
      <c r="L11" s="686">
        <f>huishoudens!K8</f>
        <v>0</v>
      </c>
      <c r="M11" s="686">
        <f>huishoudens!L8</f>
        <v>0</v>
      </c>
      <c r="N11" s="686">
        <f>huishoudens!M8</f>
        <v>0</v>
      </c>
      <c r="O11" s="686">
        <f>huishoudens!N8</f>
        <v>19020.880788419105</v>
      </c>
      <c r="P11" s="686">
        <f>huishoudens!O8</f>
        <v>189.16333333333336</v>
      </c>
      <c r="Q11" s="687">
        <f>huishoudens!P8</f>
        <v>152.53333333333333</v>
      </c>
      <c r="R11" s="689">
        <f>SUM(C11:Q11)</f>
        <v>103617.05812793309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18777.167132753308</v>
      </c>
      <c r="D13" s="686">
        <f>industrie!C18</f>
        <v>0</v>
      </c>
      <c r="E13" s="686">
        <f>industrie!D18</f>
        <v>17144.713235922212</v>
      </c>
      <c r="F13" s="686">
        <f>industrie!E18</f>
        <v>1199.3020051480673</v>
      </c>
      <c r="G13" s="686">
        <f>industrie!F18</f>
        <v>4978.4922185031701</v>
      </c>
      <c r="H13" s="686">
        <f>industrie!G18</f>
        <v>0</v>
      </c>
      <c r="I13" s="686">
        <f>industrie!H18</f>
        <v>0</v>
      </c>
      <c r="J13" s="686">
        <f>industrie!I18</f>
        <v>0</v>
      </c>
      <c r="K13" s="686">
        <f>industrie!J18</f>
        <v>41.302257130037091</v>
      </c>
      <c r="L13" s="686">
        <f>industrie!K18</f>
        <v>0</v>
      </c>
      <c r="M13" s="686">
        <f>industrie!L18</f>
        <v>0</v>
      </c>
      <c r="N13" s="686">
        <f>industrie!M18</f>
        <v>0</v>
      </c>
      <c r="O13" s="686">
        <f>industrie!N18</f>
        <v>919.86159172913813</v>
      </c>
      <c r="P13" s="686">
        <f>industrie!O18</f>
        <v>0</v>
      </c>
      <c r="Q13" s="687">
        <f>industrie!P18</f>
        <v>0</v>
      </c>
      <c r="R13" s="689">
        <f>SUM(C13:Q13)</f>
        <v>43060.838441185937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61639.729884086555</v>
      </c>
      <c r="D16" s="721">
        <f t="shared" ref="D16:R16" ca="1" si="0">SUM(D9:D15)</f>
        <v>9552.8571428571431</v>
      </c>
      <c r="E16" s="721">
        <f t="shared" ca="1" si="0"/>
        <v>78012.075789163515</v>
      </c>
      <c r="F16" s="721">
        <f t="shared" si="0"/>
        <v>7961.7986221051906</v>
      </c>
      <c r="G16" s="721">
        <f t="shared" ca="1" si="0"/>
        <v>20312.772050519896</v>
      </c>
      <c r="H16" s="721">
        <f t="shared" si="0"/>
        <v>0</v>
      </c>
      <c r="I16" s="721">
        <f t="shared" si="0"/>
        <v>0</v>
      </c>
      <c r="J16" s="721">
        <f t="shared" si="0"/>
        <v>0</v>
      </c>
      <c r="K16" s="721">
        <f t="shared" si="0"/>
        <v>1900.9121706274691</v>
      </c>
      <c r="L16" s="721">
        <f t="shared" si="0"/>
        <v>0</v>
      </c>
      <c r="M16" s="721">
        <f t="shared" ca="1" si="0"/>
        <v>0</v>
      </c>
      <c r="N16" s="721">
        <f t="shared" si="0"/>
        <v>0</v>
      </c>
      <c r="O16" s="721">
        <f t="shared" ca="1" si="0"/>
        <v>19940.742380148244</v>
      </c>
      <c r="P16" s="721">
        <f t="shared" si="0"/>
        <v>192.29000000000002</v>
      </c>
      <c r="Q16" s="721">
        <f t="shared" si="0"/>
        <v>190.66666666666666</v>
      </c>
      <c r="R16" s="721">
        <f t="shared" ca="1" si="0"/>
        <v>199703.84470617468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1213.8430586175073</v>
      </c>
      <c r="I19" s="686">
        <f>transport!H54</f>
        <v>0</v>
      </c>
      <c r="J19" s="686">
        <f>transport!I54</f>
        <v>0</v>
      </c>
      <c r="K19" s="686">
        <f>transport!J54</f>
        <v>0</v>
      </c>
      <c r="L19" s="686">
        <f>transport!K54</f>
        <v>0</v>
      </c>
      <c r="M19" s="686">
        <f>transport!L54</f>
        <v>0</v>
      </c>
      <c r="N19" s="686">
        <f>transport!M54</f>
        <v>54.029158741940272</v>
      </c>
      <c r="O19" s="686">
        <f>transport!N54</f>
        <v>0</v>
      </c>
      <c r="P19" s="686">
        <f>transport!O54</f>
        <v>0</v>
      </c>
      <c r="Q19" s="687">
        <f>transport!P54</f>
        <v>0</v>
      </c>
      <c r="R19" s="689">
        <f>SUM(C19:Q19)</f>
        <v>1267.8722173594476</v>
      </c>
      <c r="S19" s="67"/>
    </row>
    <row r="20" spans="1:19" s="454" customFormat="1">
      <c r="A20" s="801" t="s">
        <v>306</v>
      </c>
      <c r="B20" s="806"/>
      <c r="C20" s="686">
        <f>transport!B14</f>
        <v>1.5403612342227084</v>
      </c>
      <c r="D20" s="686">
        <f>transport!C14</f>
        <v>0</v>
      </c>
      <c r="E20" s="686">
        <f>transport!D14</f>
        <v>3.5331285212548771</v>
      </c>
      <c r="F20" s="686">
        <f>transport!E14</f>
        <v>120.60838781886407</v>
      </c>
      <c r="G20" s="686">
        <f>transport!F14</f>
        <v>0</v>
      </c>
      <c r="H20" s="686">
        <f>transport!G14</f>
        <v>30376.646071877763</v>
      </c>
      <c r="I20" s="686">
        <f>transport!H14</f>
        <v>6287.0569840984681</v>
      </c>
      <c r="J20" s="686">
        <f>transport!I14</f>
        <v>0</v>
      </c>
      <c r="K20" s="686">
        <f>transport!J14</f>
        <v>0</v>
      </c>
      <c r="L20" s="686">
        <f>transport!K14</f>
        <v>0</v>
      </c>
      <c r="M20" s="686">
        <f>transport!L14</f>
        <v>0</v>
      </c>
      <c r="N20" s="686">
        <f>transport!M14</f>
        <v>1658.1327754999027</v>
      </c>
      <c r="O20" s="686">
        <f>transport!N14</f>
        <v>0</v>
      </c>
      <c r="P20" s="686">
        <f>transport!O14</f>
        <v>0</v>
      </c>
      <c r="Q20" s="687">
        <f>transport!P14</f>
        <v>0</v>
      </c>
      <c r="R20" s="689">
        <f>SUM(C20:Q20)</f>
        <v>38447.517709050473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1.5403612342227084</v>
      </c>
      <c r="D22" s="804">
        <f t="shared" ref="D22:R22" si="1">SUM(D18:D21)</f>
        <v>0</v>
      </c>
      <c r="E22" s="804">
        <f t="shared" si="1"/>
        <v>3.5331285212548771</v>
      </c>
      <c r="F22" s="804">
        <f t="shared" si="1"/>
        <v>120.60838781886407</v>
      </c>
      <c r="G22" s="804">
        <f t="shared" si="1"/>
        <v>0</v>
      </c>
      <c r="H22" s="804">
        <f t="shared" si="1"/>
        <v>31590.489130495269</v>
      </c>
      <c r="I22" s="804">
        <f t="shared" si="1"/>
        <v>6287.0569840984681</v>
      </c>
      <c r="J22" s="804">
        <f t="shared" si="1"/>
        <v>0</v>
      </c>
      <c r="K22" s="804">
        <f t="shared" si="1"/>
        <v>0</v>
      </c>
      <c r="L22" s="804">
        <f t="shared" si="1"/>
        <v>0</v>
      </c>
      <c r="M22" s="804">
        <f t="shared" si="1"/>
        <v>0</v>
      </c>
      <c r="N22" s="804">
        <f t="shared" si="1"/>
        <v>1712.161934241843</v>
      </c>
      <c r="O22" s="804">
        <f t="shared" si="1"/>
        <v>0</v>
      </c>
      <c r="P22" s="804">
        <f t="shared" si="1"/>
        <v>0</v>
      </c>
      <c r="Q22" s="804">
        <f t="shared" si="1"/>
        <v>0</v>
      </c>
      <c r="R22" s="804">
        <f t="shared" si="1"/>
        <v>39715.389926409924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2350.99288219346</v>
      </c>
      <c r="D24" s="686">
        <f>+landbouw!C8</f>
        <v>0</v>
      </c>
      <c r="E24" s="686">
        <f>+landbouw!D8</f>
        <v>203.29337332388465</v>
      </c>
      <c r="F24" s="686">
        <f>+landbouw!E8</f>
        <v>29.6255390102658</v>
      </c>
      <c r="G24" s="686">
        <f>+landbouw!F8</f>
        <v>8111.5144024761657</v>
      </c>
      <c r="H24" s="686">
        <f>+landbouw!G8</f>
        <v>0</v>
      </c>
      <c r="I24" s="686">
        <f>+landbouw!H8</f>
        <v>0</v>
      </c>
      <c r="J24" s="686">
        <f>+landbouw!I8</f>
        <v>0</v>
      </c>
      <c r="K24" s="686">
        <f>+landbouw!J8</f>
        <v>353.56260433802976</v>
      </c>
      <c r="L24" s="686">
        <f>+landbouw!K8</f>
        <v>0</v>
      </c>
      <c r="M24" s="686">
        <f>+landbouw!L8</f>
        <v>0</v>
      </c>
      <c r="N24" s="686">
        <f>+landbouw!M8</f>
        <v>0</v>
      </c>
      <c r="O24" s="686">
        <f>+landbouw!N8</f>
        <v>0</v>
      </c>
      <c r="P24" s="686">
        <f>+landbouw!O8</f>
        <v>0</v>
      </c>
      <c r="Q24" s="687">
        <f>+landbouw!P8</f>
        <v>0</v>
      </c>
      <c r="R24" s="689">
        <f>SUM(C24:Q24)</f>
        <v>11048.988801341806</v>
      </c>
      <c r="S24" s="67"/>
    </row>
    <row r="25" spans="1:19" s="454" customFormat="1" ht="15" thickBot="1">
      <c r="A25" s="823" t="s">
        <v>856</v>
      </c>
      <c r="B25" s="991"/>
      <c r="C25" s="992">
        <f>IF(Onbekend_ele_kWh="---",0,Onbekend_ele_kWh)/1000+IF(REST_rest_ele_kWh="---",0,REST_rest_ele_kWh)/1000</f>
        <v>697.41011036796795</v>
      </c>
      <c r="D25" s="992"/>
      <c r="E25" s="992">
        <f>IF(onbekend_gas_kWh="---",0,onbekend_gas_kWh)/1000+IF(REST_rest_gas_kWh="---",0,REST_rest_gas_kWh)/1000</f>
        <v>1982.09267783068</v>
      </c>
      <c r="F25" s="992"/>
      <c r="G25" s="992"/>
      <c r="H25" s="992"/>
      <c r="I25" s="992"/>
      <c r="J25" s="992"/>
      <c r="K25" s="992"/>
      <c r="L25" s="992"/>
      <c r="M25" s="992"/>
      <c r="N25" s="992"/>
      <c r="O25" s="992"/>
      <c r="P25" s="992"/>
      <c r="Q25" s="993"/>
      <c r="R25" s="689">
        <f>SUM(C25:Q25)</f>
        <v>2679.502788198648</v>
      </c>
      <c r="S25" s="67"/>
    </row>
    <row r="26" spans="1:19" s="454" customFormat="1" ht="15.75" thickBot="1">
      <c r="A26" s="694" t="s">
        <v>857</v>
      </c>
      <c r="B26" s="809"/>
      <c r="C26" s="804">
        <f>SUM(C24:C25)</f>
        <v>3048.4029925614277</v>
      </c>
      <c r="D26" s="804">
        <f t="shared" ref="D26:R26" si="2">SUM(D24:D25)</f>
        <v>0</v>
      </c>
      <c r="E26" s="804">
        <f t="shared" si="2"/>
        <v>2185.3860511545645</v>
      </c>
      <c r="F26" s="804">
        <f t="shared" si="2"/>
        <v>29.6255390102658</v>
      </c>
      <c r="G26" s="804">
        <f t="shared" si="2"/>
        <v>8111.5144024761657</v>
      </c>
      <c r="H26" s="804">
        <f t="shared" si="2"/>
        <v>0</v>
      </c>
      <c r="I26" s="804">
        <f t="shared" si="2"/>
        <v>0</v>
      </c>
      <c r="J26" s="804">
        <f t="shared" si="2"/>
        <v>0</v>
      </c>
      <c r="K26" s="804">
        <f t="shared" si="2"/>
        <v>353.56260433802976</v>
      </c>
      <c r="L26" s="804">
        <f t="shared" si="2"/>
        <v>0</v>
      </c>
      <c r="M26" s="804">
        <f t="shared" si="2"/>
        <v>0</v>
      </c>
      <c r="N26" s="804">
        <f t="shared" si="2"/>
        <v>0</v>
      </c>
      <c r="O26" s="804">
        <f t="shared" si="2"/>
        <v>0</v>
      </c>
      <c r="P26" s="804">
        <f t="shared" si="2"/>
        <v>0</v>
      </c>
      <c r="Q26" s="804">
        <f t="shared" si="2"/>
        <v>0</v>
      </c>
      <c r="R26" s="804">
        <f t="shared" si="2"/>
        <v>13728.491589540454</v>
      </c>
      <c r="S26" s="67"/>
    </row>
    <row r="27" spans="1:19" s="454" customFormat="1" ht="17.25" thickTop="1" thickBot="1">
      <c r="A27" s="695" t="s">
        <v>115</v>
      </c>
      <c r="B27" s="796"/>
      <c r="C27" s="696">
        <f ca="1">C22+C16+C26</f>
        <v>64689.673237882205</v>
      </c>
      <c r="D27" s="696">
        <f t="shared" ref="D27:R27" ca="1" si="3">D22+D16+D26</f>
        <v>9552.8571428571431</v>
      </c>
      <c r="E27" s="696">
        <f t="shared" ca="1" si="3"/>
        <v>80200.994968839339</v>
      </c>
      <c r="F27" s="696">
        <f t="shared" si="3"/>
        <v>8112.0325489343204</v>
      </c>
      <c r="G27" s="696">
        <f t="shared" ca="1" si="3"/>
        <v>28424.286452996061</v>
      </c>
      <c r="H27" s="696">
        <f t="shared" si="3"/>
        <v>31590.489130495269</v>
      </c>
      <c r="I27" s="696">
        <f t="shared" si="3"/>
        <v>6287.0569840984681</v>
      </c>
      <c r="J27" s="696">
        <f t="shared" si="3"/>
        <v>0</v>
      </c>
      <c r="K27" s="696">
        <f t="shared" si="3"/>
        <v>2254.4747749654989</v>
      </c>
      <c r="L27" s="696">
        <f t="shared" si="3"/>
        <v>0</v>
      </c>
      <c r="M27" s="696">
        <f t="shared" ca="1" si="3"/>
        <v>0</v>
      </c>
      <c r="N27" s="696">
        <f t="shared" si="3"/>
        <v>1712.161934241843</v>
      </c>
      <c r="O27" s="696">
        <f t="shared" ca="1" si="3"/>
        <v>19940.742380148244</v>
      </c>
      <c r="P27" s="696">
        <f t="shared" si="3"/>
        <v>192.29000000000002</v>
      </c>
      <c r="Q27" s="696">
        <f t="shared" si="3"/>
        <v>190.66666666666666</v>
      </c>
      <c r="R27" s="696">
        <f t="shared" ca="1" si="3"/>
        <v>253147.72622212506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4409.9261286916972</v>
      </c>
      <c r="D40" s="686">
        <f ca="1">tertiair!C20</f>
        <v>0</v>
      </c>
      <c r="E40" s="686">
        <f ca="1">tertiair!D20</f>
        <v>3242.7018780040257</v>
      </c>
      <c r="F40" s="686">
        <f>tertiair!E20</f>
        <v>53.442773547004442</v>
      </c>
      <c r="G40" s="686">
        <f ca="1">tertiair!F20</f>
        <v>867.56332000215968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8573.6341002448862</v>
      </c>
    </row>
    <row r="41" spans="1:18">
      <c r="A41" s="814" t="s">
        <v>224</v>
      </c>
      <c r="B41" s="821"/>
      <c r="C41" s="686">
        <f ca="1">huishoudens!B12</f>
        <v>3500.8375471228997</v>
      </c>
      <c r="D41" s="686">
        <f ca="1">huishoudens!C12</f>
        <v>0</v>
      </c>
      <c r="E41" s="686">
        <f>huishoudens!D12</f>
        <v>9052.5053577507169</v>
      </c>
      <c r="F41" s="686">
        <f>huishoudens!E12</f>
        <v>1481.6439585022626</v>
      </c>
      <c r="G41" s="686">
        <f>huishoudens!F12</f>
        <v>3226.6893951463062</v>
      </c>
      <c r="H41" s="686">
        <f>huishoudens!G12</f>
        <v>0</v>
      </c>
      <c r="I41" s="686">
        <f>huishoudens!H12</f>
        <v>0</v>
      </c>
      <c r="J41" s="686">
        <f>huishoudens!I12</f>
        <v>0</v>
      </c>
      <c r="K41" s="686">
        <f>huishoudens!J12</f>
        <v>658.30190937809084</v>
      </c>
      <c r="L41" s="686">
        <f>huishoudens!K12</f>
        <v>0</v>
      </c>
      <c r="M41" s="686">
        <f>huishoudens!L12</f>
        <v>0</v>
      </c>
      <c r="N41" s="686">
        <f>huishoudens!M12</f>
        <v>0</v>
      </c>
      <c r="O41" s="686">
        <f>huishoudens!N12</f>
        <v>0</v>
      </c>
      <c r="P41" s="686">
        <f>huishoudens!O12</f>
        <v>0</v>
      </c>
      <c r="Q41" s="763">
        <f>huishoudens!P12</f>
        <v>0</v>
      </c>
      <c r="R41" s="842">
        <f t="shared" ca="1" si="4"/>
        <v>17919.978167900274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3465.5354732344877</v>
      </c>
      <c r="D43" s="686">
        <f ca="1">industrie!C22</f>
        <v>0</v>
      </c>
      <c r="E43" s="686">
        <f>industrie!D22</f>
        <v>3463.232073656287</v>
      </c>
      <c r="F43" s="686">
        <f>industrie!E22</f>
        <v>272.24155516861128</v>
      </c>
      <c r="G43" s="686">
        <f>industrie!F22</f>
        <v>1329.2574223403465</v>
      </c>
      <c r="H43" s="686">
        <f>industrie!G22</f>
        <v>0</v>
      </c>
      <c r="I43" s="686">
        <f>industrie!H22</f>
        <v>0</v>
      </c>
      <c r="J43" s="686">
        <f>industrie!I22</f>
        <v>0</v>
      </c>
      <c r="K43" s="686">
        <f>industrie!J22</f>
        <v>14.620999024033129</v>
      </c>
      <c r="L43" s="686">
        <f>industrie!K22</f>
        <v>0</v>
      </c>
      <c r="M43" s="686">
        <f>industrie!L22</f>
        <v>0</v>
      </c>
      <c r="N43" s="686">
        <f>industrie!M22</f>
        <v>0</v>
      </c>
      <c r="O43" s="686">
        <f>industrie!N22</f>
        <v>0</v>
      </c>
      <c r="P43" s="686">
        <f>industrie!O22</f>
        <v>0</v>
      </c>
      <c r="Q43" s="763">
        <f>industrie!P22</f>
        <v>0</v>
      </c>
      <c r="R43" s="841">
        <f t="shared" ca="1" si="4"/>
        <v>8544.8875234237657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11376.299149049084</v>
      </c>
      <c r="D46" s="721">
        <f t="shared" ref="D46:Q46" ca="1" si="5">SUM(D39:D45)</f>
        <v>0</v>
      </c>
      <c r="E46" s="721">
        <f t="shared" ca="1" si="5"/>
        <v>15758.439309411029</v>
      </c>
      <c r="F46" s="721">
        <f t="shared" si="5"/>
        <v>1807.3282872178784</v>
      </c>
      <c r="G46" s="721">
        <f t="shared" ca="1" si="5"/>
        <v>5423.5101374888127</v>
      </c>
      <c r="H46" s="721">
        <f t="shared" si="5"/>
        <v>0</v>
      </c>
      <c r="I46" s="721">
        <f t="shared" si="5"/>
        <v>0</v>
      </c>
      <c r="J46" s="721">
        <f t="shared" si="5"/>
        <v>0</v>
      </c>
      <c r="K46" s="721">
        <f t="shared" si="5"/>
        <v>672.92290840212399</v>
      </c>
      <c r="L46" s="721">
        <f t="shared" si="5"/>
        <v>0</v>
      </c>
      <c r="M46" s="721">
        <f t="shared" ca="1" si="5"/>
        <v>0</v>
      </c>
      <c r="N46" s="721">
        <f t="shared" si="5"/>
        <v>0</v>
      </c>
      <c r="O46" s="721">
        <f t="shared" ca="1" si="5"/>
        <v>0</v>
      </c>
      <c r="P46" s="721">
        <f t="shared" si="5"/>
        <v>0</v>
      </c>
      <c r="Q46" s="721">
        <f t="shared" si="5"/>
        <v>0</v>
      </c>
      <c r="R46" s="721">
        <f ca="1">SUM(R39:R45)</f>
        <v>35038.499791568924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324.09609665087447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324.09609665087447</v>
      </c>
    </row>
    <row r="50" spans="1:18">
      <c r="A50" s="817" t="s">
        <v>306</v>
      </c>
      <c r="B50" s="827"/>
      <c r="C50" s="692">
        <f ca="1">transport!B18</f>
        <v>0.28429083370529246</v>
      </c>
      <c r="D50" s="692">
        <f>transport!C18</f>
        <v>0</v>
      </c>
      <c r="E50" s="692">
        <f>transport!D18</f>
        <v>0.71369196129348522</v>
      </c>
      <c r="F50" s="692">
        <f>transport!E18</f>
        <v>27.378104034882146</v>
      </c>
      <c r="G50" s="692">
        <f>transport!F18</f>
        <v>0</v>
      </c>
      <c r="H50" s="692">
        <f>transport!G18</f>
        <v>8110.564501191363</v>
      </c>
      <c r="I50" s="692">
        <f>transport!H18</f>
        <v>1565.4771890405186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9704.4177770617625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0.28429083370529246</v>
      </c>
      <c r="D52" s="721">
        <f t="shared" ref="D52:Q52" ca="1" si="6">SUM(D48:D51)</f>
        <v>0</v>
      </c>
      <c r="E52" s="721">
        <f t="shared" si="6"/>
        <v>0.71369196129348522</v>
      </c>
      <c r="F52" s="721">
        <f t="shared" si="6"/>
        <v>27.378104034882146</v>
      </c>
      <c r="G52" s="721">
        <f t="shared" si="6"/>
        <v>0</v>
      </c>
      <c r="H52" s="721">
        <f t="shared" si="6"/>
        <v>8434.6605978422376</v>
      </c>
      <c r="I52" s="721">
        <f t="shared" si="6"/>
        <v>1565.4771890405186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10028.513873712636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433.90193914562866</v>
      </c>
      <c r="D54" s="692">
        <f ca="1">+landbouw!C12</f>
        <v>0</v>
      </c>
      <c r="E54" s="692">
        <f>+landbouw!D12</f>
        <v>41.0652614114247</v>
      </c>
      <c r="F54" s="692">
        <f>+landbouw!E12</f>
        <v>6.7249973553303368</v>
      </c>
      <c r="G54" s="692">
        <f>+landbouw!F12</f>
        <v>2165.7743454611364</v>
      </c>
      <c r="H54" s="692">
        <f>+landbouw!G12</f>
        <v>0</v>
      </c>
      <c r="I54" s="692">
        <f>+landbouw!H12</f>
        <v>0</v>
      </c>
      <c r="J54" s="692">
        <f>+landbouw!I12</f>
        <v>0</v>
      </c>
      <c r="K54" s="692">
        <f>+landbouw!J12</f>
        <v>125.16116193566253</v>
      </c>
      <c r="L54" s="692">
        <f>+landbouw!K12</f>
        <v>0</v>
      </c>
      <c r="M54" s="692">
        <f>+landbouw!L12</f>
        <v>0</v>
      </c>
      <c r="N54" s="692">
        <f>+landbouw!M12</f>
        <v>0</v>
      </c>
      <c r="O54" s="692">
        <f>+landbouw!N12</f>
        <v>0</v>
      </c>
      <c r="P54" s="692">
        <f>+landbouw!O12</f>
        <v>0</v>
      </c>
      <c r="Q54" s="693">
        <f>+landbouw!P12</f>
        <v>0</v>
      </c>
      <c r="R54" s="720">
        <f ca="1">SUM(C54:Q54)</f>
        <v>2772.6277053091826</v>
      </c>
    </row>
    <row r="55" spans="1:18" ht="15" thickBot="1">
      <c r="A55" s="817" t="s">
        <v>856</v>
      </c>
      <c r="B55" s="827"/>
      <c r="C55" s="692">
        <f ca="1">C25*'EF ele_warmte'!B12</f>
        <v>128.71480877734407</v>
      </c>
      <c r="D55" s="692"/>
      <c r="E55" s="692">
        <f>E25*EF_CO2_aardgas</f>
        <v>400.38272092179739</v>
      </c>
      <c r="F55" s="692"/>
      <c r="G55" s="692"/>
      <c r="H55" s="692"/>
      <c r="I55" s="692"/>
      <c r="J55" s="692"/>
      <c r="K55" s="692"/>
      <c r="L55" s="692"/>
      <c r="M55" s="692"/>
      <c r="N55" s="692"/>
      <c r="O55" s="692"/>
      <c r="P55" s="692"/>
      <c r="Q55" s="693"/>
      <c r="R55" s="720">
        <f ca="1">SUM(C55:Q55)</f>
        <v>529.09752969914143</v>
      </c>
    </row>
    <row r="56" spans="1:18" ht="15.75" thickBot="1">
      <c r="A56" s="815" t="s">
        <v>857</v>
      </c>
      <c r="B56" s="828"/>
      <c r="C56" s="721">
        <f ca="1">SUM(C54:C55)</f>
        <v>562.61674792297276</v>
      </c>
      <c r="D56" s="721">
        <f t="shared" ref="D56:Q56" ca="1" si="7">SUM(D54:D55)</f>
        <v>0</v>
      </c>
      <c r="E56" s="721">
        <f t="shared" si="7"/>
        <v>441.44798233322206</v>
      </c>
      <c r="F56" s="721">
        <f t="shared" si="7"/>
        <v>6.7249973553303368</v>
      </c>
      <c r="G56" s="721">
        <f t="shared" si="7"/>
        <v>2165.7743454611364</v>
      </c>
      <c r="H56" s="721">
        <f t="shared" si="7"/>
        <v>0</v>
      </c>
      <c r="I56" s="721">
        <f t="shared" si="7"/>
        <v>0</v>
      </c>
      <c r="J56" s="721">
        <f t="shared" si="7"/>
        <v>0</v>
      </c>
      <c r="K56" s="721">
        <f t="shared" si="7"/>
        <v>125.16116193566253</v>
      </c>
      <c r="L56" s="721">
        <f t="shared" si="7"/>
        <v>0</v>
      </c>
      <c r="M56" s="721">
        <f t="shared" si="7"/>
        <v>0</v>
      </c>
      <c r="N56" s="721">
        <f t="shared" si="7"/>
        <v>0</v>
      </c>
      <c r="O56" s="721">
        <f t="shared" si="7"/>
        <v>0</v>
      </c>
      <c r="P56" s="721">
        <f t="shared" si="7"/>
        <v>0</v>
      </c>
      <c r="Q56" s="722">
        <f t="shared" si="7"/>
        <v>0</v>
      </c>
      <c r="R56" s="723">
        <f ca="1">SUM(R54:R55)</f>
        <v>3301.725235008324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11939.200187805764</v>
      </c>
      <c r="D61" s="729">
        <f t="shared" ref="D61:Q61" ca="1" si="8">D46+D52+D56</f>
        <v>0</v>
      </c>
      <c r="E61" s="729">
        <f t="shared" ca="1" si="8"/>
        <v>16200.600983705544</v>
      </c>
      <c r="F61" s="729">
        <f t="shared" si="8"/>
        <v>1841.4313886080909</v>
      </c>
      <c r="G61" s="729">
        <f t="shared" ca="1" si="8"/>
        <v>7589.2844829499491</v>
      </c>
      <c r="H61" s="729">
        <f t="shared" si="8"/>
        <v>8434.6605978422376</v>
      </c>
      <c r="I61" s="729">
        <f t="shared" si="8"/>
        <v>1565.4771890405186</v>
      </c>
      <c r="J61" s="729">
        <f t="shared" si="8"/>
        <v>0</v>
      </c>
      <c r="K61" s="729">
        <f t="shared" si="8"/>
        <v>798.08407033778656</v>
      </c>
      <c r="L61" s="729">
        <f t="shared" si="8"/>
        <v>0</v>
      </c>
      <c r="M61" s="729">
        <f t="shared" ca="1" si="8"/>
        <v>0</v>
      </c>
      <c r="N61" s="729">
        <f t="shared" si="8"/>
        <v>0</v>
      </c>
      <c r="O61" s="729">
        <f t="shared" ca="1" si="8"/>
        <v>0</v>
      </c>
      <c r="P61" s="729">
        <f t="shared" si="8"/>
        <v>0</v>
      </c>
      <c r="Q61" s="729">
        <f t="shared" si="8"/>
        <v>0</v>
      </c>
      <c r="R61" s="729">
        <f ca="1">R46+R52+R56</f>
        <v>48368.738900289878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0.18456114539181473</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3979.1429763176757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6687</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7867.0588235294117</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10666.142976317675</v>
      </c>
      <c r="C78" s="744">
        <f>SUM(C72:C77)</f>
        <v>0</v>
      </c>
      <c r="D78" s="745">
        <f t="shared" ref="D78:H78" si="10">SUM(D76:D77)</f>
        <v>0</v>
      </c>
      <c r="E78" s="745">
        <f t="shared" si="10"/>
        <v>0</v>
      </c>
      <c r="F78" s="745">
        <f t="shared" si="10"/>
        <v>0</v>
      </c>
      <c r="G78" s="745">
        <f t="shared" si="10"/>
        <v>0</v>
      </c>
      <c r="H78" s="745">
        <f t="shared" si="10"/>
        <v>0</v>
      </c>
      <c r="I78" s="745">
        <f>SUM(I76:I77)</f>
        <v>0</v>
      </c>
      <c r="J78" s="745">
        <f>SUM(J76:J77)</f>
        <v>7867.0588235294117</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9552.8571428571431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11238.655462184875</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9552.8571428571431</v>
      </c>
      <c r="C90" s="744">
        <f>SUM(C87:C89)</f>
        <v>0</v>
      </c>
      <c r="D90" s="744">
        <f t="shared" ref="D90:H90" si="12">SUM(D87:D89)</f>
        <v>0</v>
      </c>
      <c r="E90" s="744">
        <f t="shared" si="12"/>
        <v>0</v>
      </c>
      <c r="F90" s="744">
        <f t="shared" si="12"/>
        <v>0</v>
      </c>
      <c r="G90" s="744">
        <f t="shared" si="12"/>
        <v>0</v>
      </c>
      <c r="H90" s="744">
        <f t="shared" si="12"/>
        <v>0</v>
      </c>
      <c r="I90" s="744">
        <f>SUM(I87:I89)</f>
        <v>0</v>
      </c>
      <c r="J90" s="744">
        <f>SUM(J87:J89)</f>
        <v>11238.655462184875</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18968.442895663575</v>
      </c>
      <c r="C4" s="458">
        <f>huishoudens!C8</f>
        <v>0</v>
      </c>
      <c r="D4" s="458">
        <f>huishoudens!D8</f>
        <v>44814.382959161965</v>
      </c>
      <c r="E4" s="458">
        <f>huishoudens!E8</f>
        <v>6527.0658964857384</v>
      </c>
      <c r="F4" s="458">
        <f>huishoudens!F8</f>
        <v>12084.979008038599</v>
      </c>
      <c r="G4" s="458">
        <f>huishoudens!G8</f>
        <v>0</v>
      </c>
      <c r="H4" s="458">
        <f>huishoudens!H8</f>
        <v>0</v>
      </c>
      <c r="I4" s="458">
        <f>huishoudens!I8</f>
        <v>0</v>
      </c>
      <c r="J4" s="458">
        <f>huishoudens!J8</f>
        <v>1859.609913497432</v>
      </c>
      <c r="K4" s="458">
        <f>huishoudens!K8</f>
        <v>0</v>
      </c>
      <c r="L4" s="458">
        <f>huishoudens!L8</f>
        <v>0</v>
      </c>
      <c r="M4" s="458">
        <f>huishoudens!M8</f>
        <v>0</v>
      </c>
      <c r="N4" s="458">
        <f>huishoudens!N8</f>
        <v>19020.880788419105</v>
      </c>
      <c r="O4" s="458">
        <f>huishoudens!O8</f>
        <v>189.16333333333336</v>
      </c>
      <c r="P4" s="459">
        <f>huishoudens!P8</f>
        <v>152.53333333333333</v>
      </c>
      <c r="Q4" s="460">
        <f>SUM(B4:P4)</f>
        <v>103617.05812793309</v>
      </c>
    </row>
    <row r="5" spans="1:17">
      <c r="A5" s="457" t="s">
        <v>155</v>
      </c>
      <c r="B5" s="458">
        <f ca="1">tertiair!B16</f>
        <v>22837.249855669677</v>
      </c>
      <c r="C5" s="458">
        <f ca="1">tertiair!C16</f>
        <v>9552.8571428571431</v>
      </c>
      <c r="D5" s="458">
        <f ca="1">tertiair!D16</f>
        <v>16052.979594079334</v>
      </c>
      <c r="E5" s="458">
        <f>tertiair!E16</f>
        <v>235.4307204713852</v>
      </c>
      <c r="F5" s="458">
        <f ca="1">tertiair!F16</f>
        <v>3249.3008239781261</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3.1266666666666669</v>
      </c>
      <c r="P5" s="459">
        <f>tertiair!P16</f>
        <v>38.133333333333333</v>
      </c>
      <c r="Q5" s="457">
        <f t="shared" ref="Q5:Q14" ca="1" si="0">SUM(B5:P5)</f>
        <v>51969.078137055658</v>
      </c>
    </row>
    <row r="6" spans="1:17">
      <c r="A6" s="457" t="s">
        <v>193</v>
      </c>
      <c r="B6" s="458">
        <f>'openbare verlichting'!B8</f>
        <v>1056.8699999999999</v>
      </c>
      <c r="C6" s="458"/>
      <c r="D6" s="458"/>
      <c r="E6" s="458"/>
      <c r="F6" s="458"/>
      <c r="G6" s="458"/>
      <c r="H6" s="458"/>
      <c r="I6" s="458"/>
      <c r="J6" s="458"/>
      <c r="K6" s="458"/>
      <c r="L6" s="458"/>
      <c r="M6" s="458"/>
      <c r="N6" s="458"/>
      <c r="O6" s="458"/>
      <c r="P6" s="459"/>
      <c r="Q6" s="457">
        <f t="shared" si="0"/>
        <v>1056.8699999999999</v>
      </c>
    </row>
    <row r="7" spans="1:17">
      <c r="A7" s="457" t="s">
        <v>111</v>
      </c>
      <c r="B7" s="458">
        <f>landbouw!B8</f>
        <v>2350.99288219346</v>
      </c>
      <c r="C7" s="458">
        <f>landbouw!C8</f>
        <v>0</v>
      </c>
      <c r="D7" s="458">
        <f>landbouw!D8</f>
        <v>203.29337332388465</v>
      </c>
      <c r="E7" s="458">
        <f>landbouw!E8</f>
        <v>29.6255390102658</v>
      </c>
      <c r="F7" s="458">
        <f>landbouw!F8</f>
        <v>8111.5144024761657</v>
      </c>
      <c r="G7" s="458">
        <f>landbouw!G8</f>
        <v>0</v>
      </c>
      <c r="H7" s="458">
        <f>landbouw!H8</f>
        <v>0</v>
      </c>
      <c r="I7" s="458">
        <f>landbouw!I8</f>
        <v>0</v>
      </c>
      <c r="J7" s="458">
        <f>landbouw!J8</f>
        <v>353.56260433802976</v>
      </c>
      <c r="K7" s="458">
        <f>landbouw!K8</f>
        <v>0</v>
      </c>
      <c r="L7" s="458">
        <f>landbouw!L8</f>
        <v>0</v>
      </c>
      <c r="M7" s="458">
        <f>landbouw!M8</f>
        <v>0</v>
      </c>
      <c r="N7" s="458">
        <f>landbouw!N8</f>
        <v>0</v>
      </c>
      <c r="O7" s="458">
        <f>landbouw!O8</f>
        <v>0</v>
      </c>
      <c r="P7" s="459">
        <f>landbouw!P8</f>
        <v>0</v>
      </c>
      <c r="Q7" s="457">
        <f t="shared" si="0"/>
        <v>11048.988801341806</v>
      </c>
    </row>
    <row r="8" spans="1:17">
      <c r="A8" s="457" t="s">
        <v>655</v>
      </c>
      <c r="B8" s="458">
        <f>industrie!B18</f>
        <v>18777.167132753308</v>
      </c>
      <c r="C8" s="458">
        <f>industrie!C18</f>
        <v>0</v>
      </c>
      <c r="D8" s="458">
        <f>industrie!D18</f>
        <v>17144.713235922212</v>
      </c>
      <c r="E8" s="458">
        <f>industrie!E18</f>
        <v>1199.3020051480673</v>
      </c>
      <c r="F8" s="458">
        <f>industrie!F18</f>
        <v>4978.4922185031701</v>
      </c>
      <c r="G8" s="458">
        <f>industrie!G18</f>
        <v>0</v>
      </c>
      <c r="H8" s="458">
        <f>industrie!H18</f>
        <v>0</v>
      </c>
      <c r="I8" s="458">
        <f>industrie!I18</f>
        <v>0</v>
      </c>
      <c r="J8" s="458">
        <f>industrie!J18</f>
        <v>41.302257130037091</v>
      </c>
      <c r="K8" s="458">
        <f>industrie!K18</f>
        <v>0</v>
      </c>
      <c r="L8" s="458">
        <f>industrie!L18</f>
        <v>0</v>
      </c>
      <c r="M8" s="458">
        <f>industrie!M18</f>
        <v>0</v>
      </c>
      <c r="N8" s="458">
        <f>industrie!N18</f>
        <v>919.86159172913813</v>
      </c>
      <c r="O8" s="458">
        <f>industrie!O18</f>
        <v>0</v>
      </c>
      <c r="P8" s="459">
        <f>industrie!P18</f>
        <v>0</v>
      </c>
      <c r="Q8" s="457">
        <f t="shared" si="0"/>
        <v>43060.838441185937</v>
      </c>
    </row>
    <row r="9" spans="1:17" s="463" customFormat="1">
      <c r="A9" s="461" t="s">
        <v>573</v>
      </c>
      <c r="B9" s="462">
        <f>transport!B14</f>
        <v>1.5403612342227084</v>
      </c>
      <c r="C9" s="462">
        <f>transport!C14</f>
        <v>0</v>
      </c>
      <c r="D9" s="462">
        <f>transport!D14</f>
        <v>3.5331285212548771</v>
      </c>
      <c r="E9" s="462">
        <f>transport!E14</f>
        <v>120.60838781886407</v>
      </c>
      <c r="F9" s="462">
        <f>transport!F14</f>
        <v>0</v>
      </c>
      <c r="G9" s="462">
        <f>transport!G14</f>
        <v>30376.646071877763</v>
      </c>
      <c r="H9" s="462">
        <f>transport!H14</f>
        <v>6287.0569840984681</v>
      </c>
      <c r="I9" s="462">
        <f>transport!I14</f>
        <v>0</v>
      </c>
      <c r="J9" s="462">
        <f>transport!J14</f>
        <v>0</v>
      </c>
      <c r="K9" s="462">
        <f>transport!K14</f>
        <v>0</v>
      </c>
      <c r="L9" s="462">
        <f>transport!L14</f>
        <v>0</v>
      </c>
      <c r="M9" s="462">
        <f>transport!M14</f>
        <v>1658.1327754999027</v>
      </c>
      <c r="N9" s="462">
        <f>transport!N14</f>
        <v>0</v>
      </c>
      <c r="O9" s="462">
        <f>transport!O14</f>
        <v>0</v>
      </c>
      <c r="P9" s="462">
        <f>transport!P14</f>
        <v>0</v>
      </c>
      <c r="Q9" s="461">
        <f>SUM(B9:P9)</f>
        <v>38447.517709050473</v>
      </c>
    </row>
    <row r="10" spans="1:17">
      <c r="A10" s="457" t="s">
        <v>563</v>
      </c>
      <c r="B10" s="458">
        <f>transport!B54</f>
        <v>0</v>
      </c>
      <c r="C10" s="458">
        <f>transport!C54</f>
        <v>0</v>
      </c>
      <c r="D10" s="458">
        <f>transport!D54</f>
        <v>0</v>
      </c>
      <c r="E10" s="458">
        <f>transport!E54</f>
        <v>0</v>
      </c>
      <c r="F10" s="458">
        <f>transport!F54</f>
        <v>0</v>
      </c>
      <c r="G10" s="458">
        <f>transport!G54</f>
        <v>1213.8430586175073</v>
      </c>
      <c r="H10" s="458">
        <f>transport!H54</f>
        <v>0</v>
      </c>
      <c r="I10" s="458">
        <f>transport!I54</f>
        <v>0</v>
      </c>
      <c r="J10" s="458">
        <f>transport!J54</f>
        <v>0</v>
      </c>
      <c r="K10" s="458">
        <f>transport!K54</f>
        <v>0</v>
      </c>
      <c r="L10" s="458">
        <f>transport!L54</f>
        <v>0</v>
      </c>
      <c r="M10" s="458">
        <f>transport!M54</f>
        <v>54.029158741940272</v>
      </c>
      <c r="N10" s="458">
        <f>transport!N54</f>
        <v>0</v>
      </c>
      <c r="O10" s="458">
        <f>transport!O54</f>
        <v>0</v>
      </c>
      <c r="P10" s="459">
        <f>transport!P54</f>
        <v>0</v>
      </c>
      <c r="Q10" s="457">
        <f t="shared" si="0"/>
        <v>1267.8722173594476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697.41011036796795</v>
      </c>
      <c r="C14" s="465"/>
      <c r="D14" s="465">
        <f>'SEAP template'!E25</f>
        <v>1982.09267783068</v>
      </c>
      <c r="E14" s="465"/>
      <c r="F14" s="465"/>
      <c r="G14" s="465"/>
      <c r="H14" s="465"/>
      <c r="I14" s="465"/>
      <c r="J14" s="465"/>
      <c r="K14" s="465"/>
      <c r="L14" s="465"/>
      <c r="M14" s="465"/>
      <c r="N14" s="465"/>
      <c r="O14" s="465"/>
      <c r="P14" s="466"/>
      <c r="Q14" s="457">
        <f t="shared" si="0"/>
        <v>2679.502788198648</v>
      </c>
    </row>
    <row r="15" spans="1:17" s="470" customFormat="1">
      <c r="A15" s="467" t="s">
        <v>567</v>
      </c>
      <c r="B15" s="468">
        <f ca="1">SUM(B4:B14)</f>
        <v>64689.673237882205</v>
      </c>
      <c r="C15" s="468">
        <f t="shared" ref="C15:Q15" ca="1" si="1">SUM(C4:C14)</f>
        <v>9552.8571428571431</v>
      </c>
      <c r="D15" s="468">
        <f t="shared" ca="1" si="1"/>
        <v>80200.994968839324</v>
      </c>
      <c r="E15" s="468">
        <f t="shared" si="1"/>
        <v>8112.0325489343204</v>
      </c>
      <c r="F15" s="468">
        <f t="shared" ca="1" si="1"/>
        <v>28424.286452996064</v>
      </c>
      <c r="G15" s="468">
        <f t="shared" si="1"/>
        <v>31590.489130495269</v>
      </c>
      <c r="H15" s="468">
        <f t="shared" si="1"/>
        <v>6287.0569840984681</v>
      </c>
      <c r="I15" s="468">
        <f t="shared" si="1"/>
        <v>0</v>
      </c>
      <c r="J15" s="468">
        <f t="shared" si="1"/>
        <v>2254.4747749654989</v>
      </c>
      <c r="K15" s="468">
        <f t="shared" si="1"/>
        <v>0</v>
      </c>
      <c r="L15" s="468">
        <f t="shared" ca="1" si="1"/>
        <v>0</v>
      </c>
      <c r="M15" s="468">
        <f t="shared" si="1"/>
        <v>1712.161934241843</v>
      </c>
      <c r="N15" s="468">
        <f t="shared" ca="1" si="1"/>
        <v>19940.742380148244</v>
      </c>
      <c r="O15" s="468">
        <f t="shared" si="1"/>
        <v>192.29000000000002</v>
      </c>
      <c r="P15" s="468">
        <f t="shared" si="1"/>
        <v>190.66666666666666</v>
      </c>
      <c r="Q15" s="468">
        <f t="shared" ca="1" si="1"/>
        <v>253147.72622212506</v>
      </c>
    </row>
    <row r="17" spans="1:17">
      <c r="A17" s="471" t="s">
        <v>568</v>
      </c>
      <c r="B17" s="777">
        <f ca="1">huishoudens!B10</f>
        <v>0.1845611453918147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3500.8375471228997</v>
      </c>
      <c r="C22" s="458">
        <f t="shared" ref="C22:C32" ca="1" si="3">C4*$C$17</f>
        <v>0</v>
      </c>
      <c r="D22" s="458">
        <f t="shared" ref="D22:D32" si="4">D4*$D$17</f>
        <v>9052.5053577507169</v>
      </c>
      <c r="E22" s="458">
        <f t="shared" ref="E22:E32" si="5">E4*$E$17</f>
        <v>1481.6439585022626</v>
      </c>
      <c r="F22" s="458">
        <f t="shared" ref="F22:F32" si="6">F4*$F$17</f>
        <v>3226.6893951463062</v>
      </c>
      <c r="G22" s="458">
        <f t="shared" ref="G22:G32" si="7">G4*$G$17</f>
        <v>0</v>
      </c>
      <c r="H22" s="458">
        <f t="shared" ref="H22:H32" si="8">H4*$H$17</f>
        <v>0</v>
      </c>
      <c r="I22" s="458">
        <f t="shared" ref="I22:I32" si="9">I4*$I$17</f>
        <v>0</v>
      </c>
      <c r="J22" s="458">
        <f t="shared" ref="J22:J32" si="10">J4*$J$17</f>
        <v>658.30190937809084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17919.978167900274</v>
      </c>
    </row>
    <row r="23" spans="1:17">
      <c r="A23" s="457" t="s">
        <v>155</v>
      </c>
      <c r="B23" s="458">
        <f t="shared" ca="1" si="2"/>
        <v>4214.8689909614504</v>
      </c>
      <c r="C23" s="458">
        <f t="shared" ca="1" si="3"/>
        <v>0</v>
      </c>
      <c r="D23" s="458">
        <f t="shared" ca="1" si="4"/>
        <v>3242.7018780040257</v>
      </c>
      <c r="E23" s="458">
        <f t="shared" si="5"/>
        <v>53.442773547004442</v>
      </c>
      <c r="F23" s="458">
        <f t="shared" ca="1" si="6"/>
        <v>867.56332000215968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8378.5769625146404</v>
      </c>
    </row>
    <row r="24" spans="1:17">
      <c r="A24" s="457" t="s">
        <v>193</v>
      </c>
      <c r="B24" s="458">
        <f t="shared" ca="1" si="2"/>
        <v>195.05713773024718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195.05713773024718</v>
      </c>
    </row>
    <row r="25" spans="1:17">
      <c r="A25" s="457" t="s">
        <v>111</v>
      </c>
      <c r="B25" s="458">
        <f t="shared" ca="1" si="2"/>
        <v>433.90193914562866</v>
      </c>
      <c r="C25" s="458">
        <f t="shared" ca="1" si="3"/>
        <v>0</v>
      </c>
      <c r="D25" s="458">
        <f t="shared" si="4"/>
        <v>41.0652614114247</v>
      </c>
      <c r="E25" s="458">
        <f t="shared" si="5"/>
        <v>6.7249973553303368</v>
      </c>
      <c r="F25" s="458">
        <f t="shared" si="6"/>
        <v>2165.7743454611364</v>
      </c>
      <c r="G25" s="458">
        <f t="shared" si="7"/>
        <v>0</v>
      </c>
      <c r="H25" s="458">
        <f t="shared" si="8"/>
        <v>0</v>
      </c>
      <c r="I25" s="458">
        <f t="shared" si="9"/>
        <v>0</v>
      </c>
      <c r="J25" s="458">
        <f t="shared" si="10"/>
        <v>125.16116193566253</v>
      </c>
      <c r="K25" s="458">
        <f t="shared" si="11"/>
        <v>0</v>
      </c>
      <c r="L25" s="458">
        <f t="shared" si="12"/>
        <v>0</v>
      </c>
      <c r="M25" s="458">
        <f t="shared" si="13"/>
        <v>0</v>
      </c>
      <c r="N25" s="458">
        <f t="shared" si="14"/>
        <v>0</v>
      </c>
      <c r="O25" s="458">
        <f t="shared" si="15"/>
        <v>0</v>
      </c>
      <c r="P25" s="459">
        <f t="shared" si="16"/>
        <v>0</v>
      </c>
      <c r="Q25" s="457">
        <f t="shared" ca="1" si="17"/>
        <v>2772.6277053091826</v>
      </c>
    </row>
    <row r="26" spans="1:17">
      <c r="A26" s="457" t="s">
        <v>655</v>
      </c>
      <c r="B26" s="458">
        <f t="shared" ca="1" si="2"/>
        <v>3465.5354732344877</v>
      </c>
      <c r="C26" s="458">
        <f t="shared" ca="1" si="3"/>
        <v>0</v>
      </c>
      <c r="D26" s="458">
        <f t="shared" si="4"/>
        <v>3463.232073656287</v>
      </c>
      <c r="E26" s="458">
        <f t="shared" si="5"/>
        <v>272.24155516861128</v>
      </c>
      <c r="F26" s="458">
        <f t="shared" si="6"/>
        <v>1329.2574223403465</v>
      </c>
      <c r="G26" s="458">
        <f t="shared" si="7"/>
        <v>0</v>
      </c>
      <c r="H26" s="458">
        <f t="shared" si="8"/>
        <v>0</v>
      </c>
      <c r="I26" s="458">
        <f t="shared" si="9"/>
        <v>0</v>
      </c>
      <c r="J26" s="458">
        <f t="shared" si="10"/>
        <v>14.620999024033129</v>
      </c>
      <c r="K26" s="458">
        <f t="shared" si="11"/>
        <v>0</v>
      </c>
      <c r="L26" s="458">
        <f t="shared" si="12"/>
        <v>0</v>
      </c>
      <c r="M26" s="458">
        <f t="shared" si="13"/>
        <v>0</v>
      </c>
      <c r="N26" s="458">
        <f t="shared" si="14"/>
        <v>0</v>
      </c>
      <c r="O26" s="458">
        <f t="shared" si="15"/>
        <v>0</v>
      </c>
      <c r="P26" s="459">
        <f t="shared" si="16"/>
        <v>0</v>
      </c>
      <c r="Q26" s="457">
        <f t="shared" ca="1" si="17"/>
        <v>8544.8875234237657</v>
      </c>
    </row>
    <row r="27" spans="1:17" s="463" customFormat="1">
      <c r="A27" s="461" t="s">
        <v>573</v>
      </c>
      <c r="B27" s="771">
        <f t="shared" ca="1" si="2"/>
        <v>0.28429083370529246</v>
      </c>
      <c r="C27" s="462">
        <f t="shared" ca="1" si="3"/>
        <v>0</v>
      </c>
      <c r="D27" s="462">
        <f t="shared" si="4"/>
        <v>0.71369196129348522</v>
      </c>
      <c r="E27" s="462">
        <f t="shared" si="5"/>
        <v>27.378104034882146</v>
      </c>
      <c r="F27" s="462">
        <f t="shared" si="6"/>
        <v>0</v>
      </c>
      <c r="G27" s="462">
        <f t="shared" si="7"/>
        <v>8110.564501191363</v>
      </c>
      <c r="H27" s="462">
        <f t="shared" si="8"/>
        <v>1565.4771890405186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9704.4177770617625</v>
      </c>
    </row>
    <row r="28" spans="1:17">
      <c r="A28" s="457" t="s">
        <v>563</v>
      </c>
      <c r="B28" s="458">
        <f t="shared" ca="1" si="2"/>
        <v>0</v>
      </c>
      <c r="C28" s="458">
        <f t="shared" ca="1" si="3"/>
        <v>0</v>
      </c>
      <c r="D28" s="458">
        <f t="shared" si="4"/>
        <v>0</v>
      </c>
      <c r="E28" s="458">
        <f t="shared" si="5"/>
        <v>0</v>
      </c>
      <c r="F28" s="458">
        <f t="shared" si="6"/>
        <v>0</v>
      </c>
      <c r="G28" s="458">
        <f t="shared" si="7"/>
        <v>324.09609665087447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324.09609665087447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128.71480877734407</v>
      </c>
      <c r="C32" s="458">
        <f t="shared" ca="1" si="3"/>
        <v>0</v>
      </c>
      <c r="D32" s="458">
        <f t="shared" si="4"/>
        <v>400.38272092179739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529.09752969914143</v>
      </c>
    </row>
    <row r="33" spans="1:17" s="470" customFormat="1">
      <c r="A33" s="467" t="s">
        <v>567</v>
      </c>
      <c r="B33" s="468">
        <f ca="1">SUM(B22:B32)</f>
        <v>11939.200187805765</v>
      </c>
      <c r="C33" s="468">
        <f t="shared" ref="C33:Q33" ca="1" si="18">SUM(C22:C32)</f>
        <v>0</v>
      </c>
      <c r="D33" s="468">
        <f t="shared" ca="1" si="18"/>
        <v>16200.600983705544</v>
      </c>
      <c r="E33" s="468">
        <f t="shared" si="18"/>
        <v>1841.4313886080909</v>
      </c>
      <c r="F33" s="468">
        <f t="shared" ca="1" si="18"/>
        <v>7589.2844829499481</v>
      </c>
      <c r="G33" s="468">
        <f t="shared" si="18"/>
        <v>8434.6605978422376</v>
      </c>
      <c r="H33" s="468">
        <f t="shared" si="18"/>
        <v>1565.4771890405186</v>
      </c>
      <c r="I33" s="468">
        <f t="shared" si="18"/>
        <v>0</v>
      </c>
      <c r="J33" s="468">
        <f t="shared" si="18"/>
        <v>798.08407033778656</v>
      </c>
      <c r="K33" s="468">
        <f t="shared" si="18"/>
        <v>0</v>
      </c>
      <c r="L33" s="468">
        <f t="shared" ca="1" si="18"/>
        <v>0</v>
      </c>
      <c r="M33" s="468">
        <f t="shared" si="18"/>
        <v>0</v>
      </c>
      <c r="N33" s="468">
        <f t="shared" ca="1" si="18"/>
        <v>0</v>
      </c>
      <c r="O33" s="468">
        <f t="shared" si="18"/>
        <v>0</v>
      </c>
      <c r="P33" s="468">
        <f t="shared" si="18"/>
        <v>0</v>
      </c>
      <c r="Q33" s="468">
        <f t="shared" ca="1" si="18"/>
        <v>48368.738900289878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3979.1429763176757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6687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7867.0588235294117</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10666.142976317675</v>
      </c>
      <c r="C10" s="1038">
        <f>SUM(C4:C9)</f>
        <v>0</v>
      </c>
      <c r="D10" s="1038">
        <f t="shared" ref="D10:H10" si="0">SUM(D8:D9)</f>
        <v>0</v>
      </c>
      <c r="E10" s="1038">
        <f t="shared" si="0"/>
        <v>0</v>
      </c>
      <c r="F10" s="1038">
        <f t="shared" si="0"/>
        <v>0</v>
      </c>
      <c r="G10" s="1038">
        <f t="shared" si="0"/>
        <v>0</v>
      </c>
      <c r="H10" s="1038">
        <f t="shared" si="0"/>
        <v>0</v>
      </c>
      <c r="I10" s="1038">
        <f>SUM(I8:I9)</f>
        <v>0</v>
      </c>
      <c r="J10" s="1038">
        <f>SUM(J8:J9)</f>
        <v>7867.0588235294117</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0.1845611453918147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9552.8571428571431</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11238.655462184875</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9552.8571428571431</v>
      </c>
      <c r="C20" s="1038">
        <f>SUM(C17:C19)</f>
        <v>0</v>
      </c>
      <c r="D20" s="1038">
        <f t="shared" ref="D20:H20" si="2">SUM(D17:D19)</f>
        <v>0</v>
      </c>
      <c r="E20" s="1038">
        <f t="shared" si="2"/>
        <v>0</v>
      </c>
      <c r="F20" s="1038">
        <f t="shared" si="2"/>
        <v>0</v>
      </c>
      <c r="G20" s="1038">
        <f t="shared" si="2"/>
        <v>0</v>
      </c>
      <c r="H20" s="1038">
        <f t="shared" si="2"/>
        <v>0</v>
      </c>
      <c r="I20" s="1038">
        <f>SUM(I17:I19)</f>
        <v>0</v>
      </c>
      <c r="J20" s="1038">
        <f>SUM(J17:J19)</f>
        <v>11238.655462184875</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0.1845611453918147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0.1845611453918147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0.1845611453918147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4479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2529</v>
      </c>
      <c r="C14" s="332"/>
      <c r="D14" s="332"/>
      <c r="E14" s="332"/>
      <c r="F14" s="332"/>
    </row>
    <row r="15" spans="1:6">
      <c r="A15" s="1306" t="s">
        <v>183</v>
      </c>
      <c r="B15" s="1307">
        <v>28</v>
      </c>
      <c r="C15" s="332"/>
      <c r="D15" s="332"/>
      <c r="E15" s="332"/>
      <c r="F15" s="332"/>
    </row>
    <row r="16" spans="1:6">
      <c r="A16" s="1306" t="s">
        <v>6</v>
      </c>
      <c r="B16" s="1307">
        <v>613</v>
      </c>
      <c r="C16" s="332"/>
      <c r="D16" s="332"/>
      <c r="E16" s="332"/>
      <c r="F16" s="332"/>
    </row>
    <row r="17" spans="1:6">
      <c r="A17" s="1306" t="s">
        <v>7</v>
      </c>
      <c r="B17" s="1307">
        <v>670</v>
      </c>
      <c r="C17" s="332"/>
      <c r="D17" s="332"/>
      <c r="E17" s="332"/>
      <c r="F17" s="332"/>
    </row>
    <row r="18" spans="1:6">
      <c r="A18" s="1306" t="s">
        <v>8</v>
      </c>
      <c r="B18" s="1307">
        <v>808</v>
      </c>
      <c r="C18" s="332"/>
      <c r="D18" s="332"/>
      <c r="E18" s="332"/>
      <c r="F18" s="332"/>
    </row>
    <row r="19" spans="1:6">
      <c r="A19" s="1306" t="s">
        <v>9</v>
      </c>
      <c r="B19" s="1307">
        <v>880</v>
      </c>
      <c r="C19" s="332"/>
      <c r="D19" s="332"/>
      <c r="E19" s="332"/>
      <c r="F19" s="332"/>
    </row>
    <row r="20" spans="1:6">
      <c r="A20" s="1306" t="s">
        <v>10</v>
      </c>
      <c r="B20" s="1307">
        <v>541</v>
      </c>
      <c r="C20" s="332"/>
      <c r="D20" s="332"/>
      <c r="E20" s="332"/>
      <c r="F20" s="332"/>
    </row>
    <row r="21" spans="1:6">
      <c r="A21" s="1306" t="s">
        <v>11</v>
      </c>
      <c r="B21" s="1307">
        <v>9236</v>
      </c>
      <c r="C21" s="332"/>
      <c r="D21" s="332"/>
      <c r="E21" s="332"/>
      <c r="F21" s="332"/>
    </row>
    <row r="22" spans="1:6">
      <c r="A22" s="1306" t="s">
        <v>12</v>
      </c>
      <c r="B22" s="1307">
        <v>26433</v>
      </c>
      <c r="C22" s="332"/>
      <c r="D22" s="332"/>
      <c r="E22" s="332"/>
      <c r="F22" s="332"/>
    </row>
    <row r="23" spans="1:6">
      <c r="A23" s="1306" t="s">
        <v>13</v>
      </c>
      <c r="B23" s="1307">
        <v>554</v>
      </c>
      <c r="C23" s="332"/>
      <c r="D23" s="332"/>
      <c r="E23" s="332"/>
      <c r="F23" s="332"/>
    </row>
    <row r="24" spans="1:6">
      <c r="A24" s="1306" t="s">
        <v>14</v>
      </c>
      <c r="B24" s="1307">
        <v>18</v>
      </c>
      <c r="C24" s="332"/>
      <c r="D24" s="332"/>
      <c r="E24" s="332"/>
      <c r="F24" s="332"/>
    </row>
    <row r="25" spans="1:6">
      <c r="A25" s="1306" t="s">
        <v>15</v>
      </c>
      <c r="B25" s="1307">
        <v>2779</v>
      </c>
      <c r="C25" s="332"/>
      <c r="D25" s="332"/>
      <c r="E25" s="332"/>
      <c r="F25" s="332"/>
    </row>
    <row r="26" spans="1:6">
      <c r="A26" s="1306" t="s">
        <v>16</v>
      </c>
      <c r="B26" s="1307">
        <v>205</v>
      </c>
      <c r="C26" s="332"/>
      <c r="D26" s="332"/>
      <c r="E26" s="332"/>
      <c r="F26" s="332"/>
    </row>
    <row r="27" spans="1:6">
      <c r="A27" s="1306" t="s">
        <v>17</v>
      </c>
      <c r="B27" s="1307">
        <v>7</v>
      </c>
      <c r="C27" s="332"/>
      <c r="D27" s="332"/>
      <c r="E27" s="332"/>
      <c r="F27" s="332"/>
    </row>
    <row r="28" spans="1:6" s="43" customFormat="1">
      <c r="A28" s="1308" t="s">
        <v>18</v>
      </c>
      <c r="B28" s="1309">
        <v>84355</v>
      </c>
      <c r="C28" s="338"/>
      <c r="D28" s="338"/>
      <c r="E28" s="338"/>
      <c r="F28" s="338"/>
    </row>
    <row r="29" spans="1:6">
      <c r="A29" s="1308" t="s">
        <v>916</v>
      </c>
      <c r="B29" s="1309">
        <v>143</v>
      </c>
      <c r="C29" s="338"/>
      <c r="D29" s="338"/>
      <c r="E29" s="338"/>
      <c r="F29" s="338"/>
    </row>
    <row r="30" spans="1:6">
      <c r="A30" s="1301" t="s">
        <v>917</v>
      </c>
      <c r="B30" s="1310">
        <v>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32440.431961374801</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130101.32233039501</v>
      </c>
    </row>
    <row r="39" spans="1:6">
      <c r="A39" s="1306" t="s">
        <v>29</v>
      </c>
      <c r="B39" s="1306" t="s">
        <v>30</v>
      </c>
      <c r="C39" s="1307">
        <v>2828</v>
      </c>
      <c r="D39" s="1307">
        <v>49683351.395966701</v>
      </c>
      <c r="E39" s="1307">
        <v>4143</v>
      </c>
      <c r="F39" s="1307">
        <v>16211078.6715331</v>
      </c>
    </row>
    <row r="40" spans="1:6">
      <c r="A40" s="1306" t="s">
        <v>29</v>
      </c>
      <c r="B40" s="1306" t="s">
        <v>28</v>
      </c>
      <c r="C40" s="1307">
        <v>0</v>
      </c>
      <c r="D40" s="1307">
        <v>0</v>
      </c>
      <c r="E40" s="1307">
        <v>1</v>
      </c>
      <c r="F40" s="1307">
        <v>4563</v>
      </c>
    </row>
    <row r="41" spans="1:6">
      <c r="A41" s="1306" t="s">
        <v>31</v>
      </c>
      <c r="B41" s="1306" t="s">
        <v>32</v>
      </c>
      <c r="C41" s="1307">
        <v>55</v>
      </c>
      <c r="D41" s="1307">
        <v>1296709.8893046901</v>
      </c>
      <c r="E41" s="1307">
        <v>94</v>
      </c>
      <c r="F41" s="1307">
        <v>930551.23436602205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556645.68951663398</v>
      </c>
      <c r="E44" s="1307">
        <v>18</v>
      </c>
      <c r="F44" s="1307">
        <v>1189766.5463018999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111607.79634492099</v>
      </c>
      <c r="E47" s="1307">
        <v>3</v>
      </c>
      <c r="F47" s="1307">
        <v>56420.240939772797</v>
      </c>
    </row>
    <row r="48" spans="1:6">
      <c r="A48" s="1306" t="s">
        <v>31</v>
      </c>
      <c r="B48" s="1306" t="s">
        <v>28</v>
      </c>
      <c r="C48" s="1307">
        <v>22</v>
      </c>
      <c r="D48" s="1307">
        <v>16694195.451579399</v>
      </c>
      <c r="E48" s="1307">
        <v>36</v>
      </c>
      <c r="F48" s="1307">
        <v>16113550.465251399</v>
      </c>
    </row>
    <row r="49" spans="1:6">
      <c r="A49" s="1306" t="s">
        <v>31</v>
      </c>
      <c r="B49" s="1306" t="s">
        <v>39</v>
      </c>
      <c r="C49" s="1307">
        <v>0</v>
      </c>
      <c r="D49" s="1307">
        <v>0</v>
      </c>
      <c r="E49" s="1307">
        <v>4</v>
      </c>
      <c r="F49" s="1307">
        <v>319518.83260392299</v>
      </c>
    </row>
    <row r="50" spans="1:6">
      <c r="A50" s="1306" t="s">
        <v>31</v>
      </c>
      <c r="B50" s="1306" t="s">
        <v>40</v>
      </c>
      <c r="C50" s="1307">
        <v>5</v>
      </c>
      <c r="D50" s="1307">
        <v>348283.78514150903</v>
      </c>
      <c r="E50" s="1307">
        <v>7</v>
      </c>
      <c r="F50" s="1307">
        <v>167359.81329029001</v>
      </c>
    </row>
    <row r="51" spans="1:6">
      <c r="A51" s="1306" t="s">
        <v>41</v>
      </c>
      <c r="B51" s="1306" t="s">
        <v>42</v>
      </c>
      <c r="C51" s="1307">
        <v>6</v>
      </c>
      <c r="D51" s="1307">
        <v>159346.119435678</v>
      </c>
      <c r="E51" s="1307">
        <v>131</v>
      </c>
      <c r="F51" s="1307">
        <v>2150974.23957639</v>
      </c>
    </row>
    <row r="52" spans="1:6">
      <c r="A52" s="1306" t="s">
        <v>41</v>
      </c>
      <c r="B52" s="1306" t="s">
        <v>28</v>
      </c>
      <c r="C52" s="1307">
        <v>4</v>
      </c>
      <c r="D52" s="1307">
        <v>66034.560524282802</v>
      </c>
      <c r="E52" s="1307">
        <v>8</v>
      </c>
      <c r="F52" s="1307">
        <v>200018.64261707</v>
      </c>
    </row>
    <row r="53" spans="1:6">
      <c r="A53" s="1306" t="s">
        <v>43</v>
      </c>
      <c r="B53" s="1306" t="s">
        <v>44</v>
      </c>
      <c r="C53" s="1307">
        <v>86</v>
      </c>
      <c r="D53" s="1307">
        <v>1982092.67783068</v>
      </c>
      <c r="E53" s="1307">
        <v>125</v>
      </c>
      <c r="F53" s="1307">
        <v>697410.11036796798</v>
      </c>
    </row>
    <row r="54" spans="1:6">
      <c r="A54" s="1306" t="s">
        <v>45</v>
      </c>
      <c r="B54" s="1306" t="s">
        <v>46</v>
      </c>
      <c r="C54" s="1307">
        <v>0</v>
      </c>
      <c r="D54" s="1307">
        <v>0</v>
      </c>
      <c r="E54" s="1307">
        <v>1</v>
      </c>
      <c r="F54" s="1307">
        <v>1056870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552560.49728098803</v>
      </c>
      <c r="E57" s="1307">
        <v>61</v>
      </c>
      <c r="F57" s="1307">
        <v>1071549.0559759799</v>
      </c>
    </row>
    <row r="58" spans="1:6">
      <c r="A58" s="1306" t="s">
        <v>48</v>
      </c>
      <c r="B58" s="1306" t="s">
        <v>50</v>
      </c>
      <c r="C58" s="1307">
        <v>14</v>
      </c>
      <c r="D58" s="1307">
        <v>2019002.71723354</v>
      </c>
      <c r="E58" s="1307">
        <v>15</v>
      </c>
      <c r="F58" s="1307">
        <v>576105.20702738396</v>
      </c>
    </row>
    <row r="59" spans="1:6">
      <c r="A59" s="1306" t="s">
        <v>48</v>
      </c>
      <c r="B59" s="1306" t="s">
        <v>51</v>
      </c>
      <c r="C59" s="1307">
        <v>43</v>
      </c>
      <c r="D59" s="1307">
        <v>1511951.3952153099</v>
      </c>
      <c r="E59" s="1307">
        <v>128</v>
      </c>
      <c r="F59" s="1307">
        <v>4366113.2998980498</v>
      </c>
    </row>
    <row r="60" spans="1:6">
      <c r="A60" s="1306" t="s">
        <v>48</v>
      </c>
      <c r="B60" s="1306" t="s">
        <v>52</v>
      </c>
      <c r="C60" s="1307">
        <v>46</v>
      </c>
      <c r="D60" s="1307">
        <v>2871182.0008745301</v>
      </c>
      <c r="E60" s="1307">
        <v>63</v>
      </c>
      <c r="F60" s="1307">
        <v>1257507.1502153</v>
      </c>
    </row>
    <row r="61" spans="1:6">
      <c r="A61" s="1306" t="s">
        <v>48</v>
      </c>
      <c r="B61" s="1306" t="s">
        <v>53</v>
      </c>
      <c r="C61" s="1307">
        <v>72</v>
      </c>
      <c r="D61" s="1307">
        <v>3302475.7635357901</v>
      </c>
      <c r="E61" s="1307">
        <v>111</v>
      </c>
      <c r="F61" s="1307">
        <v>1275788.59844468</v>
      </c>
    </row>
    <row r="62" spans="1:6">
      <c r="A62" s="1306" t="s">
        <v>48</v>
      </c>
      <c r="B62" s="1306" t="s">
        <v>54</v>
      </c>
      <c r="C62" s="1307">
        <v>4</v>
      </c>
      <c r="D62" s="1307">
        <v>168074.291458811</v>
      </c>
      <c r="E62" s="1307">
        <v>5</v>
      </c>
      <c r="F62" s="1307">
        <v>94484.337757203393</v>
      </c>
    </row>
    <row r="63" spans="1:6">
      <c r="A63" s="1306" t="s">
        <v>48</v>
      </c>
      <c r="B63" s="1306" t="s">
        <v>28</v>
      </c>
      <c r="C63" s="1307">
        <v>90</v>
      </c>
      <c r="D63" s="1307">
        <v>7371848.2280588299</v>
      </c>
      <c r="E63" s="1307">
        <v>109</v>
      </c>
      <c r="F63" s="1307">
        <v>7508702.20635108</v>
      </c>
    </row>
    <row r="64" spans="1:6">
      <c r="A64" s="1306" t="s">
        <v>55</v>
      </c>
      <c r="B64" s="1306" t="s">
        <v>56</v>
      </c>
      <c r="C64" s="1307">
        <v>0</v>
      </c>
      <c r="D64" s="1307">
        <v>0</v>
      </c>
      <c r="E64" s="1307">
        <v>0</v>
      </c>
      <c r="F64" s="1307">
        <v>0</v>
      </c>
    </row>
    <row r="65" spans="1:6">
      <c r="A65" s="1306" t="s">
        <v>55</v>
      </c>
      <c r="B65" s="1306" t="s">
        <v>28</v>
      </c>
      <c r="C65" s="1307">
        <v>3</v>
      </c>
      <c r="D65" s="1307">
        <v>52229.755663456803</v>
      </c>
      <c r="E65" s="1307">
        <v>1</v>
      </c>
      <c r="F65" s="1307">
        <v>6282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395981.13516898197</v>
      </c>
      <c r="E68" s="1310">
        <v>22</v>
      </c>
      <c r="F68" s="1310">
        <v>308167.85123090597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7642170</v>
      </c>
      <c r="E73" s="456"/>
      <c r="F73" s="332"/>
    </row>
    <row r="74" spans="1:6">
      <c r="A74" s="1306" t="s">
        <v>63</v>
      </c>
      <c r="B74" s="1306" t="s">
        <v>724</v>
      </c>
      <c r="C74" s="1320" t="s">
        <v>725</v>
      </c>
      <c r="D74" s="1321">
        <v>577134.20099293021</v>
      </c>
      <c r="E74" s="456"/>
      <c r="F74" s="332"/>
    </row>
    <row r="75" spans="1:6">
      <c r="A75" s="1306" t="s">
        <v>64</v>
      </c>
      <c r="B75" s="1306" t="s">
        <v>722</v>
      </c>
      <c r="C75" s="1320" t="s">
        <v>726</v>
      </c>
      <c r="D75" s="1321">
        <v>28039245</v>
      </c>
      <c r="E75" s="456"/>
      <c r="F75" s="332"/>
    </row>
    <row r="76" spans="1:6">
      <c r="A76" s="1306" t="s">
        <v>64</v>
      </c>
      <c r="B76" s="1306" t="s">
        <v>724</v>
      </c>
      <c r="C76" s="1320" t="s">
        <v>727</v>
      </c>
      <c r="D76" s="1321">
        <v>1655801.2009929302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335487.59801413951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2752.801224130475</v>
      </c>
      <c r="C91" s="332"/>
      <c r="D91" s="332"/>
      <c r="E91" s="332"/>
      <c r="F91" s="332"/>
    </row>
    <row r="92" spans="1:6">
      <c r="A92" s="1301" t="s">
        <v>68</v>
      </c>
      <c r="B92" s="1302">
        <v>1226.3417521872007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1963</v>
      </c>
      <c r="C97" s="332"/>
      <c r="D97" s="332"/>
      <c r="E97" s="332"/>
      <c r="F97" s="332"/>
    </row>
    <row r="98" spans="1:6">
      <c r="A98" s="1306" t="s">
        <v>71</v>
      </c>
      <c r="B98" s="1307">
        <v>1</v>
      </c>
      <c r="C98" s="332"/>
      <c r="D98" s="332"/>
      <c r="E98" s="332"/>
      <c r="F98" s="332"/>
    </row>
    <row r="99" spans="1:6">
      <c r="A99" s="1306" t="s">
        <v>72</v>
      </c>
      <c r="B99" s="1307">
        <v>148</v>
      </c>
      <c r="C99" s="332"/>
      <c r="D99" s="332"/>
      <c r="E99" s="332"/>
      <c r="F99" s="332"/>
    </row>
    <row r="100" spans="1:6">
      <c r="A100" s="1306" t="s">
        <v>73</v>
      </c>
      <c r="B100" s="1307">
        <v>286</v>
      </c>
      <c r="C100" s="332"/>
      <c r="D100" s="332"/>
      <c r="E100" s="332"/>
      <c r="F100" s="332"/>
    </row>
    <row r="101" spans="1:6">
      <c r="A101" s="1306" t="s">
        <v>74</v>
      </c>
      <c r="B101" s="1307">
        <v>126</v>
      </c>
      <c r="C101" s="332"/>
      <c r="D101" s="332"/>
      <c r="E101" s="332"/>
      <c r="F101" s="332"/>
    </row>
    <row r="102" spans="1:6">
      <c r="A102" s="1306" t="s">
        <v>75</v>
      </c>
      <c r="B102" s="1307">
        <v>69</v>
      </c>
      <c r="C102" s="332"/>
      <c r="D102" s="332"/>
      <c r="E102" s="332"/>
      <c r="F102" s="332"/>
    </row>
    <row r="103" spans="1:6">
      <c r="A103" s="1306" t="s">
        <v>76</v>
      </c>
      <c r="B103" s="1307">
        <v>139</v>
      </c>
      <c r="C103" s="332"/>
      <c r="D103" s="332"/>
      <c r="E103" s="332"/>
      <c r="F103" s="332"/>
    </row>
    <row r="104" spans="1:6">
      <c r="A104" s="1306" t="s">
        <v>77</v>
      </c>
      <c r="B104" s="1307">
        <v>1292</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119</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64689.673237882205</v>
      </c>
      <c r="C3" s="43" t="s">
        <v>169</v>
      </c>
      <c r="D3" s="43"/>
      <c r="E3" s="156"/>
      <c r="F3" s="43"/>
      <c r="G3" s="43"/>
      <c r="H3" s="43"/>
      <c r="I3" s="43"/>
      <c r="J3" s="43"/>
      <c r="K3" s="96"/>
    </row>
    <row r="4" spans="1:11">
      <c r="A4" s="363" t="s">
        <v>170</v>
      </c>
      <c r="B4" s="49">
        <f>IF(ISERROR('SEAP template'!B78+'SEAP template'!C78),0,'SEAP template'!B78+'SEAP template'!C78)</f>
        <v>10666.142976317675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0.1845611453918147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9552.8571428571431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1056.8699999999999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1056.8699999999999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0.1845611453918147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195.05713773024718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16215.6416715331</v>
      </c>
      <c r="C5" s="17">
        <f>IF(ISERROR('Eigen informatie GS &amp; warmtenet'!B57),0,'Eigen informatie GS &amp; warmtenet'!B57)</f>
        <v>0</v>
      </c>
      <c r="D5" s="30">
        <f>(SUM(HH_hh_gas_kWh,HH_rest_gas_kWh)/1000)*0.902</f>
        <v>44814.382959161965</v>
      </c>
      <c r="E5" s="17">
        <f>B46*B57</f>
        <v>6527.0658964857384</v>
      </c>
      <c r="F5" s="17">
        <f>B51*B62</f>
        <v>12084.979008038599</v>
      </c>
      <c r="G5" s="18"/>
      <c r="H5" s="17"/>
      <c r="I5" s="17"/>
      <c r="J5" s="17">
        <f>B50*B61+C50*C61</f>
        <v>1859.609913497432</v>
      </c>
      <c r="K5" s="17"/>
      <c r="L5" s="17"/>
      <c r="M5" s="17"/>
      <c r="N5" s="17">
        <f>B48*B59+C48*C59</f>
        <v>19020.880788419105</v>
      </c>
      <c r="O5" s="17">
        <f>B69*B70*B71</f>
        <v>189.16333333333336</v>
      </c>
      <c r="P5" s="17">
        <f>B77*B78*B79/1000-B77*B78*B79/1000/B80</f>
        <v>152.53333333333333</v>
      </c>
    </row>
    <row r="6" spans="1:16">
      <c r="A6" s="16" t="s">
        <v>633</v>
      </c>
      <c r="B6" s="779">
        <f>kWh_PV_kleiner_dan_10kW</f>
        <v>2752.801224130475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18968.442895663575</v>
      </c>
      <c r="C8" s="21">
        <f>C5</f>
        <v>0</v>
      </c>
      <c r="D8" s="21">
        <f>D5</f>
        <v>44814.382959161965</v>
      </c>
      <c r="E8" s="21">
        <f>E5</f>
        <v>6527.0658964857384</v>
      </c>
      <c r="F8" s="21">
        <f>F5</f>
        <v>12084.979008038599</v>
      </c>
      <c r="G8" s="21"/>
      <c r="H8" s="21"/>
      <c r="I8" s="21"/>
      <c r="J8" s="21">
        <f>J5</f>
        <v>1859.609913497432</v>
      </c>
      <c r="K8" s="21"/>
      <c r="L8" s="21">
        <f>L5</f>
        <v>0</v>
      </c>
      <c r="M8" s="21">
        <f>M5</f>
        <v>0</v>
      </c>
      <c r="N8" s="21">
        <f>N5</f>
        <v>19020.880788419105</v>
      </c>
      <c r="O8" s="21">
        <f>O5</f>
        <v>189.16333333333336</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0.1845611453918147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3500.8375471228997</v>
      </c>
      <c r="C12" s="23">
        <f ca="1">C10*C8</f>
        <v>0</v>
      </c>
      <c r="D12" s="23">
        <f>D8*D10</f>
        <v>9052.5053577507169</v>
      </c>
      <c r="E12" s="23">
        <f>E10*E8</f>
        <v>1481.6439585022626</v>
      </c>
      <c r="F12" s="23">
        <f>F10*F8</f>
        <v>3226.6893951463062</v>
      </c>
      <c r="G12" s="23"/>
      <c r="H12" s="23"/>
      <c r="I12" s="23"/>
      <c r="J12" s="23">
        <f>J10*J8</f>
        <v>658.30190937809084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1963</v>
      </c>
      <c r="C18" s="168" t="s">
        <v>110</v>
      </c>
      <c r="D18" s="230"/>
      <c r="E18" s="15"/>
    </row>
    <row r="19" spans="1:7">
      <c r="A19" s="173" t="s">
        <v>71</v>
      </c>
      <c r="B19" s="37">
        <f>aantalw2001_ander</f>
        <v>1</v>
      </c>
      <c r="C19" s="168" t="s">
        <v>110</v>
      </c>
      <c r="D19" s="231"/>
      <c r="E19" s="15"/>
    </row>
    <row r="20" spans="1:7">
      <c r="A20" s="173" t="s">
        <v>72</v>
      </c>
      <c r="B20" s="37">
        <f>aantalw2001_propaan</f>
        <v>148</v>
      </c>
      <c r="C20" s="169">
        <f>IF(ISERROR(B20/SUM($B$20,$B$21,$B$22)*100),0,B20/SUM($B$20,$B$21,$B$22)*100)</f>
        <v>26.428571428571431</v>
      </c>
      <c r="D20" s="231"/>
      <c r="E20" s="15"/>
    </row>
    <row r="21" spans="1:7">
      <c r="A21" s="173" t="s">
        <v>73</v>
      </c>
      <c r="B21" s="37">
        <f>aantalw2001_elektriciteit</f>
        <v>286</v>
      </c>
      <c r="C21" s="169">
        <f>IF(ISERROR(B21/SUM($B$20,$B$21,$B$22)*100),0,B21/SUM($B$20,$B$21,$B$22)*100)</f>
        <v>51.071428571428569</v>
      </c>
      <c r="D21" s="231"/>
      <c r="E21" s="15"/>
    </row>
    <row r="22" spans="1:7">
      <c r="A22" s="173" t="s">
        <v>74</v>
      </c>
      <c r="B22" s="37">
        <f>aantalw2001_hout</f>
        <v>126</v>
      </c>
      <c r="C22" s="169">
        <f>IF(ISERROR(B22/SUM($B$20,$B$21,$B$22)*100),0,B22/SUM($B$20,$B$21,$B$22)*100)</f>
        <v>22.5</v>
      </c>
      <c r="D22" s="231"/>
      <c r="E22" s="15"/>
    </row>
    <row r="23" spans="1:7">
      <c r="A23" s="173" t="s">
        <v>75</v>
      </c>
      <c r="B23" s="37">
        <f>aantalw2001_niet_gespec</f>
        <v>69</v>
      </c>
      <c r="C23" s="168" t="s">
        <v>110</v>
      </c>
      <c r="D23" s="230"/>
      <c r="E23" s="15"/>
    </row>
    <row r="24" spans="1:7">
      <c r="A24" s="173" t="s">
        <v>76</v>
      </c>
      <c r="B24" s="37">
        <f>aantalw2001_steenkool</f>
        <v>139</v>
      </c>
      <c r="C24" s="168" t="s">
        <v>110</v>
      </c>
      <c r="D24" s="231"/>
      <c r="E24" s="15"/>
    </row>
    <row r="25" spans="1:7">
      <c r="A25" s="173" t="s">
        <v>77</v>
      </c>
      <c r="B25" s="37">
        <f>aantalw2001_stookolie</f>
        <v>1292</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4479</v>
      </c>
      <c r="C28" s="36"/>
      <c r="D28" s="230"/>
    </row>
    <row r="29" spans="1:7" s="15" customFormat="1">
      <c r="A29" s="232" t="s">
        <v>743</v>
      </c>
      <c r="B29" s="37">
        <f>SUM(HH_hh_gas_aantal,HH_rest_gas_aantal)</f>
        <v>2828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2828</v>
      </c>
      <c r="C32" s="169">
        <f>IF(ISERROR(B32/SUM($B$32,$B$34,$B$35,$B$36,$B$38,$B$39)*100),0,B32/SUM($B$32,$B$34,$B$35,$B$36,$B$38,$B$39)*100)</f>
        <v>63.252068888391854</v>
      </c>
      <c r="D32" s="235"/>
      <c r="G32" s="15"/>
    </row>
    <row r="33" spans="1:7">
      <c r="A33" s="173" t="s">
        <v>71</v>
      </c>
      <c r="B33" s="34" t="s">
        <v>110</v>
      </c>
      <c r="C33" s="169"/>
      <c r="D33" s="235"/>
      <c r="G33" s="15"/>
    </row>
    <row r="34" spans="1:7">
      <c r="A34" s="173" t="s">
        <v>72</v>
      </c>
      <c r="B34" s="33">
        <f>IF((($B$28-$B$32-$B$39-$B$77-$B$38)*C20/100)&lt;0,0,($B$28-$B$32-$B$39-$B$77-$B$38)*C20/100)</f>
        <v>284.6357142857143</v>
      </c>
      <c r="C34" s="169">
        <f>IF(ISERROR(B34/SUM($B$32,$B$34,$B$35,$B$36,$B$38,$B$39)*100),0,B34/SUM($B$32,$B$34,$B$35,$B$36,$B$38,$B$39)*100)</f>
        <v>6.3662651372336008</v>
      </c>
      <c r="D34" s="235"/>
      <c r="G34" s="15"/>
    </row>
    <row r="35" spans="1:7">
      <c r="A35" s="173" t="s">
        <v>73</v>
      </c>
      <c r="B35" s="33">
        <f>IF((($B$28-$B$32-$B$39-$B$77-$B$38)*C21/100)&lt;0,0,($B$28-$B$32-$B$39-$B$77-$B$38)*C21/100)</f>
        <v>550.03928571428571</v>
      </c>
      <c r="C35" s="169">
        <f>IF(ISERROR(B35/SUM($B$32,$B$34,$B$35,$B$36,$B$38,$B$39)*100),0,B35/SUM($B$32,$B$34,$B$35,$B$36,$B$38,$B$39)*100)</f>
        <v>12.302377224654121</v>
      </c>
      <c r="D35" s="235"/>
      <c r="G35" s="15"/>
    </row>
    <row r="36" spans="1:7">
      <c r="A36" s="173" t="s">
        <v>74</v>
      </c>
      <c r="B36" s="33">
        <f>IF((($B$28-$B$32-$B$39-$B$77-$B$38)*C22/100)&lt;0,0,($B$28-$B$32-$B$39-$B$77-$B$38)*C22/100)</f>
        <v>242.32499999999999</v>
      </c>
      <c r="C36" s="169">
        <f>IF(ISERROR(B36/SUM($B$32,$B$34,$B$35,$B$36,$B$38,$B$39)*100),0,B36/SUM($B$32,$B$34,$B$35,$B$36,$B$38,$B$39)*100)</f>
        <v>5.4199284276448223</v>
      </c>
      <c r="D36" s="235"/>
      <c r="G36" s="15"/>
    </row>
    <row r="37" spans="1:7">
      <c r="A37" s="173" t="s">
        <v>75</v>
      </c>
      <c r="B37" s="34" t="s">
        <v>110</v>
      </c>
      <c r="C37" s="169"/>
      <c r="D37" s="175"/>
      <c r="G37" s="15"/>
    </row>
    <row r="38" spans="1:7">
      <c r="A38" s="173" t="s">
        <v>76</v>
      </c>
      <c r="B38" s="33">
        <f>IF((B24-(B29-B18)*0.1)&lt;0,0,B24-(B29-B18)*0.1)</f>
        <v>52.5</v>
      </c>
      <c r="C38" s="169">
        <f>IF(ISERROR(B38/SUM($B$32,$B$34,$B$35,$B$36,$B$38,$B$39)*100),0,B38/SUM($B$32,$B$34,$B$35,$B$36,$B$38,$B$39)*100)</f>
        <v>1.1742339521359875</v>
      </c>
      <c r="D38" s="236"/>
      <c r="G38" s="15"/>
    </row>
    <row r="39" spans="1:7">
      <c r="A39" s="173" t="s">
        <v>77</v>
      </c>
      <c r="B39" s="33">
        <f>IF((B25-(B29-B18))&lt;0,0,B25-(B29-B18)*0.9)</f>
        <v>513.5</v>
      </c>
      <c r="C39" s="169">
        <f>IF(ISERROR(B39/SUM($B$32,$B$34,$B$35,$B$36,$B$38,$B$39)*100),0,B39/SUM($B$32,$B$34,$B$35,$B$36,$B$38,$B$39)*100)</f>
        <v>11.485126369939611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2828</v>
      </c>
      <c r="C44" s="34" t="s">
        <v>110</v>
      </c>
      <c r="D44" s="176"/>
    </row>
    <row r="45" spans="1:7">
      <c r="A45" s="173" t="s">
        <v>71</v>
      </c>
      <c r="B45" s="33" t="str">
        <f t="shared" si="0"/>
        <v>-</v>
      </c>
      <c r="C45" s="34" t="s">
        <v>110</v>
      </c>
      <c r="D45" s="176"/>
    </row>
    <row r="46" spans="1:7">
      <c r="A46" s="173" t="s">
        <v>72</v>
      </c>
      <c r="B46" s="33">
        <f t="shared" si="0"/>
        <v>284.6357142857143</v>
      </c>
      <c r="C46" s="34" t="s">
        <v>110</v>
      </c>
      <c r="D46" s="176"/>
    </row>
    <row r="47" spans="1:7">
      <c r="A47" s="173" t="s">
        <v>73</v>
      </c>
      <c r="B47" s="33">
        <f t="shared" si="0"/>
        <v>550.03928571428571</v>
      </c>
      <c r="C47" s="34" t="s">
        <v>110</v>
      </c>
      <c r="D47" s="176"/>
    </row>
    <row r="48" spans="1:7">
      <c r="A48" s="173" t="s">
        <v>74</v>
      </c>
      <c r="B48" s="33">
        <f t="shared" si="0"/>
        <v>242.32499999999999</v>
      </c>
      <c r="C48" s="33">
        <f>B48*10</f>
        <v>2423.25</v>
      </c>
      <c r="D48" s="236"/>
    </row>
    <row r="49" spans="1:6">
      <c r="A49" s="173" t="s">
        <v>75</v>
      </c>
      <c r="B49" s="33" t="str">
        <f t="shared" si="0"/>
        <v>-</v>
      </c>
      <c r="C49" s="34" t="s">
        <v>110</v>
      </c>
      <c r="D49" s="236"/>
    </row>
    <row r="50" spans="1:6">
      <c r="A50" s="173" t="s">
        <v>76</v>
      </c>
      <c r="B50" s="33">
        <f t="shared" si="0"/>
        <v>52.5</v>
      </c>
      <c r="C50" s="33">
        <f>B50*2</f>
        <v>105</v>
      </c>
      <c r="D50" s="236"/>
    </row>
    <row r="51" spans="1:6">
      <c r="A51" s="173" t="s">
        <v>77</v>
      </c>
      <c r="B51" s="33">
        <f t="shared" si="0"/>
        <v>513.5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16150.249855669677</v>
      </c>
      <c r="C5" s="17">
        <f>IF(ISERROR('Eigen informatie GS &amp; warmtenet'!B58),0,'Eigen informatie GS &amp; warmtenet'!B58)</f>
        <v>0</v>
      </c>
      <c r="D5" s="30">
        <f>SUM(D6:D12)</f>
        <v>16052.979594079334</v>
      </c>
      <c r="E5" s="17">
        <f>SUM(E6:E12)</f>
        <v>235.4307204713852</v>
      </c>
      <c r="F5" s="17">
        <f>SUM(F6:F12)</f>
        <v>3249.3008239781261</v>
      </c>
      <c r="G5" s="18"/>
      <c r="H5" s="17"/>
      <c r="I5" s="17"/>
      <c r="J5" s="17">
        <f>SUM(J6:J12)</f>
        <v>0</v>
      </c>
      <c r="K5" s="17"/>
      <c r="L5" s="17"/>
      <c r="M5" s="17"/>
      <c r="N5" s="17">
        <f>SUM(N6:N12)</f>
        <v>1361.9737964211349</v>
      </c>
      <c r="O5" s="17">
        <f>B38*B39*B40</f>
        <v>3.1266666666666669</v>
      </c>
      <c r="P5" s="17">
        <f>B46*B47*B48/1000-B46*B47*B48/1000/B49</f>
        <v>38.133333333333333</v>
      </c>
      <c r="R5" s="32"/>
    </row>
    <row r="6" spans="1:18">
      <c r="A6" s="32" t="s">
        <v>53</v>
      </c>
      <c r="B6" s="37">
        <f>B26</f>
        <v>1275.78859844468</v>
      </c>
      <c r="C6" s="33"/>
      <c r="D6" s="37">
        <f>IF(ISERROR(TER_kantoor_gas_kWh/1000),0,TER_kantoor_gas_kWh/1000)*0.902</f>
        <v>2978.8331387092826</v>
      </c>
      <c r="E6" s="33">
        <f>$C$26*'E Balans VL '!I12/100/3.6*1000000</f>
        <v>4.9567088051412176</v>
      </c>
      <c r="F6" s="33">
        <f>$C$26*('E Balans VL '!L12+'E Balans VL '!N12)/100/3.6*1000000</f>
        <v>194.03583707271989</v>
      </c>
      <c r="G6" s="34"/>
      <c r="H6" s="33"/>
      <c r="I6" s="33"/>
      <c r="J6" s="33">
        <f>$C$26*('E Balans VL '!D12+'E Balans VL '!E12)/100/3.6*1000000</f>
        <v>0</v>
      </c>
      <c r="K6" s="33"/>
      <c r="L6" s="33"/>
      <c r="M6" s="33"/>
      <c r="N6" s="33">
        <f>$C$26*'E Balans VL '!Y12/100/3.6*1000000</f>
        <v>0.70311235345323597</v>
      </c>
      <c r="O6" s="33"/>
      <c r="P6" s="33"/>
      <c r="R6" s="32"/>
    </row>
    <row r="7" spans="1:18">
      <c r="A7" s="32" t="s">
        <v>52</v>
      </c>
      <c r="B7" s="37">
        <f t="shared" ref="B7:B12" si="0">B27</f>
        <v>1257.5071502153</v>
      </c>
      <c r="C7" s="33"/>
      <c r="D7" s="37">
        <f>IF(ISERROR(TER_horeca_gas_kWh/1000),0,TER_horeca_gas_kWh/1000)*0.902</f>
        <v>2589.8061647888262</v>
      </c>
      <c r="E7" s="33">
        <f>$C$27*'E Balans VL '!I9/100/3.6*1000000</f>
        <v>70.835713973337093</v>
      </c>
      <c r="F7" s="33">
        <f>$C$27*('E Balans VL '!L9+'E Balans VL '!N9)/100/3.6*1000000</f>
        <v>362.58977670588547</v>
      </c>
      <c r="G7" s="34"/>
      <c r="H7" s="33"/>
      <c r="I7" s="33"/>
      <c r="J7" s="33">
        <f>$C$27*('E Balans VL '!D9+'E Balans VL '!E9)/100/3.6*1000000</f>
        <v>0</v>
      </c>
      <c r="K7" s="33"/>
      <c r="L7" s="33"/>
      <c r="M7" s="33"/>
      <c r="N7" s="33">
        <f>$C$27*'E Balans VL '!Y9/100/3.6*1000000</f>
        <v>0.34719118955246941</v>
      </c>
      <c r="O7" s="33"/>
      <c r="P7" s="33"/>
      <c r="R7" s="32"/>
    </row>
    <row r="8" spans="1:18">
      <c r="A8" s="6" t="s">
        <v>51</v>
      </c>
      <c r="B8" s="37">
        <f t="shared" si="0"/>
        <v>4366.1132998980502</v>
      </c>
      <c r="C8" s="33"/>
      <c r="D8" s="37">
        <f>IF(ISERROR(TER_handel_gas_kWh/1000),0,TER_handel_gas_kWh/1000)*0.902</f>
        <v>1363.7801584842096</v>
      </c>
      <c r="E8" s="33">
        <f>$C$28*'E Balans VL '!I13/100/3.6*1000000</f>
        <v>62.930505400449242</v>
      </c>
      <c r="F8" s="33">
        <f>$C$28*('E Balans VL '!L13+'E Balans VL '!N13)/100/3.6*1000000</f>
        <v>758.49556010980177</v>
      </c>
      <c r="G8" s="34"/>
      <c r="H8" s="33"/>
      <c r="I8" s="33"/>
      <c r="J8" s="33">
        <f>$C$28*('E Balans VL '!D13+'E Balans VL '!E13)/100/3.6*1000000</f>
        <v>0</v>
      </c>
      <c r="K8" s="33"/>
      <c r="L8" s="33"/>
      <c r="M8" s="33"/>
      <c r="N8" s="33">
        <f>$C$28*'E Balans VL '!Y13/100/3.6*1000000</f>
        <v>13.081361492239719</v>
      </c>
      <c r="O8" s="33"/>
      <c r="P8" s="33"/>
      <c r="R8" s="32"/>
    </row>
    <row r="9" spans="1:18">
      <c r="A9" s="32" t="s">
        <v>50</v>
      </c>
      <c r="B9" s="37">
        <f t="shared" si="0"/>
        <v>576.10520702738393</v>
      </c>
      <c r="C9" s="33"/>
      <c r="D9" s="37">
        <f>IF(ISERROR(TER_gezond_gas_kWh/1000),0,TER_gezond_gas_kWh/1000)*0.902</f>
        <v>1821.1404509446531</v>
      </c>
      <c r="E9" s="33">
        <f>$C$29*'E Balans VL '!I10/100/3.6*1000000</f>
        <v>0.61542968209126803</v>
      </c>
      <c r="F9" s="33">
        <f>$C$29*('E Balans VL '!L10+'E Balans VL '!N10)/100/3.6*1000000</f>
        <v>93.980267760418315</v>
      </c>
      <c r="G9" s="34"/>
      <c r="H9" s="33"/>
      <c r="I9" s="33"/>
      <c r="J9" s="33">
        <f>$C$29*('E Balans VL '!D10+'E Balans VL '!E10)/100/3.6*1000000</f>
        <v>0</v>
      </c>
      <c r="K9" s="33"/>
      <c r="L9" s="33"/>
      <c r="M9" s="33"/>
      <c r="N9" s="33">
        <f>$C$29*'E Balans VL '!Y10/100/3.6*1000000</f>
        <v>5.9306743872738332</v>
      </c>
      <c r="O9" s="33"/>
      <c r="P9" s="33"/>
      <c r="R9" s="32"/>
    </row>
    <row r="10" spans="1:18">
      <c r="A10" s="32" t="s">
        <v>49</v>
      </c>
      <c r="B10" s="37">
        <f t="shared" si="0"/>
        <v>1071.5490559759799</v>
      </c>
      <c r="C10" s="33"/>
      <c r="D10" s="37">
        <f>IF(ISERROR(TER_ander_gas_kWh/1000),0,TER_ander_gas_kWh/1000)*0.902</f>
        <v>498.40956854745116</v>
      </c>
      <c r="E10" s="33">
        <f>$C$30*'E Balans VL '!I14/100/3.6*1000000</f>
        <v>4.9278911137224277</v>
      </c>
      <c r="F10" s="33">
        <f>$C$30*('E Balans VL '!L14+'E Balans VL '!N14)/100/3.6*1000000</f>
        <v>321.1770517710857</v>
      </c>
      <c r="G10" s="34"/>
      <c r="H10" s="33"/>
      <c r="I10" s="33"/>
      <c r="J10" s="33">
        <f>$C$30*('E Balans VL '!D14+'E Balans VL '!E14)/100/3.6*1000000</f>
        <v>0</v>
      </c>
      <c r="K10" s="33"/>
      <c r="L10" s="33"/>
      <c r="M10" s="33"/>
      <c r="N10" s="33">
        <f>$C$30*'E Balans VL '!Y14/100/3.6*1000000</f>
        <v>745.86887673615126</v>
      </c>
      <c r="O10" s="33"/>
      <c r="P10" s="33"/>
      <c r="R10" s="32"/>
    </row>
    <row r="11" spans="1:18">
      <c r="A11" s="32" t="s">
        <v>54</v>
      </c>
      <c r="B11" s="37">
        <f t="shared" si="0"/>
        <v>94.484337757203392</v>
      </c>
      <c r="C11" s="33"/>
      <c r="D11" s="37">
        <f>IF(ISERROR(TER_onderwijs_gas_kWh/1000),0,TER_onderwijs_gas_kWh/1000)*0.902</f>
        <v>151.60301089584752</v>
      </c>
      <c r="E11" s="33">
        <f>$C$31*'E Balans VL '!I11/100/3.6*1000000</f>
        <v>8.7646648789625858E-2</v>
      </c>
      <c r="F11" s="33">
        <f>$C$31*('E Balans VL '!L11+'E Balans VL '!N11)/100/3.6*1000000</f>
        <v>33.190176287729592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7508.7022063510803</v>
      </c>
      <c r="C12" s="33"/>
      <c r="D12" s="37">
        <f>IF(ISERROR(TER_rest_gas_kWh/1000),0,TER_rest_gas_kWh/1000)*0.902</f>
        <v>6649.4071017090646</v>
      </c>
      <c r="E12" s="33">
        <f>$C$32*'E Balans VL '!I8/100/3.6*1000000</f>
        <v>91.076824847854326</v>
      </c>
      <c r="F12" s="33">
        <f>$C$32*('E Balans VL '!L8+'E Balans VL '!N8)/100/3.6*1000000</f>
        <v>1485.8321542704853</v>
      </c>
      <c r="G12" s="34"/>
      <c r="H12" s="33"/>
      <c r="I12" s="33"/>
      <c r="J12" s="33">
        <f>$C$32*('E Balans VL '!D8+'E Balans VL '!E8)/100/3.6*1000000</f>
        <v>0</v>
      </c>
      <c r="K12" s="33"/>
      <c r="L12" s="33"/>
      <c r="M12" s="33"/>
      <c r="N12" s="33">
        <f>$C$32*'E Balans VL '!Y8/100/3.6*1000000</f>
        <v>596.0425802624643</v>
      </c>
      <c r="O12" s="33"/>
      <c r="P12" s="33"/>
      <c r="R12" s="32"/>
    </row>
    <row r="13" spans="1:18">
      <c r="A13" s="16" t="s">
        <v>496</v>
      </c>
      <c r="B13" s="249">
        <f ca="1">'lokale energieproductie'!N38+'lokale energieproductie'!N31</f>
        <v>6687</v>
      </c>
      <c r="C13" s="249">
        <f ca="1">'lokale energieproductie'!O38+'lokale energieproductie'!O31</f>
        <v>9552.8571428571431</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-19105.714285714286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22837.249855669677</v>
      </c>
      <c r="C16" s="21">
        <f t="shared" ca="1" si="1"/>
        <v>9552.8571428571431</v>
      </c>
      <c r="D16" s="21">
        <f t="shared" ca="1" si="1"/>
        <v>16052.979594079334</v>
      </c>
      <c r="E16" s="21">
        <f t="shared" si="1"/>
        <v>235.4307204713852</v>
      </c>
      <c r="F16" s="21">
        <f t="shared" ca="1" si="1"/>
        <v>3249.3008239781261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0.1845611453918147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4214.8689909614504</v>
      </c>
      <c r="C20" s="23">
        <f t="shared" ref="C20:P20" ca="1" si="2">C16*C18</f>
        <v>0</v>
      </c>
      <c r="D20" s="23">
        <f t="shared" ca="1" si="2"/>
        <v>3242.7018780040257</v>
      </c>
      <c r="E20" s="23">
        <f t="shared" si="2"/>
        <v>53.442773547004442</v>
      </c>
      <c r="F20" s="23">
        <f t="shared" ca="1" si="2"/>
        <v>867.56332000215968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1275.78859844468</v>
      </c>
      <c r="C26" s="39">
        <f>IF(ISERROR(B26*3.6/1000000/'E Balans VL '!Z12*100),0,B26*3.6/1000000/'E Balans VL '!Z12*100)</f>
        <v>2.7098381774485137E-2</v>
      </c>
      <c r="D26" s="239" t="s">
        <v>689</v>
      </c>
      <c r="F26" s="6"/>
    </row>
    <row r="27" spans="1:18">
      <c r="A27" s="233" t="s">
        <v>52</v>
      </c>
      <c r="B27" s="33">
        <f>IF(ISERROR(TER_horeca_ele_kWh/1000),0,TER_horeca_ele_kWh/1000)</f>
        <v>1257.5071502153</v>
      </c>
      <c r="C27" s="39">
        <f>IF(ISERROR(B27*3.6/1000000/'E Balans VL '!Z9*100),0,B27*3.6/1000000/'E Balans VL '!Z9*100)</f>
        <v>9.7778839246241922E-2</v>
      </c>
      <c r="D27" s="239" t="s">
        <v>689</v>
      </c>
      <c r="F27" s="6"/>
    </row>
    <row r="28" spans="1:18">
      <c r="A28" s="173" t="s">
        <v>51</v>
      </c>
      <c r="B28" s="33">
        <f>IF(ISERROR(TER_handel_ele_kWh/1000),0,TER_handel_ele_kWh/1000)</f>
        <v>4366.1132998980502</v>
      </c>
      <c r="C28" s="39">
        <f>IF(ISERROR(B28*3.6/1000000/'E Balans VL '!Z13*100),0,B28*3.6/1000000/'E Balans VL '!Z13*100)</f>
        <v>0.1249196399114168</v>
      </c>
      <c r="D28" s="239" t="s">
        <v>689</v>
      </c>
      <c r="F28" s="6"/>
    </row>
    <row r="29" spans="1:18">
      <c r="A29" s="233" t="s">
        <v>50</v>
      </c>
      <c r="B29" s="33">
        <f>IF(ISERROR(TER_gezond_ele_kWh/1000),0,TER_gezond_ele_kWh/1000)</f>
        <v>576.10520702738393</v>
      </c>
      <c r="C29" s="39">
        <f>IF(ISERROR(B29*3.6/1000000/'E Balans VL '!Z10*100),0,B29*3.6/1000000/'E Balans VL '!Z10*100)</f>
        <v>6.2808854645459281E-2</v>
      </c>
      <c r="D29" s="239" t="s">
        <v>689</v>
      </c>
      <c r="F29" s="6"/>
    </row>
    <row r="30" spans="1:18">
      <c r="A30" s="233" t="s">
        <v>49</v>
      </c>
      <c r="B30" s="33">
        <f>IF(ISERROR(TER_ander_ele_kWh/1000),0,TER_ander_ele_kWh/1000)</f>
        <v>1071.5490559759799</v>
      </c>
      <c r="C30" s="39">
        <f>IF(ISERROR(B30*3.6/1000000/'E Balans VL '!Z14*100),0,B30*3.6/1000000/'E Balans VL '!Z14*100)</f>
        <v>7.8413529164910775E-2</v>
      </c>
      <c r="D30" s="239" t="s">
        <v>689</v>
      </c>
      <c r="F30" s="6"/>
    </row>
    <row r="31" spans="1:18">
      <c r="A31" s="233" t="s">
        <v>54</v>
      </c>
      <c r="B31" s="33">
        <f>IF(ISERROR(TER_onderwijs_ele_kWh/1000),0,TER_onderwijs_ele_kWh/1000)</f>
        <v>94.484337757203392</v>
      </c>
      <c r="C31" s="39">
        <f>IF(ISERROR(B31*3.6/1000000/'E Balans VL '!Z11*100),0,B31*3.6/1000000/'E Balans VL '!Z11*100)</f>
        <v>1.8977249400668805E-2</v>
      </c>
      <c r="D31" s="239" t="s">
        <v>689</v>
      </c>
    </row>
    <row r="32" spans="1:18">
      <c r="A32" s="233" t="s">
        <v>259</v>
      </c>
      <c r="B32" s="33">
        <f>IF(ISERROR(TER_rest_ele_kWh/1000),0,TER_rest_ele_kWh/1000)</f>
        <v>7508.7022063510803</v>
      </c>
      <c r="C32" s="39">
        <f>IF(ISERROR(B32*3.6/1000000/'E Balans VL '!Z8*100),0,B32*3.6/1000000/'E Balans VL '!Z8*100)</f>
        <v>6.1191366181919588E-2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18777.167132753308</v>
      </c>
      <c r="C5" s="17">
        <f>IF(ISERROR('Eigen informatie GS &amp; warmtenet'!B59),0,'Eigen informatie GS &amp; warmtenet'!B59)</f>
        <v>0</v>
      </c>
      <c r="D5" s="30">
        <f>SUM(D6:D15)</f>
        <v>17144.713235922212</v>
      </c>
      <c r="E5" s="17">
        <f>SUM(E6:E15)</f>
        <v>1199.3020051480673</v>
      </c>
      <c r="F5" s="17">
        <f>SUM(F6:F15)</f>
        <v>4978.4922185031701</v>
      </c>
      <c r="G5" s="18"/>
      <c r="H5" s="17"/>
      <c r="I5" s="17"/>
      <c r="J5" s="17">
        <f>SUM(J6:J15)</f>
        <v>41.302257130037091</v>
      </c>
      <c r="K5" s="17"/>
      <c r="L5" s="17"/>
      <c r="M5" s="17"/>
      <c r="N5" s="17">
        <f>SUM(N6:N15)</f>
        <v>919.86159172913813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1189.7665463019</v>
      </c>
      <c r="C8" s="33"/>
      <c r="D8" s="37">
        <f>IF( ISERROR(IND_metaal_Gas_kWH/1000),0,IND_metaal_Gas_kWH/1000)*0.902</f>
        <v>502.09441194400387</v>
      </c>
      <c r="E8" s="33">
        <f>C30*'E Balans VL '!I18/100/3.6*1000000</f>
        <v>34.174561045543093</v>
      </c>
      <c r="F8" s="33">
        <f>C30*'E Balans VL '!L18/100/3.6*1000000+C30*'E Balans VL '!N18/100/3.6*1000000</f>
        <v>305.15223662727863</v>
      </c>
      <c r="G8" s="34"/>
      <c r="H8" s="33"/>
      <c r="I8" s="33"/>
      <c r="J8" s="40">
        <f>C30*'E Balans VL '!D18/100/3.6*1000000+C30*'E Balans VL '!E18/100/3.6*1000000</f>
        <v>0</v>
      </c>
      <c r="K8" s="33"/>
      <c r="L8" s="33"/>
      <c r="M8" s="33"/>
      <c r="N8" s="33">
        <f>C30*'E Balans VL '!Y18/100/3.6*1000000</f>
        <v>32.304590389704259</v>
      </c>
      <c r="O8" s="33"/>
      <c r="P8" s="33"/>
      <c r="R8" s="32"/>
    </row>
    <row r="9" spans="1:18">
      <c r="A9" s="6" t="s">
        <v>32</v>
      </c>
      <c r="B9" s="37">
        <f t="shared" si="0"/>
        <v>930.55123436602207</v>
      </c>
      <c r="C9" s="33"/>
      <c r="D9" s="37">
        <f>IF( ISERROR(IND_andere_gas_kWh/1000),0,IND_andere_gas_kWh/1000)*0.902</f>
        <v>1169.6323201528305</v>
      </c>
      <c r="E9" s="33">
        <f>C31*'E Balans VL '!I19/100/3.6*1000000</f>
        <v>251.87733964204594</v>
      </c>
      <c r="F9" s="33">
        <f>C31*'E Balans VL '!L19/100/3.6*1000000+C31*'E Balans VL '!N19/100/3.6*1000000</f>
        <v>619.84559497839336</v>
      </c>
      <c r="G9" s="34"/>
      <c r="H9" s="33"/>
      <c r="I9" s="33"/>
      <c r="J9" s="40">
        <f>C31*'E Balans VL '!D19/100/3.6*1000000+C31*'E Balans VL '!E19/100/3.6*1000000</f>
        <v>0</v>
      </c>
      <c r="K9" s="33"/>
      <c r="L9" s="33"/>
      <c r="M9" s="33"/>
      <c r="N9" s="33">
        <f>C31*'E Balans VL '!Y19/100/3.6*1000000</f>
        <v>78.671942667632536</v>
      </c>
      <c r="O9" s="33"/>
      <c r="P9" s="33"/>
      <c r="R9" s="32"/>
    </row>
    <row r="10" spans="1:18">
      <c r="A10" s="6" t="s">
        <v>40</v>
      </c>
      <c r="B10" s="37">
        <f t="shared" si="0"/>
        <v>167.35981329029002</v>
      </c>
      <c r="C10" s="33"/>
      <c r="D10" s="37">
        <f>IF( ISERROR(IND_voed_gas_kWh/1000),0,IND_voed_gas_kWh/1000)*0.902</f>
        <v>314.15197419764115</v>
      </c>
      <c r="E10" s="33">
        <f>C32*'E Balans VL '!I20/100/3.6*1000000</f>
        <v>13.6502508711219</v>
      </c>
      <c r="F10" s="33">
        <f>C32*'E Balans VL '!L20/100/3.6*1000000+C32*'E Balans VL '!N20/100/3.6*1000000</f>
        <v>249.54866582854444</v>
      </c>
      <c r="G10" s="34"/>
      <c r="H10" s="33"/>
      <c r="I10" s="33"/>
      <c r="J10" s="40">
        <f>C32*'E Balans VL '!D20/100/3.6*1000000+C32*'E Balans VL '!E20/100/3.6*1000000</f>
        <v>2.2139671822695725E-3</v>
      </c>
      <c r="K10" s="33"/>
      <c r="L10" s="33"/>
      <c r="M10" s="33"/>
      <c r="N10" s="33">
        <f>C32*'E Balans VL '!Y20/100/3.6*1000000</f>
        <v>49.164407653652653</v>
      </c>
      <c r="O10" s="33"/>
      <c r="P10" s="33"/>
      <c r="R10" s="32"/>
    </row>
    <row r="11" spans="1:18">
      <c r="A11" s="6" t="s">
        <v>39</v>
      </c>
      <c r="B11" s="37">
        <f t="shared" si="0"/>
        <v>319.51883260392299</v>
      </c>
      <c r="C11" s="33"/>
      <c r="D11" s="37">
        <f>IF( ISERROR(IND_textiel_gas_kWh/1000),0,IND_textiel_gas_kWh/1000)*0.902</f>
        <v>0</v>
      </c>
      <c r="E11" s="33">
        <f>C33*'E Balans VL '!I21/100/3.6*1000000</f>
        <v>6.3335169884671264E-2</v>
      </c>
      <c r="F11" s="33">
        <f>C33*'E Balans VL '!L21/100/3.6*1000000+C33*'E Balans VL '!N21/100/3.6*1000000</f>
        <v>11.768264105504663</v>
      </c>
      <c r="G11" s="34"/>
      <c r="H11" s="33"/>
      <c r="I11" s="33"/>
      <c r="J11" s="40">
        <f>C33*'E Balans VL '!D21/100/3.6*1000000+C33*'E Balans VL '!E21/100/3.6*1000000</f>
        <v>0</v>
      </c>
      <c r="K11" s="33"/>
      <c r="L11" s="33"/>
      <c r="M11" s="33"/>
      <c r="N11" s="33">
        <f>C33*'E Balans VL '!Y21/100/3.6*1000000</f>
        <v>1.485681911684096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56.420240939772796</v>
      </c>
      <c r="C13" s="33"/>
      <c r="D13" s="37">
        <f>IF( ISERROR(IND_papier_gas_kWh/1000),0,IND_papier_gas_kWh/1000)*0.902</f>
        <v>100.67023230311874</v>
      </c>
      <c r="E13" s="33">
        <f>C35*'E Balans VL '!I23/100/3.6*1000000</f>
        <v>0.59110480897918838</v>
      </c>
      <c r="F13" s="33">
        <f>C35*'E Balans VL '!L23/100/3.6*1000000+C35*'E Balans VL '!N23/100/3.6*1000000</f>
        <v>4.2100883791897346</v>
      </c>
      <c r="G13" s="34"/>
      <c r="H13" s="33"/>
      <c r="I13" s="33"/>
      <c r="J13" s="40">
        <f>C35*'E Balans VL '!D23/100/3.6*1000000+C35*'E Balans VL '!E23/100/3.6*1000000</f>
        <v>0</v>
      </c>
      <c r="K13" s="33"/>
      <c r="L13" s="33"/>
      <c r="M13" s="33"/>
      <c r="N13" s="33">
        <f>C35*'E Balans VL '!Y23/100/3.6*1000000</f>
        <v>10.408314507774543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16113.550465251399</v>
      </c>
      <c r="C15" s="33"/>
      <c r="D15" s="37">
        <f>IF( ISERROR(IND_rest_gas_kWh/1000),0,IND_rest_gas_kWh/1000)*0.902</f>
        <v>15058.164297324618</v>
      </c>
      <c r="E15" s="33">
        <f>C37*'E Balans VL '!I15/100/3.6*1000000</f>
        <v>898.94541361049255</v>
      </c>
      <c r="F15" s="33">
        <f>C37*'E Balans VL '!L15/100/3.6*1000000+C37*'E Balans VL '!N15/100/3.6*1000000</f>
        <v>3787.967368584259</v>
      </c>
      <c r="G15" s="34"/>
      <c r="H15" s="33"/>
      <c r="I15" s="33"/>
      <c r="J15" s="40">
        <f>C37*'E Balans VL '!D15/100/3.6*1000000+C37*'E Balans VL '!E15/100/3.6*1000000</f>
        <v>41.30004316285482</v>
      </c>
      <c r="K15" s="33"/>
      <c r="L15" s="33"/>
      <c r="M15" s="33"/>
      <c r="N15" s="33">
        <f>C37*'E Balans VL '!Y15/100/3.6*1000000</f>
        <v>747.82665459869008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18777.167132753308</v>
      </c>
      <c r="C18" s="21">
        <f>C5+C16</f>
        <v>0</v>
      </c>
      <c r="D18" s="21">
        <f>MAX((D5+D16),0)</f>
        <v>17144.713235922212</v>
      </c>
      <c r="E18" s="21">
        <f>MAX((E5+E16),0)</f>
        <v>1199.3020051480673</v>
      </c>
      <c r="F18" s="21">
        <f>MAX((F5+F16),0)</f>
        <v>4978.4922185031701</v>
      </c>
      <c r="G18" s="21"/>
      <c r="H18" s="21"/>
      <c r="I18" s="21"/>
      <c r="J18" s="21">
        <f>MAX((J5+J16),0)</f>
        <v>41.302257130037091</v>
      </c>
      <c r="K18" s="21"/>
      <c r="L18" s="21">
        <f>MAX((L5+L16),0)</f>
        <v>0</v>
      </c>
      <c r="M18" s="21"/>
      <c r="N18" s="21">
        <f>MAX((N5+N16),0)</f>
        <v>919.86159172913813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0.1845611453918147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3465.5354732344877</v>
      </c>
      <c r="C22" s="23">
        <f ca="1">C18*C20</f>
        <v>0</v>
      </c>
      <c r="D22" s="23">
        <f>D18*D20</f>
        <v>3463.232073656287</v>
      </c>
      <c r="E22" s="23">
        <f>E18*E20</f>
        <v>272.24155516861128</v>
      </c>
      <c r="F22" s="23">
        <f>F18*F20</f>
        <v>1329.2574223403465</v>
      </c>
      <c r="G22" s="23"/>
      <c r="H22" s="23"/>
      <c r="I22" s="23"/>
      <c r="J22" s="23">
        <f>J18*J20</f>
        <v>14.620999024033129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1189.7665463019</v>
      </c>
      <c r="C30" s="39">
        <f>IF(ISERROR(B30*3.6/1000000/'E Balans VL '!Z18*100),0,B30*3.6/1000000/'E Balans VL '!Z18*100)</f>
        <v>0.11706999100564687</v>
      </c>
      <c r="D30" s="239" t="s">
        <v>689</v>
      </c>
    </row>
    <row r="31" spans="1:18">
      <c r="A31" s="6" t="s">
        <v>32</v>
      </c>
      <c r="B31" s="37">
        <f>IF( ISERROR(IND_ander_ele_kWh/1000),0,IND_ander_ele_kWh/1000)</f>
        <v>930.55123436602207</v>
      </c>
      <c r="C31" s="39">
        <f>IF(ISERROR(B31*3.6/1000000/'E Balans VL '!Z19*100),0,B31*3.6/1000000/'E Balans VL '!Z19*100)</f>
        <v>4.0524763963232679E-2</v>
      </c>
      <c r="D31" s="239" t="s">
        <v>689</v>
      </c>
    </row>
    <row r="32" spans="1:18">
      <c r="A32" s="173" t="s">
        <v>40</v>
      </c>
      <c r="B32" s="37">
        <f>IF( ISERROR(IND_voed_ele_kWh/1000),0,IND_voed_ele_kWh/1000)</f>
        <v>167.35981329029002</v>
      </c>
      <c r="C32" s="39">
        <f>IF(ISERROR(B32*3.6/1000000/'E Balans VL '!Z20*100),0,B32*3.6/1000000/'E Balans VL '!Z20*100)</f>
        <v>3.1754110980757554E-2</v>
      </c>
      <c r="D32" s="239" t="s">
        <v>689</v>
      </c>
    </row>
    <row r="33" spans="1:5">
      <c r="A33" s="173" t="s">
        <v>39</v>
      </c>
      <c r="B33" s="37">
        <f>IF( ISERROR(IND_textiel_ele_kWh/1000),0,IND_textiel_ele_kWh/1000)</f>
        <v>319.51883260392299</v>
      </c>
      <c r="C33" s="39">
        <f>IF(ISERROR(B33*3.6/1000000/'E Balans VL '!Z21*100),0,B33*3.6/1000000/'E Balans VL '!Z21*100)</f>
        <v>1.8242904980089864E-2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56.420240939772796</v>
      </c>
      <c r="C35" s="39">
        <f>IF(ISERROR(B35*3.6/1000000/'E Balans VL '!Z22*100),0,B35*3.6/1000000/'E Balans VL '!Z22*100)</f>
        <v>7.9332524305322817E-3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16113.550465251399</v>
      </c>
      <c r="C37" s="39">
        <f>IF(ISERROR(B37*3.6/1000000/'E Balans VL '!Z15*100),0,B37*3.6/1000000/'E Balans VL '!Z15*100)</f>
        <v>0.12417469785433051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2350.99288219346</v>
      </c>
      <c r="C5" s="17">
        <f>'Eigen informatie GS &amp; warmtenet'!B60</f>
        <v>0</v>
      </c>
      <c r="D5" s="30">
        <f>IF(ISERROR(SUM(LB_lb_gas_kWh,LB_rest_gas_kWh)/1000),0,SUM(LB_lb_gas_kWh,LB_rest_gas_kWh)/1000)*0.902</f>
        <v>203.29337332388465</v>
      </c>
      <c r="E5" s="17">
        <f>B17*'E Balans VL '!I25/3.6*1000000/100</f>
        <v>29.6255390102658</v>
      </c>
      <c r="F5" s="17">
        <f>B17*('E Balans VL '!L25/3.6*1000000+'E Balans VL '!N25/3.6*1000000)/100</f>
        <v>8111.5144024761657</v>
      </c>
      <c r="G5" s="18"/>
      <c r="H5" s="17"/>
      <c r="I5" s="17"/>
      <c r="J5" s="17">
        <f>('E Balans VL '!D25+'E Balans VL '!E25)/3.6*1000000*landbouw!B17/100</f>
        <v>353.56260433802976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2350.99288219346</v>
      </c>
      <c r="C8" s="21">
        <f>C5+C6</f>
        <v>0</v>
      </c>
      <c r="D8" s="21">
        <f>MAX((D5+D6),0)</f>
        <v>203.29337332388465</v>
      </c>
      <c r="E8" s="21">
        <f>MAX((E5+E6),0)</f>
        <v>29.6255390102658</v>
      </c>
      <c r="F8" s="21">
        <f>MAX((F5+F6),0)</f>
        <v>8111.5144024761657</v>
      </c>
      <c r="G8" s="21"/>
      <c r="H8" s="21"/>
      <c r="I8" s="21"/>
      <c r="J8" s="21">
        <f>MAX((J5+J6),0)</f>
        <v>353.56260433802976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0.1845611453918147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433.90193914562866</v>
      </c>
      <c r="C12" s="23">
        <f ca="1">C8*C10</f>
        <v>0</v>
      </c>
      <c r="D12" s="23">
        <f>D8*D10</f>
        <v>41.0652614114247</v>
      </c>
      <c r="E12" s="23">
        <f>E8*E10</f>
        <v>6.7249973553303368</v>
      </c>
      <c r="F12" s="23">
        <f>F8*F10</f>
        <v>2165.7743454611364</v>
      </c>
      <c r="G12" s="23"/>
      <c r="H12" s="23"/>
      <c r="I12" s="23"/>
      <c r="J12" s="23">
        <f>J8*J10</f>
        <v>125.16116193566253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0.32788940807151346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306.08004620023678</v>
      </c>
      <c r="C26" s="249">
        <f>B26*'GWP N2O_CH4'!B5</f>
        <v>6427.6809702049723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218.24516931754704</v>
      </c>
      <c r="C27" s="249">
        <f>B27*'GWP N2O_CH4'!B5</f>
        <v>4583.1485556684875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4.6372642343682173</v>
      </c>
      <c r="C28" s="249">
        <f>B28*'GWP N2O_CH4'!B4</f>
        <v>1437.5519126541474</v>
      </c>
      <c r="D28" s="50"/>
    </row>
    <row r="29" spans="1:4">
      <c r="A29" s="41" t="s">
        <v>276</v>
      </c>
      <c r="B29" s="249">
        <f>B34*'ha_N2O bodem landbouw'!B4</f>
        <v>15.064302489710897</v>
      </c>
      <c r="C29" s="249">
        <f>B29*'GWP N2O_CH4'!B4</f>
        <v>4669.9337718103779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3.7614058049691011E-3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5.5453004432017506E-6</v>
      </c>
      <c r="C5" s="444" t="s">
        <v>210</v>
      </c>
      <c r="D5" s="429">
        <f>SUM(D6:D11)</f>
        <v>1.2719262676517558E-5</v>
      </c>
      <c r="E5" s="429">
        <f>SUM(E6:E11)</f>
        <v>4.3419019614791067E-4</v>
      </c>
      <c r="F5" s="442" t="s">
        <v>210</v>
      </c>
      <c r="G5" s="429">
        <f>SUM(G6:G11)</f>
        <v>0.10935592585875996</v>
      </c>
      <c r="H5" s="429">
        <f>SUM(H6:H11)</f>
        <v>2.2633405142754484E-2</v>
      </c>
      <c r="I5" s="444" t="s">
        <v>210</v>
      </c>
      <c r="J5" s="444" t="s">
        <v>210</v>
      </c>
      <c r="K5" s="444" t="s">
        <v>210</v>
      </c>
      <c r="L5" s="444" t="s">
        <v>210</v>
      </c>
      <c r="M5" s="429">
        <f>SUM(M6:M11)</f>
        <v>5.9692779917996496E-3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1.1876807208465E-6</v>
      </c>
      <c r="C6" s="883"/>
      <c r="D6" s="883">
        <f>vkm_GW_PW*SUMIFS(TableVerdeelsleutelVkm[CNG],TableVerdeelsleutelVkm[Voertuigtype],"Lichte voertuigen")*SUMIFS(TableECFTransport[EnergieConsumptieFactor (PJ per km)],TableECFTransport[Index],CONCATENATE($A6,"_CNG_CNG"))</f>
        <v>1.7601074524832444E-6</v>
      </c>
      <c r="E6" s="883">
        <f>vkm_GW_PW*SUMIFS(TableVerdeelsleutelVkm[LPG],TableVerdeelsleutelVkm[Voertuigtype],"Lichte voertuigen")*SUMIFS(TableECFTransport[EnergieConsumptieFactor (PJ per km)],TableECFTransport[Index],CONCATENATE($A6,"_LPG_LPG"))</f>
        <v>6.3040617448527683E-5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1.2687113905216632E-2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3.2411045897854161E-3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7.2058380279900187E-4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5.4644189625760956E-3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1.2696219676259024E-7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2.4672704541202757E-4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4.3576197223552505E-6</v>
      </c>
      <c r="C8" s="883"/>
      <c r="D8" s="432">
        <f>vkm_NGW_PW*SUMIFS(TableVerdeelsleutelVkm[CNG],TableVerdeelsleutelVkm[Voertuigtype],"Lichte voertuigen")*SUMIFS(TableECFTransport[EnergieConsumptieFactor (PJ per km)],TableECFTransport[Index],CONCATENATE($A8,"_CNG_CNG"))</f>
        <v>1.0959155224034313E-5</v>
      </c>
      <c r="E8" s="432">
        <f>vkm_NGW_PW*SUMIFS(TableVerdeelsleutelVkm[LPG],TableVerdeelsleutelVkm[Voertuigtype],"Lichte voertuigen")*SUMIFS(TableECFTransport[EnergieConsumptieFactor (PJ per km)],TableECFTransport[Index],CONCATENATE($A8,"_LPG_LPG"))</f>
        <v>3.7114957869938299E-4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7.0954173681273019E-2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1.9391628237813902E-2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4.0876347214394617E-3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2.0250219309694215E-2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5.453529584045382E-7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9.1433242214915755E-4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1.5403612342227084</v>
      </c>
      <c r="C14" s="21"/>
      <c r="D14" s="21">
        <f t="shared" ref="D14:M14" si="0">((D5)*10^9/3600)+D12</f>
        <v>3.5331285212548771</v>
      </c>
      <c r="E14" s="21">
        <f t="shared" si="0"/>
        <v>120.60838781886407</v>
      </c>
      <c r="F14" s="21"/>
      <c r="G14" s="21">
        <f t="shared" si="0"/>
        <v>30376.646071877763</v>
      </c>
      <c r="H14" s="21">
        <f t="shared" si="0"/>
        <v>6287.0569840984681</v>
      </c>
      <c r="I14" s="21"/>
      <c r="J14" s="21"/>
      <c r="K14" s="21"/>
      <c r="L14" s="21"/>
      <c r="M14" s="21">
        <f t="shared" si="0"/>
        <v>1658.1327754999027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0.1845611453918147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0.28429083370529246</v>
      </c>
      <c r="C18" s="23"/>
      <c r="D18" s="23">
        <f t="shared" ref="D18:M18" si="1">D14*D16</f>
        <v>0.71369196129348522</v>
      </c>
      <c r="E18" s="23">
        <f t="shared" si="1"/>
        <v>27.378104034882146</v>
      </c>
      <c r="F18" s="23"/>
      <c r="G18" s="23">
        <f t="shared" si="1"/>
        <v>8110.564501191363</v>
      </c>
      <c r="H18" s="23">
        <f t="shared" si="1"/>
        <v>1565.4771890405186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4.3698350110230261E-3</v>
      </c>
      <c r="H50" s="321">
        <f t="shared" si="2"/>
        <v>0</v>
      </c>
      <c r="I50" s="321">
        <f t="shared" si="2"/>
        <v>0</v>
      </c>
      <c r="J50" s="321">
        <f t="shared" si="2"/>
        <v>0</v>
      </c>
      <c r="K50" s="321">
        <f t="shared" si="2"/>
        <v>0</v>
      </c>
      <c r="L50" s="321">
        <f t="shared" si="2"/>
        <v>0</v>
      </c>
      <c r="M50" s="321">
        <f t="shared" si="2"/>
        <v>1.9450497147098498E-4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4.3698350110230261E-3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1.9450497147098498E-4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1213.8430586175073</v>
      </c>
      <c r="H54" s="21">
        <f t="shared" si="3"/>
        <v>0</v>
      </c>
      <c r="I54" s="21">
        <f t="shared" si="3"/>
        <v>0</v>
      </c>
      <c r="J54" s="21">
        <f t="shared" si="3"/>
        <v>0</v>
      </c>
      <c r="K54" s="21">
        <f t="shared" si="3"/>
        <v>0</v>
      </c>
      <c r="L54" s="21">
        <f t="shared" si="3"/>
        <v>0</v>
      </c>
      <c r="M54" s="21">
        <f t="shared" si="3"/>
        <v>54.029158741940272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0.1845611453918147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324.09609665087447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3979.1429763176757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6687</v>
      </c>
      <c r="C8" s="556">
        <f>B48</f>
        <v>0</v>
      </c>
      <c r="D8" s="1015"/>
      <c r="E8" s="1015">
        <f>E48</f>
        <v>0</v>
      </c>
      <c r="F8" s="1016"/>
      <c r="G8" s="557"/>
      <c r="H8" s="1015">
        <f>I48</f>
        <v>0</v>
      </c>
      <c r="I8" s="1015">
        <f>G48+F48</f>
        <v>0</v>
      </c>
      <c r="J8" s="1015">
        <f>H48+D48+C48</f>
        <v>7867.0588235294117</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10666.142976317675</v>
      </c>
      <c r="C10" s="569">
        <f t="shared" ref="C10:L10" si="0">SUM(C8:C9)</f>
        <v>0</v>
      </c>
      <c r="D10" s="569">
        <f t="shared" si="0"/>
        <v>0</v>
      </c>
      <c r="E10" s="569">
        <f t="shared" si="0"/>
        <v>0</v>
      </c>
      <c r="F10" s="569">
        <f t="shared" si="0"/>
        <v>0</v>
      </c>
      <c r="G10" s="569">
        <f t="shared" si="0"/>
        <v>0</v>
      </c>
      <c r="H10" s="569">
        <f t="shared" si="0"/>
        <v>0</v>
      </c>
      <c r="I10" s="569">
        <f t="shared" si="0"/>
        <v>0</v>
      </c>
      <c r="J10" s="569">
        <f t="shared" si="0"/>
        <v>7867.0588235294117</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9552.8571428571431</v>
      </c>
      <c r="C17" s="581">
        <f>B49</f>
        <v>0</v>
      </c>
      <c r="D17" s="582"/>
      <c r="E17" s="582">
        <f>E49</f>
        <v>0</v>
      </c>
      <c r="F17" s="1021"/>
      <c r="G17" s="583"/>
      <c r="H17" s="581">
        <f>I49</f>
        <v>0</v>
      </c>
      <c r="I17" s="582">
        <f>G49+F49</f>
        <v>0</v>
      </c>
      <c r="J17" s="582">
        <f>H49+D49+C49</f>
        <v>11238.655462184875</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9552.8571428571431</v>
      </c>
      <c r="C20" s="568">
        <f>SUM(C17:C19)</f>
        <v>0</v>
      </c>
      <c r="D20" s="568">
        <f t="shared" ref="D20:L20" si="1">SUM(D17:D19)</f>
        <v>0</v>
      </c>
      <c r="E20" s="568">
        <f t="shared" si="1"/>
        <v>0</v>
      </c>
      <c r="F20" s="568">
        <f t="shared" si="1"/>
        <v>0</v>
      </c>
      <c r="G20" s="568">
        <f t="shared" si="1"/>
        <v>0</v>
      </c>
      <c r="H20" s="568">
        <f t="shared" si="1"/>
        <v>0</v>
      </c>
      <c r="I20" s="568">
        <f t="shared" si="1"/>
        <v>0</v>
      </c>
      <c r="J20" s="568">
        <f t="shared" si="1"/>
        <v>11238.655462184875</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36012</v>
      </c>
      <c r="C28" s="787">
        <v>8890</v>
      </c>
      <c r="D28" s="640" t="s">
        <v>920</v>
      </c>
      <c r="E28" s="639" t="s">
        <v>921</v>
      </c>
      <c r="F28" s="639" t="s">
        <v>922</v>
      </c>
      <c r="G28" s="639" t="s">
        <v>923</v>
      </c>
      <c r="H28" s="639" t="s">
        <v>924</v>
      </c>
      <c r="I28" s="639" t="s">
        <v>925</v>
      </c>
      <c r="J28" s="786">
        <v>40634</v>
      </c>
      <c r="K28" s="786">
        <v>40634</v>
      </c>
      <c r="L28" s="639" t="s">
        <v>926</v>
      </c>
      <c r="M28" s="639">
        <v>1486</v>
      </c>
      <c r="N28" s="639">
        <v>6687</v>
      </c>
      <c r="O28" s="639">
        <v>9552.8571428571431</v>
      </c>
      <c r="P28" s="639">
        <v>0</v>
      </c>
      <c r="Q28" s="639">
        <v>19105.714285714286</v>
      </c>
      <c r="R28" s="639">
        <v>0</v>
      </c>
      <c r="S28" s="639">
        <v>0</v>
      </c>
      <c r="T28" s="639">
        <v>0</v>
      </c>
      <c r="U28" s="639">
        <v>0</v>
      </c>
      <c r="V28" s="639">
        <v>0</v>
      </c>
      <c r="W28" s="639">
        <v>0</v>
      </c>
      <c r="X28" s="639">
        <v>1500</v>
      </c>
      <c r="Y28" s="639" t="s">
        <v>50</v>
      </c>
      <c r="Z28" s="641" t="s">
        <v>155</v>
      </c>
    </row>
    <row r="29" spans="1:26" s="576" customFormat="1">
      <c r="A29" s="595" t="s">
        <v>279</v>
      </c>
      <c r="B29" s="596"/>
      <c r="C29" s="596"/>
      <c r="D29" s="596"/>
      <c r="E29" s="596"/>
      <c r="F29" s="596"/>
      <c r="G29" s="596"/>
      <c r="H29" s="596"/>
      <c r="I29" s="596"/>
      <c r="J29" s="596"/>
      <c r="K29" s="596"/>
      <c r="L29" s="597"/>
      <c r="M29" s="597">
        <f>SUM(M28:M28)</f>
        <v>1486</v>
      </c>
      <c r="N29" s="597">
        <f>SUM(N28:N28)</f>
        <v>6687</v>
      </c>
      <c r="O29" s="597">
        <f>SUM(O28:O28)</f>
        <v>9552.8571428571431</v>
      </c>
      <c r="P29" s="597">
        <f>SUM(P28:P28)</f>
        <v>0</v>
      </c>
      <c r="Q29" s="597">
        <f>SUM(Q28:Q28)</f>
        <v>19105.714285714286</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1486</v>
      </c>
      <c r="N31" s="597">
        <f ca="1">SUMIF($Z$28:AD28,"tertiair",N28:N28)</f>
        <v>6687</v>
      </c>
      <c r="O31" s="597">
        <f ca="1">SUMIF($Z$28:AE28,"tertiair",O28:O28)</f>
        <v>9552.8571428571431</v>
      </c>
      <c r="P31" s="597">
        <f ca="1">SUMIF($Z$28:AF28,"tertiair",P28:P28)</f>
        <v>0</v>
      </c>
      <c r="Q31" s="597">
        <f ca="1">SUMIF($Z$28:AG28,"tertiair",Q28:Q28)</f>
        <v>19105.714285714286</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7867.0588235294117</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11238.655462184875</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2020-06-20T16:19:45Z</dcterms:modified>
</cp:coreProperties>
</file>