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G10" i="18" s="1"/>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D10" i="18"/>
  <c r="B6" i="18"/>
  <c r="B5" i="18"/>
  <c r="B4" i="18"/>
  <c r="I49" i="18" l="1"/>
  <c r="H17" i="18" s="1"/>
  <c r="G49" i="18"/>
  <c r="C49" i="18"/>
  <c r="F49" i="18"/>
  <c r="B49" i="18"/>
  <c r="C17" i="18" s="1"/>
  <c r="C20" i="18" s="1"/>
  <c r="I48" i="18"/>
  <c r="H8" i="18" s="1"/>
  <c r="H10" i="18" s="1"/>
  <c r="G48" i="18"/>
  <c r="F48" i="18"/>
  <c r="D48" i="18"/>
  <c r="C48" i="18"/>
  <c r="B48" i="18"/>
  <c r="C8" i="18" s="1"/>
  <c r="H48" i="18"/>
  <c r="J8" i="18" s="1"/>
  <c r="J10" i="18" s="1"/>
  <c r="B20" i="18"/>
  <c r="B8" i="18"/>
  <c r="B10" i="18" s="1"/>
  <c r="F20" i="18"/>
  <c r="O18" i="18"/>
  <c r="H20" i="18"/>
  <c r="G20" i="18"/>
  <c r="K20" i="18"/>
  <c r="O19" i="18"/>
  <c r="O9" i="18"/>
  <c r="C1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46" i="14" l="1"/>
  <c r="K61" i="14" s="1"/>
  <c r="K63" i="14" s="1"/>
  <c r="F13" i="14"/>
  <c r="F16" i="14" s="1"/>
  <c r="F27" i="14" s="1"/>
  <c r="E8" i="48"/>
  <c r="E26" i="48" s="1"/>
  <c r="E22" i="16"/>
  <c r="F43" i="14" s="1"/>
  <c r="F46" i="14" s="1"/>
  <c r="F61" i="14" s="1"/>
  <c r="H63" i="14"/>
  <c r="J22" i="16"/>
  <c r="K43" i="14" s="1"/>
  <c r="K13" i="14"/>
  <c r="K16" i="14" s="1"/>
  <c r="K27" i="14" s="1"/>
  <c r="J8" i="48"/>
  <c r="E63" i="14"/>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<sst xmlns="http://schemas.openxmlformats.org/spreadsheetml/2006/main" count="2456" uniqueCount="927">
  <si>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</si>
  <si>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</si>
  <si>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</si>
  <si>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</si>
  <si>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</si>
  <si>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</si>
  <si>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</si>
  <si>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</si>
  <si>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</si>
  <si>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</si>
  <si>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</si>
  <si>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</si>
  <si>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</si>
  <si>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</si>
  <si>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</si>
  <si>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</si>
  <si>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</si>
  <si>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</si>
  <si>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</si>
  <si>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</si>
  <si>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</si>
  <si>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</si>
  <si>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</si>
  <si>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</si>
  <si>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</si>
  <si>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</si>
  <si>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</si>
  <si>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</si>
  <si>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</si>
  <si>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</si>
  <si>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</si>
  <si>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</si>
  <si>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</si>
  <si>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</si>
  <si>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</si>
  <si>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</si>
  <si>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</si>
  <si>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</si>
  <si>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</si>
  <si>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</si>
  <si>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</si>
  <si>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</si>
  <si>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</si>
  <si>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</si>
  <si>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</si>
  <si>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</si>
  <si>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</si>
  <si>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</si>
  <si>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</si>
  <si>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</si>
  <si>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</si>
  <si>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</si>
  <si>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</si>
  <si>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</si>
  <si>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</si>
  <si>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</si>
  <si>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</si>
  <si>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</si>
  <si>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</si>
  <si>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</si>
  <si>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</si>
  <si>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</si>
  <si>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</si>
  <si>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</si>
  <si>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</si>
  <si>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</si>
  <si>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</si>
  <si>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</si>
  <si>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</si>
  <si>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</si>
  <si>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</si>
  <si>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</si>
  <si>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</si>
  <si>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</si>
  <si>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</si>
  <si>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</si>
  <si>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</si>
  <si>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</si>
  <si>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</si>
  <si>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</si>
  <si>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</si>
  <si>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</si>
  <si>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</si>
  <si>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</si>
  <si>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</si>
  <si>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</si>
  <si>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</si>
  <si>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</si>
  <si>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</si>
  <si>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</si>
  <si>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</si>
  <si>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</si>
  <si>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</si>
  <si>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</si>
  <si>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</si>
  <si>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</si>
  <si>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</si>
  <si>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</si>
  <si>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</si>
  <si>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</si>
  <si>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</si>
  <si>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</si>
  <si>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</si>
  <si>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</si>
  <si>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</si>
  <si>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</si>
  <si>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</si>
  <si>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</si>
  <si>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</si>
  <si>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</si>
  <si>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</si>
  <si>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</si>
  <si>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</si>
  <si>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</si>
  <si>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</si>
  <si>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</si>
  <si>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</si>
  <si>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</si>
  <si>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</si>
  <si>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</si>
  <si>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</si>
  <si>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</si>
  <si>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</si>
  <si>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</si>
  <si>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</si>
  <si>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</si>
  <si>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</si>
  <si>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</si>
  <si>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</si>
  <si>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</si>
  <si>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</si>
  <si>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</si>
  <si>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</si>
  <si>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</si>
  <si>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</si>
  <si>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</si>
  <si>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</si>
  <si>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</si>
  <si>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</si>
  <si>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</si>
  <si>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</si>
  <si>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</si>
  <si>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</si>
  <si>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</si>
  <si>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</si>
  <si>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</si>
  <si>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</si>
  <si>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</si>
  <si>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</si>
  <si>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</si>
  <si>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</si>
  <si>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</si>
  <si>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</si>
  <si>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</si>
  <si>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</si>
  <si>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</si>
  <si>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</si>
  <si>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</si>
  <si>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</si>
  <si>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</si>
  <si>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</si>
  <si>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</si>
  <si>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</si>
  <si>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</si>
  <si>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</si>
  <si>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</si>
  <si>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</si>
  <si>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</si>
  <si>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</si>
  <si>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</si>
  <si>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</si>
  <si>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</si>
  <si>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</si>
  <si>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</si>
  <si>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</si>
  <si>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</si>
  <si>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</si>
  <si>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</si>
  <si>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</si>
  <si>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</si>
  <si>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</si>
  <si>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</si>
  <si>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</si>
  <si>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</si>
  <si>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</si>
  <si>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</si>
  <si>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</si>
  <si>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</si>
  <si>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</si>
  <si>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</si>
  <si>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</si>
  <si>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</si>
  <si>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</si>
  <si>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</si>
  <si>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</si>
  <si>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</si>
  <si>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</si>
  <si>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</si>
  <si>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</si>
  <si>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</si>
  <si>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</si>
  <si>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</si>
  <si>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</si>
  <si>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</si>
  <si>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</si>
  <si>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</si>
  <si>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</si>
  <si>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</si>
  <si>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</si>
  <si>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</si>
  <si>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</si>
  <si>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</si>
  <si>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</si>
  <si>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</si>
  <si>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</si>
  <si>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</si>
  <si>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</si>
  <si>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</si>
  <si>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</si>
  <si>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</si>
  <si>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</si>
  <si>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</si>
  <si>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</si>
  <si>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</si>
  <si>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</si>
  <si>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</si>
  <si>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</si>
  <si>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</si>
  <si>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</si>
  <si>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</si>
  <si>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</si>
  <si>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</si>
  <si>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</si>
  <si>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</si>
  <si>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</si>
  <si>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</si>
  <si>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</si>
  <si>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</si>
  <si>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</si>
  <si>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</si>
  <si>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</si>
  <si>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</si>
  <si>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</si>
  <si>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</si>
  <si>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</si>
  <si>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</si>
  <si>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</si>
  <si>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</si>
  <si>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</si>
  <si>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</si>
  <si>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</si>
  <si>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</si>
  <si>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</si>
  <si>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</si>
  <si>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</si>
  <si>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</si>
  <si>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</si>
  <si>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</si>
  <si>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</si>
  <si>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</si>
  <si>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</si>
  <si>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</si>
  <si>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</si>
  <si>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</si>
  <si>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</si>
  <si>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</si>
  <si>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</si>
  <si>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</si>
  <si>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</si>
  <si>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</si>
  <si>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</si>
  <si>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</si>
  <si>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</si>
  <si>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</si>
  <si>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</si>
  <si>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</si>
  <si>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</si>
  <si>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</si>
  <si>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</si>
  <si>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</si>
  <si>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</si>
  <si>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</si>
  <si>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</si>
  <si>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</si>
  <si>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</si>
  <si>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</si>
  <si>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</si>
  <si>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</si>
  <si>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</si>
  <si>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</si>
  <si>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</si>
  <si>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</si>
  <si>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</si>
  <si>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</si>
  <si>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</si>
  <si>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</si>
  <si>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</si>
  <si>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</si>
  <si>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</si>
  <si>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</si>
  <si>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</si>
  <si>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</si>
  <si>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</si>
  <si>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</si>
  <si>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</si>
  <si>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</si>
  <si>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</si>
  <si>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</si>
  <si>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</si>
  <si>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</si>
  <si>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</si>
  <si>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</si>
  <si>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</si>
  <si>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</si>
  <si>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</si>
  <si>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</si>
  <si>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</si>
  <si>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</si>
  <si>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</si>
  <si>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</si>
  <si>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</si>
  <si>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</si>
  <si>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</si>
  <si>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</si>
  <si>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</si>
  <si>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</si>
  <si>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</si>
  <si>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</si>
  <si>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</si>
  <si>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</si>
  <si>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</si>
  <si>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</si>
  <si>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</si>
  <si>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</si>
  <si>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</si>
  <si>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</si>
  <si>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</si>
  <si>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</si>
  <si>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</si>
  <si>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</si>
  <si>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</si>
  <si>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</si>
  <si>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</si>
  <si>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</si>
  <si>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</si>
  <si>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</si>
  <si>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</si>
  <si>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</si>
  <si>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</si>
  <si>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</si>
  <si>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</si>
  <si>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</si>
  <si>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</si>
  <si>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</si>
  <si>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</si>
  <si>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</si>
  <si>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</si>
  <si>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</si>
  <si>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</si>
  <si>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</si>
  <si>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</si>
  <si>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</si>
  <si>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</si>
  <si>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</si>
  <si>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</si>
  <si>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</si>
  <si>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</si>
  <si>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</si>
  <si>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</si>
  <si>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</si>
  <si>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</si>
  <si>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</si>
  <si>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</si>
  <si>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</si>
  <si>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</si>
  <si>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</si>
  <si>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</si>
  <si>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</si>
  <si>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</si>
  <si>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</si>
  <si>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</si>
  <si>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</si>
  <si>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</si>
  <si>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</si>
  <si>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</si>
  <si>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</si>
  <si>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</si>
  <si>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</si>
  <si>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</si>
  <si>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</si>
  <si>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</si>
  <si>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</si>
  <si>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</si>
  <si>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</si>
  <si>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</si>
  <si>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</si>
  <si>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</si>
  <si>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</si>
  <si>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</si>
  <si>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</si>
  <si>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</si>
  <si>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</si>
  <si>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</si>
  <si>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</si>
  <si>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</si>
  <si>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</si>
  <si>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</si>
  <si>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</si>
  <si>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</si>
  <si>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</si>
  <si>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</si>
  <si>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</si>
  <si>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</si>
  <si>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</si>
  <si>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</si>
  <si>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</si>
  <si>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</si>
  <si>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</si>
  <si>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</si>
  <si>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</si>
  <si>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</si>
  <si>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</si>
  <si>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</si>
  <si>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</si>
  <si>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</si>
  <si>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</si>
  <si>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</si>
  <si>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</si>
  <si>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</si>
  <si>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</si>
  <si>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</si>
  <si>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</si>
  <si>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</si>
  <si>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</si>
  <si>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</si>
  <si>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</si>
  <si>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</si>
  <si>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</si>
  <si>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</si>
  <si>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</si>
  <si>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</si>
  <si>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</si>
  <si>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</si>
  <si>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</si>
  <si>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</si>
  <si>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</si>
  <si>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</si>
  <si>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</si>
  <si>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</si>
  <si>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</si>
  <si>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</si>
  <si>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</si>
  <si>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</si>
  <si>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</si>
  <si>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</si>
  <si>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</si>
  <si>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</si>
  <si>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</si>
  <si>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</si>
  <si>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</si>
  <si>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</si>
  <si>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</si>
  <si>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</si>
  <si>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</si>
  <si>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</si>
  <si>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</si>
  <si>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</si>
  <si>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</si>
  <si>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</si>
  <si>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</si>
  <si>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</si>
  <si>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</si>
  <si>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</si>
  <si>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</si>
  <si>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</si>
  <si>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</si>
  <si>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</si>
  <si>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</si>
  <si>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</si>
  <si>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</si>
  <si>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</si>
  <si>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</si>
  <si>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</si>
  <si>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</si>
  <si>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</si>
  <si>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</si>
  <si>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</si>
  <si>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</si>
  <si>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</si>
  <si>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</si>
  <si>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</si>
  <si>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</si>
  <si>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</si>
  <si>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</si>
  <si>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</si>
  <si>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</si>
  <si>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</si>
  <si>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</si>
  <si>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</si>
  <si>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</si>
  <si>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</si>
  <si>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</si>
  <si>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</si>
  <si>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</si>
  <si>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</si>
  <si>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</si>
  <si>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</si>
  <si>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</si>
  <si>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</si>
  <si>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</si>
  <si>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</si>
  <si>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</si>
  <si>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</si>
  <si>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</si>
  <si>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</si>
  <si>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</si>
  <si>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</si>
  <si>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</si>
  <si>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</si>
  <si>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</si>
  <si>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</si>
  <si>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</si>
  <si>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</si>
  <si>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</si>
  <si>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</si>
  <si>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</si>
  <si>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</si>
  <si>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</si>
  <si>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</si>
  <si>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</si>
  <si>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</si>
  <si>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</si>
  <si>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</si>
  <si>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</si>
  <si>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</si>
  <si>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</si>
  <si>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</si>
  <si>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</si>
  <si>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</si>
  <si>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</si>
  <si>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</si>
  <si>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</si>
  <si>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</si>
  <si>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</si>
  <si>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</si>
  <si>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</si>
  <si>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</si>
  <si>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</si>
  <si>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</si>
  <si>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</si>
  <si>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</si>
  <si>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</si>
  <si>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</si>
  <si>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</si>
  <si>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</si>
  <si>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</si>
  <si>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</si>
  <si>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</si>
  <si>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</si>
  <si>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</si>
  <si>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</si>
  <si>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</si>
  <si>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</si>
  <si>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</si>
  <si>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</si>
  <si>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</si>
  <si>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</si>
  <si>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</si>
  <si>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</si>
  <si>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</si>
  <si>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</si>
  <si>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</si>
  <si>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</si>
  <si>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</si>
  <si>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</si>
  <si>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</si>
  <si>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</si>
  <si>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</si>
  <si>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</si>
  <si>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</si>
  <si>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</si>
  <si>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</si>
  <si>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</si>
  <si>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</si>
  <si>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</si>
  <si>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</si>
  <si>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</si>
  <si>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</si>
  <si>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</si>
  <si>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</si>
  <si>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</si>
  <si>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</si>
  <si>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</si>
  <si>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</si>
  <si>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</si>
  <si>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</si>
  <si>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</si>
  <si>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</si>
  <si>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</si>
  <si>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</si>
  <si>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</si>
  <si>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</si>
  <si>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</si>
  <si>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</si>
  <si>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</si>
  <si>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</si>
  <si>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</si>
  <si>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</si>
  <si>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</si>
  <si>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</si>
  <si>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</si>
  <si>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</si>
  <si>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</si>
  <si>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</si>
  <si>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</si>
  <si>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</si>
  <si>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</si>
  <si>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</si>
  <si>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</si>
  <si>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</si>
  <si>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</si>
  <si>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</si>
  <si>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</si>
  <si>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</si>
  <si>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</si>
  <si>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</si>
  <si>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</si>
  <si>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</si>
  <si>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</si>
  <si>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</si>
  <si>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</si>
  <si>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</si>
  <si>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</si>
  <si>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</si>
  <si>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</si>
  <si>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</si>
  <si>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</si>
  <si>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</si>
  <si>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</si>
  <si>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</si>
  <si>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</si>
  <si>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</si>
  <si>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</si>
  <si>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</si>
  <si>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</si>
  <si>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</si>
  <si>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</si>
  <si>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</si>
  <si>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</si>
  <si>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</si>
  <si>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</si>
  <si>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</si>
  <si>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</si>
  <si>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</si>
  <si>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</si>
  <si>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</si>
  <si>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</si>
  <si>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</si>
  <si>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</si>
  <si>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</si>
  <si>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</si>
  <si>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</si>
  <si>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</si>
  <si>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</si>
  <si>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</si>
  <si>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</si>
  <si>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</si>
  <si>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</si>
  <si>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</si>
  <si>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</si>
  <si>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</si>
  <si>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</si>
  <si>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</si>
  <si>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</si>
  <si>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</si>
  <si>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</si>
  <si>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</si>
  <si>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</si>
  <si>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</si>
  <si>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</si>
  <si>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</si>
  <si>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</si>
  <si>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</si>
  <si>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</si>
  <si>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</si>
  <si>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</si>
  <si>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</si>
  <si>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</si>
  <si>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</si>
  <si>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</si>
  <si>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</si>
  <si>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</si>
  <si>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</si>
  <si>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</si>
  <si>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</si>
  <si>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</si>
  <si>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</si>
  <si>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</si>
  <si>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</si>
  <si>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</si>
  <si>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</si>
  <si>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</si>
  <si>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</si>
  <si>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</si>
  <si>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</si>
  <si>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</si>
  <si>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</si>
  <si>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</si>
  <si>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</si>
  <si>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</si>
  <si>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</si>
  <si>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</si>
  <si>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</si>
  <si>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</si>
  <si>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</si>
  <si>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</si>
  <si>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</si>
  <si>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</si>
  <si>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</si>
  <si>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</si>
  <si>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</si>
  <si>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</si>
  <si>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</si>
  <si>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</si>
  <si>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</si>
  <si>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</si>
  <si>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</si>
  <si>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</si>
  <si>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</si>
  <si>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</si>
  <si>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</si>
  <si>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</si>
  <si>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</si>
  <si>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</si>
  <si>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</si>
  <si>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</si>
  <si>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</si>
  <si>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</si>
  <si>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</si>
  <si>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</si>
  <si>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</si>
  <si>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</si>
  <si>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</si>
  <si>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</si>
  <si>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</si>
  <si>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</si>
  <si>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</si>
  <si>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</si>
  <si>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</si>
  <si>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</si>
  <si>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</si>
  <si>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</si>
  <si>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</si>
  <si>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</si>
  <si>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</si>
  <si>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</si>
  <si>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</si>
  <si>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</si>
  <si>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</si>
  <si>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</si>
  <si>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</si>
  <si>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</si>
  <si>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</si>
  <si>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</si>
  <si>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</si>
  <si>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</si>
  <si>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</si>
  <si>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</si>
  <si>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</si>
  <si>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</si>
  <si>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</si>
  <si>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</si>
  <si>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</si>
  <si>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</si>
  <si>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</si>
  <si>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</si>
  <si>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</si>
  <si>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</si>
  <si>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</si>
  <si>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</si>
  <si>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</si>
  <si>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</si>
  <si>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</si>
  <si>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</si>
  <si>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</si>
  <si>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</si>
  <si>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</si>
  <si>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</si>
  <si>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</si>
  <si>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</si>
  <si>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</si>
  <si>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</si>
  <si>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</si>
  <si>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</si>
  <si>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</si>
  <si>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</si>
  <si>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</si>
  <si>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</si>
  <si>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</si>
  <si>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</si>
  <si>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</si>
  <si>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</si>
  <si>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</si>
  <si>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</si>
  <si>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</si>
  <si>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</si>
  <si>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</si>
  <si>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</si>
  <si>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</si>
  <si>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</si>
  <si>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</si>
  <si>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</si>
  <si>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</si>
  <si>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</si>
  <si>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</si>
  <si>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</si>
  <si>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</si>
  <si>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</si>
  <si>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</si>
  <si>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</si>
  <si>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</si>
  <si>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</si>
  <si>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</si>
  <si>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</si>
  <si>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</si>
  <si>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</si>
  <si>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</si>
  <si>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</si>
  <si>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</si>
  <si>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</si>
  <si>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</si>
  <si>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</si>
  <si>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</si>
  <si>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</si>
  <si>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</si>
  <si>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</si>
  <si>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</si>
  <si>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</si>
  <si>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</si>
  <si>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</si>
  <si>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</si>
  <si>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</si>
  <si>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</si>
  <si>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</si>
  <si>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</si>
  <si>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</si>
  <si>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</si>
  <si>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</si>
  <si>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</si>
  <si>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</si>
  <si>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</si>
  <si>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</si>
  <si>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</si>
  <si>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</si>
  <si>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</si>
  <si>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</si>
  <si>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</si>
  <si>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</si>
  <si>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</si>
  <si>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</si>
  <si>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</si>
  <si>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</si>
  <si>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</si>
  <si>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</si>
  <si>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</si>
  <si>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</si>
  <si>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</si>
  <si>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</si>
  <si>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</si>
  <si>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</si>
  <si>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</si>
  <si>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</si>
  <si>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</si>
  <si>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</si>
  <si>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</si>
  <si>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</si>
  <si>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</si>
  <si>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</si>
  <si>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</si>
  <si>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</si>
  <si>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</si>
  <si>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</si>
  <si>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</si>
  <si>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</si>
  <si>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</si>
  <si>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</si>
  <si>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</si>
  <si>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</si>
  <si>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</si>
  <si>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</si>
  <si>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</si>
  <si>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</si>
  <si>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</si>
  <si>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</si>
  <si>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</si>
  <si>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</si>
  <si>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</si>
  <si>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</si>
  <si>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</si>
  <si>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</si>
  <si>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</si>
  <si>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</si>
  <si>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</si>
  <si>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</si>
  <si>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</si>
  <si>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</si>
  <si>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</si>
  <si>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</si>
  <si>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</si>
  <si>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</si>
  <si>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</si>
  <si>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</si>
  <si>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</si>
  <si>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35013</t>
  </si>
  <si>
    <t>OOSTENDE</t>
  </si>
  <si>
    <t>Cultuurgrond (ha)</t>
  </si>
  <si>
    <t>Paarden&amp;pony's 200 - 600 kg</t>
  </si>
  <si>
    <t>Paarden&amp;pony's &lt; 200 kg</t>
  </si>
  <si>
    <t>Fluvius</t>
  </si>
  <si>
    <t>referentietaak LNE (2017); Jaarverslag De Lijn</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</si>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</sst>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459702.86743736529</c:v>
                </c:pt>
                <c:pt idx="1">
                  <c:v>408600.67674257583</c:v>
                </c:pt>
                <c:pt idx="2">
                  <c:v>4166.4315144258098</c:v>
                </c:pt>
                <c:pt idx="3">
                  <c:v>2750.7622456972599</c:v>
                </c:pt>
                <c:pt idx="4">
                  <c:v>194999.56829480568</c:v>
                </c:pt>
                <c:pt idx="5">
                  <c:v>223829.40826457011</c:v>
                </c:pt>
                <c:pt idx="6">
                  <c:v>11486.13812581065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459702.86743736529</c:v>
                </c:pt>
                <c:pt idx="1">
                  <c:v>408600.67674257583</c:v>
                </c:pt>
                <c:pt idx="2">
                  <c:v>4166.4315144258098</c:v>
                </c:pt>
                <c:pt idx="3">
                  <c:v>2750.7622456972599</c:v>
                </c:pt>
                <c:pt idx="4">
                  <c:v>194999.56829480568</c:v>
                </c:pt>
                <c:pt idx="5">
                  <c:v>223829.40826457011</c:v>
                </c:pt>
                <c:pt idx="6">
                  <c:v>11486.13812581065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92088.910324724449</c:v>
                </c:pt>
                <c:pt idx="2">
                  <c:v>83048.965460382635</c:v>
                </c:pt>
                <c:pt idx="3">
                  <c:v>897.72888188899299</c:v>
                </c:pt>
                <c:pt idx="4">
                  <c:v>692.77332992371612</c:v>
                </c:pt>
                <c:pt idx="5">
                  <c:v>41650.736740091685</c:v>
                </c:pt>
                <c:pt idx="6">
                  <c:v>56612.265983505145</c:v>
                </c:pt>
                <c:pt idx="7">
                  <c:v>2865.8971117304377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92088.910324724449</c:v>
                </c:pt>
                <c:pt idx="2">
                  <c:v>83048.965460382635</c:v>
                </c:pt>
                <c:pt idx="3">
                  <c:v>897.72888188899299</c:v>
                </c:pt>
                <c:pt idx="4">
                  <c:v>692.77332992371612</c:v>
                </c:pt>
                <c:pt idx="5">
                  <c:v>41650.736740091685</c:v>
                </c:pt>
                <c:pt idx="6">
                  <c:v>56612.265983505145</c:v>
                </c:pt>
                <c:pt idx="7">
                  <c:v>2865.8971117304377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35013</v>
      </c>
      <c r="B6" s="395"/>
      <c r="C6" s="396"/>
    </row>
    <row r="7" spans="1:7" s="393" customFormat="1" ht="15.75" customHeight="1">
      <c r="A7" s="397" t="str">
        <f>txtMunicipality</f>
        <v>OOSTENDE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0.21546709187003452</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0.21546709187003452</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35742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814</v>
      </c>
      <c r="C14" s="332"/>
      <c r="D14" s="332"/>
      <c r="E14" s="332"/>
      <c r="F14" s="332"/>
    </row>
    <row r="15" spans="1:6">
      <c r="A15" s="1306" t="s">
        <v>183</v>
      </c>
      <c r="B15" s="1307">
        <v>5</v>
      </c>
      <c r="C15" s="332"/>
      <c r="D15" s="332"/>
      <c r="E15" s="332"/>
      <c r="F15" s="332"/>
    </row>
    <row r="16" spans="1:6">
      <c r="A16" s="1306" t="s">
        <v>6</v>
      </c>
      <c r="B16" s="1307">
        <v>239</v>
      </c>
      <c r="C16" s="332"/>
      <c r="D16" s="332"/>
      <c r="E16" s="332"/>
      <c r="F16" s="332"/>
    </row>
    <row r="17" spans="1:6">
      <c r="A17" s="1306" t="s">
        <v>7</v>
      </c>
      <c r="B17" s="1307">
        <v>318</v>
      </c>
      <c r="C17" s="332"/>
      <c r="D17" s="332"/>
      <c r="E17" s="332"/>
      <c r="F17" s="332"/>
    </row>
    <row r="18" spans="1:6">
      <c r="A18" s="1306" t="s">
        <v>8</v>
      </c>
      <c r="B18" s="1307">
        <v>371</v>
      </c>
      <c r="C18" s="332"/>
      <c r="D18" s="332"/>
      <c r="E18" s="332"/>
      <c r="F18" s="332"/>
    </row>
    <row r="19" spans="1:6">
      <c r="A19" s="1306" t="s">
        <v>9</v>
      </c>
      <c r="B19" s="1307">
        <v>305</v>
      </c>
      <c r="C19" s="332"/>
      <c r="D19" s="332"/>
      <c r="E19" s="332"/>
      <c r="F19" s="332"/>
    </row>
    <row r="20" spans="1:6">
      <c r="A20" s="1306" t="s">
        <v>10</v>
      </c>
      <c r="B20" s="1307">
        <v>145</v>
      </c>
      <c r="C20" s="332"/>
      <c r="D20" s="332"/>
      <c r="E20" s="332"/>
      <c r="F20" s="332"/>
    </row>
    <row r="21" spans="1:6">
      <c r="A21" s="1306" t="s">
        <v>11</v>
      </c>
      <c r="B21" s="1307">
        <v>305</v>
      </c>
      <c r="C21" s="332"/>
      <c r="D21" s="332"/>
      <c r="E21" s="332"/>
      <c r="F21" s="332"/>
    </row>
    <row r="22" spans="1:6">
      <c r="A22" s="1306" t="s">
        <v>12</v>
      </c>
      <c r="B22" s="1307">
        <v>1317</v>
      </c>
      <c r="C22" s="332"/>
      <c r="D22" s="332"/>
      <c r="E22" s="332"/>
      <c r="F22" s="332"/>
    </row>
    <row r="23" spans="1:6">
      <c r="A23" s="1306" t="s">
        <v>13</v>
      </c>
      <c r="B23" s="1307">
        <v>29</v>
      </c>
      <c r="C23" s="332"/>
      <c r="D23" s="332"/>
      <c r="E23" s="332"/>
      <c r="F23" s="332"/>
    </row>
    <row r="24" spans="1:6">
      <c r="A24" s="1306" t="s">
        <v>14</v>
      </c>
      <c r="B24" s="1307">
        <v>1</v>
      </c>
      <c r="C24" s="332"/>
      <c r="D24" s="332"/>
      <c r="E24" s="332"/>
      <c r="F24" s="332"/>
    </row>
    <row r="25" spans="1:6">
      <c r="A25" s="1306" t="s">
        <v>15</v>
      </c>
      <c r="B25" s="1307">
        <v>100</v>
      </c>
      <c r="C25" s="332"/>
      <c r="D25" s="332"/>
      <c r="E25" s="332"/>
      <c r="F25" s="332"/>
    </row>
    <row r="26" spans="1:6">
      <c r="A26" s="1306" t="s">
        <v>16</v>
      </c>
      <c r="B26" s="1307">
        <v>138</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62</v>
      </c>
      <c r="C29" s="338"/>
      <c r="D29" s="338"/>
      <c r="E29" s="338"/>
      <c r="F29" s="338"/>
    </row>
    <row r="30" spans="1:6">
      <c r="A30" s="1301" t="s">
        <v>917</v>
      </c>
      <c r="B30" s="1310">
        <v>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8</v>
      </c>
      <c r="D36" s="1307">
        <v>9083678.3323465809</v>
      </c>
      <c r="E36" s="1307">
        <v>30</v>
      </c>
      <c r="F36" s="1307">
        <v>292581.36586762499</v>
      </c>
    </row>
    <row r="37" spans="1:6">
      <c r="A37" s="1306" t="s">
        <v>24</v>
      </c>
      <c r="B37" s="1306" t="s">
        <v>27</v>
      </c>
      <c r="C37" s="1307">
        <v>0</v>
      </c>
      <c r="D37" s="1307">
        <v>0</v>
      </c>
      <c r="E37" s="1307">
        <v>0</v>
      </c>
      <c r="F37" s="1307">
        <v>0</v>
      </c>
    </row>
    <row r="38" spans="1:6">
      <c r="A38" s="1306" t="s">
        <v>24</v>
      </c>
      <c r="B38" s="1306" t="s">
        <v>28</v>
      </c>
      <c r="C38" s="1307">
        <v>3</v>
      </c>
      <c r="D38" s="1307">
        <v>296571.12109465798</v>
      </c>
      <c r="E38" s="1307">
        <v>4</v>
      </c>
      <c r="F38" s="1307">
        <v>46229.766265496</v>
      </c>
    </row>
    <row r="39" spans="1:6">
      <c r="A39" s="1306" t="s">
        <v>29</v>
      </c>
      <c r="B39" s="1306" t="s">
        <v>30</v>
      </c>
      <c r="C39" s="1307">
        <v>25546</v>
      </c>
      <c r="D39" s="1307">
        <v>330707506.13422799</v>
      </c>
      <c r="E39" s="1307">
        <v>43617</v>
      </c>
      <c r="F39" s="1307">
        <v>139982358.475137</v>
      </c>
    </row>
    <row r="40" spans="1:6">
      <c r="A40" s="1306" t="s">
        <v>29</v>
      </c>
      <c r="B40" s="1306" t="s">
        <v>28</v>
      </c>
      <c r="C40" s="1307">
        <v>1</v>
      </c>
      <c r="D40" s="1307">
        <v>3798.0669002364002</v>
      </c>
      <c r="E40" s="1307">
        <v>3</v>
      </c>
      <c r="F40" s="1307">
        <v>14792.1246015018</v>
      </c>
    </row>
    <row r="41" spans="1:6">
      <c r="A41" s="1306" t="s">
        <v>31</v>
      </c>
      <c r="B41" s="1306" t="s">
        <v>32</v>
      </c>
      <c r="C41" s="1307">
        <v>288</v>
      </c>
      <c r="D41" s="1307">
        <v>6353455.0886204299</v>
      </c>
      <c r="E41" s="1307">
        <v>629</v>
      </c>
      <c r="F41" s="1307">
        <v>14032198.4588925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19</v>
      </c>
      <c r="D44" s="1307">
        <v>17650391.254836001</v>
      </c>
      <c r="E44" s="1307">
        <v>57</v>
      </c>
      <c r="F44" s="1307">
        <v>13797637.931962401</v>
      </c>
    </row>
    <row r="45" spans="1:6">
      <c r="A45" s="1306" t="s">
        <v>31</v>
      </c>
      <c r="B45" s="1306" t="s">
        <v>36</v>
      </c>
      <c r="C45" s="1307">
        <v>0</v>
      </c>
      <c r="D45" s="1307">
        <v>0</v>
      </c>
      <c r="E45" s="1307">
        <v>3</v>
      </c>
      <c r="F45" s="1307">
        <v>958215.67652185995</v>
      </c>
    </row>
    <row r="46" spans="1:6">
      <c r="A46" s="1306" t="s">
        <v>31</v>
      </c>
      <c r="B46" s="1306" t="s">
        <v>37</v>
      </c>
      <c r="C46" s="1307">
        <v>0</v>
      </c>
      <c r="D46" s="1307">
        <v>0</v>
      </c>
      <c r="E46" s="1307">
        <v>0</v>
      </c>
      <c r="F46" s="1307">
        <v>0</v>
      </c>
    </row>
    <row r="47" spans="1:6">
      <c r="A47" s="1306" t="s">
        <v>31</v>
      </c>
      <c r="B47" s="1306" t="s">
        <v>38</v>
      </c>
      <c r="C47" s="1307">
        <v>10</v>
      </c>
      <c r="D47" s="1307">
        <v>755728.79204131104</v>
      </c>
      <c r="E47" s="1307">
        <v>15</v>
      </c>
      <c r="F47" s="1307">
        <v>1399616.1502829101</v>
      </c>
    </row>
    <row r="48" spans="1:6">
      <c r="A48" s="1306" t="s">
        <v>31</v>
      </c>
      <c r="B48" s="1306" t="s">
        <v>28</v>
      </c>
      <c r="C48" s="1307">
        <v>34</v>
      </c>
      <c r="D48" s="1307">
        <v>40974041.200704098</v>
      </c>
      <c r="E48" s="1307">
        <v>57</v>
      </c>
      <c r="F48" s="1307">
        <v>21940601.515435498</v>
      </c>
    </row>
    <row r="49" spans="1:6">
      <c r="A49" s="1306" t="s">
        <v>31</v>
      </c>
      <c r="B49" s="1306" t="s">
        <v>39</v>
      </c>
      <c r="C49" s="1307">
        <v>3</v>
      </c>
      <c r="D49" s="1307">
        <v>313213.572637223</v>
      </c>
      <c r="E49" s="1307">
        <v>7</v>
      </c>
      <c r="F49" s="1307">
        <v>87202.430562630907</v>
      </c>
    </row>
    <row r="50" spans="1:6">
      <c r="A50" s="1306" t="s">
        <v>31</v>
      </c>
      <c r="B50" s="1306" t="s">
        <v>40</v>
      </c>
      <c r="C50" s="1307">
        <v>51</v>
      </c>
      <c r="D50" s="1307">
        <v>15658690.182266301</v>
      </c>
      <c r="E50" s="1307">
        <v>81</v>
      </c>
      <c r="F50" s="1307">
        <v>14733703.9547102</v>
      </c>
    </row>
    <row r="51" spans="1:6">
      <c r="A51" s="1306" t="s">
        <v>41</v>
      </c>
      <c r="B51" s="1306" t="s">
        <v>42</v>
      </c>
      <c r="C51" s="1307">
        <v>8</v>
      </c>
      <c r="D51" s="1307">
        <v>176447.67839554499</v>
      </c>
      <c r="E51" s="1307">
        <v>50</v>
      </c>
      <c r="F51" s="1307">
        <v>211305.49548239601</v>
      </c>
    </row>
    <row r="52" spans="1:6">
      <c r="A52" s="1306" t="s">
        <v>41</v>
      </c>
      <c r="B52" s="1306" t="s">
        <v>28</v>
      </c>
      <c r="C52" s="1307">
        <v>12</v>
      </c>
      <c r="D52" s="1307">
        <v>185286.03228007499</v>
      </c>
      <c r="E52" s="1307">
        <v>14</v>
      </c>
      <c r="F52" s="1307">
        <v>314242.32117626403</v>
      </c>
    </row>
    <row r="53" spans="1:6">
      <c r="A53" s="1306" t="s">
        <v>43</v>
      </c>
      <c r="B53" s="1306" t="s">
        <v>44</v>
      </c>
      <c r="C53" s="1307">
        <v>1273</v>
      </c>
      <c r="D53" s="1307">
        <v>32214005.6777106</v>
      </c>
      <c r="E53" s="1307">
        <v>3001</v>
      </c>
      <c r="F53" s="1307">
        <v>9945962.8599561993</v>
      </c>
    </row>
    <row r="54" spans="1:6">
      <c r="A54" s="1306" t="s">
        <v>45</v>
      </c>
      <c r="B54" s="1306" t="s">
        <v>46</v>
      </c>
      <c r="C54" s="1307">
        <v>0</v>
      </c>
      <c r="D54" s="1307">
        <v>0</v>
      </c>
      <c r="E54" s="1307">
        <v>154</v>
      </c>
      <c r="F54" s="1307">
        <v>4166431.51442581</v>
      </c>
    </row>
    <row r="55" spans="1:6">
      <c r="A55" s="1306" t="s">
        <v>45</v>
      </c>
      <c r="B55" s="1306" t="s">
        <v>28</v>
      </c>
      <c r="C55" s="1307">
        <v>0</v>
      </c>
      <c r="D55" s="1307">
        <v>0</v>
      </c>
      <c r="E55" s="1307">
        <v>0</v>
      </c>
      <c r="F55" s="1307">
        <v>0</v>
      </c>
    </row>
    <row r="56" spans="1:6">
      <c r="A56" s="1306" t="s">
        <v>47</v>
      </c>
      <c r="B56" s="1306" t="s">
        <v>28</v>
      </c>
      <c r="C56" s="1307">
        <v>0</v>
      </c>
      <c r="D56" s="1307">
        <v>0</v>
      </c>
      <c r="E56" s="1307">
        <v>1</v>
      </c>
      <c r="F56" s="1307">
        <v>23228</v>
      </c>
    </row>
    <row r="57" spans="1:6">
      <c r="A57" s="1306" t="s">
        <v>48</v>
      </c>
      <c r="B57" s="1306" t="s">
        <v>49</v>
      </c>
      <c r="C57" s="1307">
        <v>210</v>
      </c>
      <c r="D57" s="1307">
        <v>17235148.506967001</v>
      </c>
      <c r="E57" s="1307">
        <v>701</v>
      </c>
      <c r="F57" s="1307">
        <v>26513870.0564433</v>
      </c>
    </row>
    <row r="58" spans="1:6">
      <c r="A58" s="1306" t="s">
        <v>48</v>
      </c>
      <c r="B58" s="1306" t="s">
        <v>50</v>
      </c>
      <c r="C58" s="1307">
        <v>157</v>
      </c>
      <c r="D58" s="1307">
        <v>29598378.5987413</v>
      </c>
      <c r="E58" s="1307">
        <v>241</v>
      </c>
      <c r="F58" s="1307">
        <v>10944857.9904793</v>
      </c>
    </row>
    <row r="59" spans="1:6">
      <c r="A59" s="1306" t="s">
        <v>48</v>
      </c>
      <c r="B59" s="1306" t="s">
        <v>51</v>
      </c>
      <c r="C59" s="1307">
        <v>639</v>
      </c>
      <c r="D59" s="1307">
        <v>24133417.620063901</v>
      </c>
      <c r="E59" s="1307">
        <v>1396</v>
      </c>
      <c r="F59" s="1307">
        <v>44385084.123744503</v>
      </c>
    </row>
    <row r="60" spans="1:6">
      <c r="A60" s="1306" t="s">
        <v>48</v>
      </c>
      <c r="B60" s="1306" t="s">
        <v>52</v>
      </c>
      <c r="C60" s="1307">
        <v>476</v>
      </c>
      <c r="D60" s="1307">
        <v>33266713.246492699</v>
      </c>
      <c r="E60" s="1307">
        <v>671</v>
      </c>
      <c r="F60" s="1307">
        <v>25176796.035657998</v>
      </c>
    </row>
    <row r="61" spans="1:6">
      <c r="A61" s="1306" t="s">
        <v>48</v>
      </c>
      <c r="B61" s="1306" t="s">
        <v>53</v>
      </c>
      <c r="C61" s="1307">
        <v>1055</v>
      </c>
      <c r="D61" s="1307">
        <v>87998733.038285598</v>
      </c>
      <c r="E61" s="1307">
        <v>3065</v>
      </c>
      <c r="F61" s="1307">
        <v>45324126.422860801</v>
      </c>
    </row>
    <row r="62" spans="1:6">
      <c r="A62" s="1306" t="s">
        <v>48</v>
      </c>
      <c r="B62" s="1306" t="s">
        <v>54</v>
      </c>
      <c r="C62" s="1307">
        <v>43</v>
      </c>
      <c r="D62" s="1307">
        <v>8406604.1364194695</v>
      </c>
      <c r="E62" s="1307">
        <v>64</v>
      </c>
      <c r="F62" s="1307">
        <v>3889492.0637052599</v>
      </c>
    </row>
    <row r="63" spans="1:6">
      <c r="A63" s="1306" t="s">
        <v>48</v>
      </c>
      <c r="B63" s="1306" t="s">
        <v>28</v>
      </c>
      <c r="C63" s="1307">
        <v>99</v>
      </c>
      <c r="D63" s="1307">
        <v>15476356.870322799</v>
      </c>
      <c r="E63" s="1307">
        <v>76</v>
      </c>
      <c r="F63" s="1307">
        <v>2487718.7765117302</v>
      </c>
    </row>
    <row r="64" spans="1:6">
      <c r="A64" s="1306" t="s">
        <v>55</v>
      </c>
      <c r="B64" s="1306" t="s">
        <v>56</v>
      </c>
      <c r="C64" s="1307">
        <v>0</v>
      </c>
      <c r="D64" s="1307">
        <v>0</v>
      </c>
      <c r="E64" s="1307">
        <v>0</v>
      </c>
      <c r="F64" s="1307">
        <v>0</v>
      </c>
    </row>
    <row r="65" spans="1:6">
      <c r="A65" s="1306" t="s">
        <v>55</v>
      </c>
      <c r="B65" s="1306" t="s">
        <v>28</v>
      </c>
      <c r="C65" s="1307">
        <v>5</v>
      </c>
      <c r="D65" s="1307">
        <v>146963.40999725499</v>
      </c>
      <c r="E65" s="1307">
        <v>6</v>
      </c>
      <c r="F65" s="1307">
        <v>179197.415576197</v>
      </c>
    </row>
    <row r="66" spans="1:6">
      <c r="A66" s="1306" t="s">
        <v>55</v>
      </c>
      <c r="B66" s="1306" t="s">
        <v>57</v>
      </c>
      <c r="C66" s="1307">
        <v>0</v>
      </c>
      <c r="D66" s="1307">
        <v>0</v>
      </c>
      <c r="E66" s="1307">
        <v>4</v>
      </c>
      <c r="F66" s="1307">
        <v>15450.4718784582</v>
      </c>
    </row>
    <row r="67" spans="1:6">
      <c r="A67" s="1308" t="s">
        <v>55</v>
      </c>
      <c r="B67" s="1308" t="s">
        <v>58</v>
      </c>
      <c r="C67" s="1307">
        <v>0</v>
      </c>
      <c r="D67" s="1307">
        <v>0</v>
      </c>
      <c r="E67" s="1307">
        <v>0</v>
      </c>
      <c r="F67" s="1307">
        <v>0</v>
      </c>
    </row>
    <row r="68" spans="1:6">
      <c r="A68" s="1301" t="s">
        <v>55</v>
      </c>
      <c r="B68" s="1301" t="s">
        <v>59</v>
      </c>
      <c r="C68" s="1310">
        <v>14</v>
      </c>
      <c r="D68" s="1310">
        <v>1421139.3260518201</v>
      </c>
      <c r="E68" s="1310">
        <v>34</v>
      </c>
      <c r="F68" s="1310">
        <v>1398076.1104822999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136559411</v>
      </c>
      <c r="E73" s="456"/>
      <c r="F73" s="332"/>
    </row>
    <row r="74" spans="1:6">
      <c r="A74" s="1306" t="s">
        <v>63</v>
      </c>
      <c r="B74" s="1306" t="s">
        <v>724</v>
      </c>
      <c r="C74" s="1320" t="s">
        <v>725</v>
      </c>
      <c r="D74" s="1321">
        <v>15712207.427497294</v>
      </c>
      <c r="E74" s="456"/>
      <c r="F74" s="332"/>
    </row>
    <row r="75" spans="1:6">
      <c r="A75" s="1306" t="s">
        <v>64</v>
      </c>
      <c r="B75" s="1306" t="s">
        <v>722</v>
      </c>
      <c r="C75" s="1320" t="s">
        <v>726</v>
      </c>
      <c r="D75" s="1321">
        <v>46678810</v>
      </c>
      <c r="E75" s="456"/>
      <c r="F75" s="332"/>
    </row>
    <row r="76" spans="1:6">
      <c r="A76" s="1306" t="s">
        <v>64</v>
      </c>
      <c r="B76" s="1306" t="s">
        <v>724</v>
      </c>
      <c r="C76" s="1320" t="s">
        <v>727</v>
      </c>
      <c r="D76" s="1321">
        <v>5426037.4274972938</v>
      </c>
      <c r="E76" s="456"/>
      <c r="F76" s="332"/>
    </row>
    <row r="77" spans="1:6">
      <c r="A77" s="1306" t="s">
        <v>65</v>
      </c>
      <c r="B77" s="1306" t="s">
        <v>722</v>
      </c>
      <c r="C77" s="1320" t="s">
        <v>728</v>
      </c>
      <c r="D77" s="1321">
        <v>43051759</v>
      </c>
      <c r="E77" s="456"/>
      <c r="F77" s="332"/>
    </row>
    <row r="78" spans="1:6">
      <c r="A78" s="1301" t="s">
        <v>65</v>
      </c>
      <c r="B78" s="1301" t="s">
        <v>724</v>
      </c>
      <c r="C78" s="1301" t="s">
        <v>729</v>
      </c>
      <c r="D78" s="1322">
        <v>2075277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2576631.1450054129</v>
      </c>
      <c r="C83" s="456"/>
      <c r="D83" s="332"/>
      <c r="E83" s="332"/>
      <c r="F83" s="332"/>
    </row>
    <row r="84" spans="1:6">
      <c r="A84" s="1301" t="s">
        <v>336</v>
      </c>
      <c r="B84" s="1322">
        <v>496043.40525397443</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4637.7010959313902</v>
      </c>
      <c r="C91" s="332"/>
      <c r="D91" s="332"/>
      <c r="E91" s="332"/>
      <c r="F91" s="332"/>
    </row>
    <row r="92" spans="1:6">
      <c r="A92" s="1301" t="s">
        <v>68</v>
      </c>
      <c r="B92" s="1302">
        <v>5066.8553024421544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18029</v>
      </c>
      <c r="C97" s="332"/>
      <c r="D97" s="332"/>
      <c r="E97" s="332"/>
      <c r="F97" s="332"/>
    </row>
    <row r="98" spans="1:6">
      <c r="A98" s="1306" t="s">
        <v>71</v>
      </c>
      <c r="B98" s="1307">
        <v>6</v>
      </c>
      <c r="C98" s="332"/>
      <c r="D98" s="332"/>
      <c r="E98" s="332"/>
      <c r="F98" s="332"/>
    </row>
    <row r="99" spans="1:6">
      <c r="A99" s="1306" t="s">
        <v>72</v>
      </c>
      <c r="B99" s="1307">
        <v>78</v>
      </c>
      <c r="C99" s="332"/>
      <c r="D99" s="332"/>
      <c r="E99" s="332"/>
      <c r="F99" s="332"/>
    </row>
    <row r="100" spans="1:6">
      <c r="A100" s="1306" t="s">
        <v>73</v>
      </c>
      <c r="B100" s="1307">
        <v>5998</v>
      </c>
      <c r="C100" s="332"/>
      <c r="D100" s="332"/>
      <c r="E100" s="332"/>
      <c r="F100" s="332"/>
    </row>
    <row r="101" spans="1:6">
      <c r="A101" s="1306" t="s">
        <v>74</v>
      </c>
      <c r="B101" s="1307">
        <v>100</v>
      </c>
      <c r="C101" s="332"/>
      <c r="D101" s="332"/>
      <c r="E101" s="332"/>
      <c r="F101" s="332"/>
    </row>
    <row r="102" spans="1:6">
      <c r="A102" s="1306" t="s">
        <v>75</v>
      </c>
      <c r="B102" s="1307">
        <v>847</v>
      </c>
      <c r="C102" s="332"/>
      <c r="D102" s="332"/>
      <c r="E102" s="332"/>
      <c r="F102" s="332"/>
    </row>
    <row r="103" spans="1:6">
      <c r="A103" s="1306" t="s">
        <v>76</v>
      </c>
      <c r="B103" s="1307">
        <v>301</v>
      </c>
      <c r="C103" s="332"/>
      <c r="D103" s="332"/>
      <c r="E103" s="332"/>
      <c r="F103" s="332"/>
    </row>
    <row r="104" spans="1:6">
      <c r="A104" s="1306" t="s">
        <v>77</v>
      </c>
      <c r="B104" s="1307">
        <v>6677</v>
      </c>
      <c r="C104" s="332"/>
      <c r="D104" s="332"/>
      <c r="E104" s="332"/>
      <c r="F104" s="332"/>
    </row>
    <row r="105" spans="1:6">
      <c r="A105" s="1301" t="s">
        <v>78</v>
      </c>
      <c r="B105" s="1310">
        <v>29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28</v>
      </c>
      <c r="C123" s="1307">
        <v>17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139</v>
      </c>
      <c r="C129" s="332"/>
      <c r="D129" s="332"/>
      <c r="E129" s="332"/>
      <c r="F129" s="332"/>
    </row>
    <row r="130" spans="1:6">
      <c r="A130" s="1306" t="s">
        <v>294</v>
      </c>
      <c r="B130" s="1307">
        <v>3</v>
      </c>
      <c r="C130" s="332"/>
      <c r="D130" s="332"/>
      <c r="E130" s="332"/>
      <c r="F130" s="332"/>
    </row>
    <row r="131" spans="1:6">
      <c r="A131" s="1306" t="s">
        <v>295</v>
      </c>
      <c r="B131" s="1307">
        <v>13</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386950.4653818662</v>
      </c>
      <c r="C3" s="43" t="s">
        <v>169</v>
      </c>
      <c r="D3" s="43"/>
      <c r="E3" s="156"/>
      <c r="F3" s="43"/>
      <c r="G3" s="43"/>
      <c r="H3" s="43"/>
      <c r="I3" s="43"/>
      <c r="J3" s="43"/>
      <c r="K3" s="96"/>
    </row>
    <row r="4" spans="1:11">
      <c r="A4" s="363" t="s">
        <v>170</v>
      </c>
      <c r="B4" s="49">
        <f>IF(ISERROR('SEAP template'!B78+'SEAP template'!C78),0,'SEAP template'!B78+'SEAP template'!C78)</f>
        <v>9929.5563983735447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53.470588235294116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0.21546709187003452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76.386554621848759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321.42857142857144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4166.4315144258098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4166.4315144258098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0.21546709187003452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897.72888188899299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139997.1505997385</v>
      </c>
      <c r="C5" s="17">
        <f>IF(ISERROR('Eigen informatie GS &amp; warmtenet'!B57),0,'Eigen informatie GS &amp; warmtenet'!B57)</f>
        <v>0</v>
      </c>
      <c r="D5" s="30">
        <f>(SUM(HH_hh_gas_kWh,HH_rest_gas_kWh)/1000)*0.902</f>
        <v>298301.59638941771</v>
      </c>
      <c r="E5" s="17">
        <f>B46*B57</f>
        <v>2942.453639393595</v>
      </c>
      <c r="F5" s="17">
        <f>B51*B62</f>
        <v>0</v>
      </c>
      <c r="G5" s="18"/>
      <c r="H5" s="17"/>
      <c r="I5" s="17"/>
      <c r="J5" s="17">
        <f>B50*B61+C50*C61</f>
        <v>0</v>
      </c>
      <c r="K5" s="17"/>
      <c r="L5" s="17"/>
      <c r="M5" s="17"/>
      <c r="N5" s="17">
        <f>B48*B59+C48*C59</f>
        <v>12912.752379550788</v>
      </c>
      <c r="O5" s="17">
        <f>B69*B70*B71</f>
        <v>243.88000000000002</v>
      </c>
      <c r="P5" s="17">
        <f>B77*B78*B79/1000-B77*B78*B79/1000/B80</f>
        <v>667.33333333333337</v>
      </c>
    </row>
    <row r="6" spans="1:16">
      <c r="A6" s="16" t="s">
        <v>633</v>
      </c>
      <c r="B6" s="779">
        <f>kWh_PV_kleiner_dan_10kW</f>
        <v>4637.7010959313902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144634.85169566987</v>
      </c>
      <c r="C8" s="21">
        <f>C5</f>
        <v>0</v>
      </c>
      <c r="D8" s="21">
        <f>D5</f>
        <v>298301.59638941771</v>
      </c>
      <c r="E8" s="21">
        <f>E5</f>
        <v>2942.453639393595</v>
      </c>
      <c r="F8" s="21">
        <f>F5</f>
        <v>0</v>
      </c>
      <c r="G8" s="21"/>
      <c r="H8" s="21"/>
      <c r="I8" s="21"/>
      <c r="J8" s="21">
        <f>J5</f>
        <v>0</v>
      </c>
      <c r="K8" s="21"/>
      <c r="L8" s="21">
        <f>L5</f>
        <v>0</v>
      </c>
      <c r="M8" s="21">
        <f>M5</f>
        <v>0</v>
      </c>
      <c r="N8" s="21">
        <f>N5</f>
        <v>12912.752379550788</v>
      </c>
      <c r="O8" s="21">
        <f>O5</f>
        <v>243.88000000000002</v>
      </c>
      <c r="P8" s="21">
        <f>P5</f>
        <v>667.33333333333337</v>
      </c>
    </row>
    <row r="9" spans="1:16">
      <c r="B9" s="19"/>
      <c r="C9" s="19"/>
      <c r="D9" s="261"/>
      <c r="E9" s="19"/>
      <c r="F9" s="19"/>
      <c r="G9" s="19"/>
      <c r="H9" s="19"/>
      <c r="I9" s="19"/>
      <c r="J9" s="19"/>
      <c r="K9" s="19"/>
      <c r="L9" s="19"/>
      <c r="M9" s="19"/>
      <c r="N9" s="19"/>
      <c r="O9" s="19"/>
      <c r="P9" s="19"/>
    </row>
    <row r="10" spans="1:16">
      <c r="A10" s="24" t="s">
        <v>213</v>
      </c>
      <c r="B10" s="25">
        <f ca="1">'EF ele_warmte'!B12</f>
        <v>0.21546709187003452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31164.050877919719</v>
      </c>
      <c r="C12" s="23">
        <f ca="1">C10*C8</f>
        <v>0</v>
      </c>
      <c r="D12" s="23">
        <f>D8*D10</f>
        <v>60256.922470662379</v>
      </c>
      <c r="E12" s="23">
        <f>E10*E8</f>
        <v>667.93697614234611</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18029</v>
      </c>
      <c r="C18" s="168" t="s">
        <v>110</v>
      </c>
      <c r="D18" s="230"/>
      <c r="E18" s="15"/>
    </row>
    <row r="19" spans="1:7">
      <c r="A19" s="173" t="s">
        <v>71</v>
      </c>
      <c r="B19" s="37">
        <f>aantalw2001_ander</f>
        <v>6</v>
      </c>
      <c r="C19" s="168" t="s">
        <v>110</v>
      </c>
      <c r="D19" s="231"/>
      <c r="E19" s="15"/>
    </row>
    <row r="20" spans="1:7">
      <c r="A20" s="173" t="s">
        <v>72</v>
      </c>
      <c r="B20" s="37">
        <f>aantalw2001_propaan</f>
        <v>78</v>
      </c>
      <c r="C20" s="169">
        <f>IF(ISERROR(B20/SUM($B$20,$B$21,$B$22)*100),0,B20/SUM($B$20,$B$21,$B$22)*100)</f>
        <v>1.2629533678756477</v>
      </c>
      <c r="D20" s="231"/>
      <c r="E20" s="15"/>
    </row>
    <row r="21" spans="1:7">
      <c r="A21" s="173" t="s">
        <v>73</v>
      </c>
      <c r="B21" s="37">
        <f>aantalw2001_elektriciteit</f>
        <v>5998</v>
      </c>
      <c r="C21" s="169">
        <f>IF(ISERROR(B21/SUM($B$20,$B$21,$B$22)*100),0,B21/SUM($B$20,$B$21,$B$22)*100)</f>
        <v>97.117875647668399</v>
      </c>
      <c r="D21" s="231"/>
      <c r="E21" s="15"/>
    </row>
    <row r="22" spans="1:7">
      <c r="A22" s="173" t="s">
        <v>74</v>
      </c>
      <c r="B22" s="37">
        <f>aantalw2001_hout</f>
        <v>100</v>
      </c>
      <c r="C22" s="169">
        <f>IF(ISERROR(B22/SUM($B$20,$B$21,$B$22)*100),0,B22/SUM($B$20,$B$21,$B$22)*100)</f>
        <v>1.6191709844559583</v>
      </c>
      <c r="D22" s="231"/>
      <c r="E22" s="15"/>
    </row>
    <row r="23" spans="1:7">
      <c r="A23" s="173" t="s">
        <v>75</v>
      </c>
      <c r="B23" s="37">
        <f>aantalw2001_niet_gespec</f>
        <v>847</v>
      </c>
      <c r="C23" s="168" t="s">
        <v>110</v>
      </c>
      <c r="D23" s="230"/>
      <c r="E23" s="15"/>
    </row>
    <row r="24" spans="1:7">
      <c r="A24" s="173" t="s">
        <v>76</v>
      </c>
      <c r="B24" s="37">
        <f>aantalw2001_steenkool</f>
        <v>301</v>
      </c>
      <c r="C24" s="168" t="s">
        <v>110</v>
      </c>
      <c r="D24" s="231"/>
      <c r="E24" s="15"/>
    </row>
    <row r="25" spans="1:7">
      <c r="A25" s="173" t="s">
        <v>77</v>
      </c>
      <c r="B25" s="37">
        <f>aantalw2001_stookolie</f>
        <v>6677</v>
      </c>
      <c r="C25" s="168" t="s">
        <v>110</v>
      </c>
      <c r="D25" s="230"/>
      <c r="E25" s="52"/>
    </row>
    <row r="26" spans="1:7">
      <c r="A26" s="173" t="s">
        <v>78</v>
      </c>
      <c r="B26" s="37">
        <f>aantalw2001_WP</f>
        <v>29</v>
      </c>
      <c r="C26" s="168" t="s">
        <v>110</v>
      </c>
      <c r="D26" s="230"/>
      <c r="E26" s="15"/>
    </row>
    <row r="27" spans="1:7" s="15" customFormat="1">
      <c r="A27" s="173"/>
      <c r="B27" s="29"/>
      <c r="C27" s="36"/>
      <c r="D27" s="230"/>
    </row>
    <row r="28" spans="1:7" s="15" customFormat="1">
      <c r="A28" s="232" t="s">
        <v>742</v>
      </c>
      <c r="B28" s="37">
        <f>aantalHuishoudens</f>
        <v>35742</v>
      </c>
      <c r="C28" s="36"/>
      <c r="D28" s="230"/>
    </row>
    <row r="29" spans="1:7" s="15" customFormat="1">
      <c r="A29" s="232" t="s">
        <v>743</v>
      </c>
      <c r="B29" s="37">
        <f>SUM(HH_hh_gas_aantal,HH_rest_gas_aantal)</f>
        <v>25547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25547</v>
      </c>
      <c r="C32" s="169">
        <f>IF(ISERROR(B32/SUM($B$32,$B$34,$B$35,$B$36,$B$38,$B$39)*100),0,B32/SUM($B$32,$B$34,$B$35,$B$36,$B$38,$B$39)*100)</f>
        <v>71.54619542386645</v>
      </c>
      <c r="D32" s="235"/>
      <c r="G32" s="15"/>
    </row>
    <row r="33" spans="1:7">
      <c r="A33" s="173" t="s">
        <v>71</v>
      </c>
      <c r="B33" s="34" t="s">
        <v>110</v>
      </c>
      <c r="C33" s="169"/>
      <c r="D33" s="235"/>
      <c r="G33" s="15"/>
    </row>
    <row r="34" spans="1:7">
      <c r="A34" s="173" t="s">
        <v>72</v>
      </c>
      <c r="B34" s="33">
        <f>IF((($B$28-$B$32-$B$39-$B$77-$B$38)*C20/100)&lt;0,0,($B$28-$B$32-$B$39-$B$77-$B$38)*C20/100)</f>
        <v>128.31606217616581</v>
      </c>
      <c r="C34" s="169">
        <f>IF(ISERROR(B34/SUM($B$32,$B$34,$B$35,$B$36,$B$38,$B$39)*100),0,B34/SUM($B$32,$B$34,$B$35,$B$36,$B$38,$B$39)*100)</f>
        <v>0.35935828318303359</v>
      </c>
      <c r="D34" s="235"/>
      <c r="G34" s="15"/>
    </row>
    <row r="35" spans="1:7">
      <c r="A35" s="173" t="s">
        <v>73</v>
      </c>
      <c r="B35" s="33">
        <f>IF((($B$28-$B$32-$B$39-$B$77-$B$38)*C21/100)&lt;0,0,($B$28-$B$32-$B$39-$B$77-$B$38)*C21/100)</f>
        <v>9867.1761658031101</v>
      </c>
      <c r="C35" s="169">
        <f>IF(ISERROR(B35/SUM($B$32,$B$34,$B$35,$B$36,$B$38,$B$39)*100),0,B35/SUM($B$32,$B$34,$B$35,$B$36,$B$38,$B$39)*100)</f>
        <v>27.633730545279938</v>
      </c>
      <c r="D35" s="235"/>
      <c r="G35" s="15"/>
    </row>
    <row r="36" spans="1:7">
      <c r="A36" s="173" t="s">
        <v>74</v>
      </c>
      <c r="B36" s="33">
        <f>IF((($B$28-$B$32-$B$39-$B$77-$B$38)*C22/100)&lt;0,0,($B$28-$B$32-$B$39-$B$77-$B$38)*C22/100)</f>
        <v>164.50777202072535</v>
      </c>
      <c r="C36" s="169">
        <f>IF(ISERROR(B36/SUM($B$32,$B$34,$B$35,$B$36,$B$38,$B$39)*100),0,B36/SUM($B$32,$B$34,$B$35,$B$36,$B$38,$B$39)*100)</f>
        <v>0.46071574767055568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25547</v>
      </c>
      <c r="C44" s="34" t="s">
        <v>110</v>
      </c>
      <c r="D44" s="176"/>
    </row>
    <row r="45" spans="1:7">
      <c r="A45" s="173" t="s">
        <v>71</v>
      </c>
      <c r="B45" s="33" t="str">
        <f t="shared" si="0"/>
        <v>-</v>
      </c>
      <c r="C45" s="34" t="s">
        <v>110</v>
      </c>
      <c r="D45" s="176"/>
    </row>
    <row r="46" spans="1:7">
      <c r="A46" s="173" t="s">
        <v>72</v>
      </c>
      <c r="B46" s="33">
        <f t="shared" si="0"/>
        <v>128.31606217616581</v>
      </c>
      <c r="C46" s="34" t="s">
        <v>110</v>
      </c>
      <c r="D46" s="176"/>
    </row>
    <row r="47" spans="1:7">
      <c r="A47" s="173" t="s">
        <v>73</v>
      </c>
      <c r="B47" s="33">
        <f t="shared" si="0"/>
        <v>9867.1761658031101</v>
      </c>
      <c r="C47" s="34" t="s">
        <v>110</v>
      </c>
      <c r="D47" s="176"/>
    </row>
    <row r="48" spans="1:7">
      <c r="A48" s="173" t="s">
        <v>74</v>
      </c>
      <c r="B48" s="33">
        <f t="shared" si="0"/>
        <v>164.50777202072535</v>
      </c>
      <c r="C48" s="33">
        <f>B48*10</f>
        <v>1645.0777202072536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158721.94546940288</v>
      </c>
      <c r="C5" s="17">
        <f>IF(ISERROR('Eigen informatie GS &amp; warmtenet'!B58),0,'Eigen informatie GS &amp; warmtenet'!B58)</f>
        <v>0</v>
      </c>
      <c r="D5" s="30">
        <f>SUM(D6:D12)</f>
        <v>194936.0475195981</v>
      </c>
      <c r="E5" s="17">
        <f>SUM(E6:E12)</f>
        <v>2401.4571323727941</v>
      </c>
      <c r="F5" s="17">
        <f>SUM(F6:F12)</f>
        <v>33454.635126192072</v>
      </c>
      <c r="G5" s="18"/>
      <c r="H5" s="17"/>
      <c r="I5" s="17"/>
      <c r="J5" s="17">
        <f>SUM(J6:J12)</f>
        <v>0</v>
      </c>
      <c r="K5" s="17"/>
      <c r="L5" s="17"/>
      <c r="M5" s="17"/>
      <c r="N5" s="17">
        <f>SUM(N6:N12)</f>
        <v>18930.463399771881</v>
      </c>
      <c r="O5" s="17">
        <f>B38*B39*B40</f>
        <v>4.6900000000000004</v>
      </c>
      <c r="P5" s="17">
        <f>B46*B47*B48/1000-B46*B47*B48/1000/B49</f>
        <v>247.86666666666667</v>
      </c>
      <c r="R5" s="32"/>
    </row>
    <row r="6" spans="1:18">
      <c r="A6" s="32" t="s">
        <v>53</v>
      </c>
      <c r="B6" s="37">
        <f>B26</f>
        <v>45324.126422860798</v>
      </c>
      <c r="C6" s="33"/>
      <c r="D6" s="37">
        <f>IF(ISERROR(TER_kantoor_gas_kWh/1000),0,TER_kantoor_gas_kWh/1000)*0.902</f>
        <v>79374.857200533617</v>
      </c>
      <c r="E6" s="33">
        <f>$C$26*'E Balans VL '!I12/100/3.6*1000000</f>
        <v>176.0938268294685</v>
      </c>
      <c r="F6" s="33">
        <f>$C$26*('E Balans VL '!L12+'E Balans VL '!N12)/100/3.6*1000000</f>
        <v>6893.3872122473886</v>
      </c>
      <c r="G6" s="34"/>
      <c r="H6" s="33"/>
      <c r="I6" s="33"/>
      <c r="J6" s="33">
        <f>$C$26*('E Balans VL '!D12+'E Balans VL '!E12)/100/3.6*1000000</f>
        <v>0</v>
      </c>
      <c r="K6" s="33"/>
      <c r="L6" s="33"/>
      <c r="M6" s="33"/>
      <c r="N6" s="33">
        <f>$C$26*'E Balans VL '!Y12/100/3.6*1000000</f>
        <v>24.979023355624925</v>
      </c>
      <c r="O6" s="33"/>
      <c r="P6" s="33"/>
      <c r="R6" s="32"/>
    </row>
    <row r="7" spans="1:18">
      <c r="A7" s="32" t="s">
        <v>52</v>
      </c>
      <c r="B7" s="37">
        <f t="shared" ref="B7:B12" si="0">B27</f>
        <v>25176.796035657997</v>
      </c>
      <c r="C7" s="33"/>
      <c r="D7" s="37">
        <f>IF(ISERROR(TER_horeca_gas_kWh/1000),0,TER_horeca_gas_kWh/1000)*0.902</f>
        <v>30006.575348336413</v>
      </c>
      <c r="E7" s="33">
        <f>$C$27*'E Balans VL '!I9/100/3.6*1000000</f>
        <v>1418.215651848639</v>
      </c>
      <c r="F7" s="33">
        <f>$C$27*('E Balans VL '!L9+'E Balans VL '!N9)/100/3.6*1000000</f>
        <v>7259.4806726752095</v>
      </c>
      <c r="G7" s="34"/>
      <c r="H7" s="33"/>
      <c r="I7" s="33"/>
      <c r="J7" s="33">
        <f>$C$27*('E Balans VL '!D9+'E Balans VL '!E9)/100/3.6*1000000</f>
        <v>0</v>
      </c>
      <c r="K7" s="33"/>
      <c r="L7" s="33"/>
      <c r="M7" s="33"/>
      <c r="N7" s="33">
        <f>$C$27*'E Balans VL '!Y9/100/3.6*1000000</f>
        <v>6.9511825545034887</v>
      </c>
      <c r="O7" s="33"/>
      <c r="P7" s="33"/>
      <c r="R7" s="32"/>
    </row>
    <row r="8" spans="1:18">
      <c r="A8" s="6" t="s">
        <v>51</v>
      </c>
      <c r="B8" s="37">
        <f t="shared" si="0"/>
        <v>44385.084123744506</v>
      </c>
      <c r="C8" s="33"/>
      <c r="D8" s="37">
        <f>IF(ISERROR(TER_handel_gas_kWh/1000),0,TER_handel_gas_kWh/1000)*0.902</f>
        <v>21768.34269329764</v>
      </c>
      <c r="E8" s="33">
        <f>$C$28*'E Balans VL '!I13/100/3.6*1000000</f>
        <v>639.73964583418365</v>
      </c>
      <c r="F8" s="33">
        <f>$C$28*('E Balans VL '!L13+'E Balans VL '!N13)/100/3.6*1000000</f>
        <v>7710.7227711535479</v>
      </c>
      <c r="G8" s="34"/>
      <c r="H8" s="33"/>
      <c r="I8" s="33"/>
      <c r="J8" s="33">
        <f>$C$28*('E Balans VL '!D13+'E Balans VL '!E13)/100/3.6*1000000</f>
        <v>0</v>
      </c>
      <c r="K8" s="33"/>
      <c r="L8" s="33"/>
      <c r="M8" s="33"/>
      <c r="N8" s="33">
        <f>$C$28*'E Balans VL '!Y13/100/3.6*1000000</f>
        <v>132.98265308408955</v>
      </c>
      <c r="O8" s="33"/>
      <c r="P8" s="33"/>
      <c r="R8" s="32"/>
    </row>
    <row r="9" spans="1:18">
      <c r="A9" s="32" t="s">
        <v>50</v>
      </c>
      <c r="B9" s="37">
        <f t="shared" si="0"/>
        <v>10944.8579904793</v>
      </c>
      <c r="C9" s="33"/>
      <c r="D9" s="37">
        <f>IF(ISERROR(TER_gezond_gas_kWh/1000),0,TER_gezond_gas_kWh/1000)*0.902</f>
        <v>26697.737496064652</v>
      </c>
      <c r="E9" s="33">
        <f>$C$29*'E Balans VL '!I10/100/3.6*1000000</f>
        <v>11.691945136844733</v>
      </c>
      <c r="F9" s="33">
        <f>$C$29*('E Balans VL '!L10+'E Balans VL '!N10)/100/3.6*1000000</f>
        <v>1785.4389649634015</v>
      </c>
      <c r="G9" s="34"/>
      <c r="H9" s="33"/>
      <c r="I9" s="33"/>
      <c r="J9" s="33">
        <f>$C$29*('E Balans VL '!D10+'E Balans VL '!E10)/100/3.6*1000000</f>
        <v>0</v>
      </c>
      <c r="K9" s="33"/>
      <c r="L9" s="33"/>
      <c r="M9" s="33"/>
      <c r="N9" s="33">
        <f>$C$29*'E Balans VL '!Y10/100/3.6*1000000</f>
        <v>112.67106800060492</v>
      </c>
      <c r="O9" s="33"/>
      <c r="P9" s="33"/>
      <c r="R9" s="32"/>
    </row>
    <row r="10" spans="1:18">
      <c r="A10" s="32" t="s">
        <v>49</v>
      </c>
      <c r="B10" s="37">
        <f t="shared" si="0"/>
        <v>26513.870056443298</v>
      </c>
      <c r="C10" s="33"/>
      <c r="D10" s="37">
        <f>IF(ISERROR(TER_ander_gas_kWh/1000),0,TER_ander_gas_kWh/1000)*0.902</f>
        <v>15546.103953284235</v>
      </c>
      <c r="E10" s="33">
        <f>$C$30*'E Balans VL '!I14/100/3.6*1000000</f>
        <v>121.9332553305585</v>
      </c>
      <c r="F10" s="33">
        <f>$C$30*('E Balans VL '!L14+'E Balans VL '!N14)/100/3.6*1000000</f>
        <v>7947.04317854489</v>
      </c>
      <c r="G10" s="34"/>
      <c r="H10" s="33"/>
      <c r="I10" s="33"/>
      <c r="J10" s="33">
        <f>$C$30*('E Balans VL '!D14+'E Balans VL '!E14)/100/3.6*1000000</f>
        <v>0</v>
      </c>
      <c r="K10" s="33"/>
      <c r="L10" s="33"/>
      <c r="M10" s="33"/>
      <c r="N10" s="33">
        <f>$C$30*'E Balans VL '!Y14/100/3.6*1000000</f>
        <v>18455.403760227789</v>
      </c>
      <c r="O10" s="33"/>
      <c r="P10" s="33"/>
      <c r="R10" s="32"/>
    </row>
    <row r="11" spans="1:18">
      <c r="A11" s="32" t="s">
        <v>54</v>
      </c>
      <c r="B11" s="37">
        <f t="shared" si="0"/>
        <v>3889.4920637052601</v>
      </c>
      <c r="C11" s="33"/>
      <c r="D11" s="37">
        <f>IF(ISERROR(TER_onderwijs_gas_kWh/1000),0,TER_onderwijs_gas_kWh/1000)*0.902</f>
        <v>7582.7569310503623</v>
      </c>
      <c r="E11" s="33">
        <f>$C$31*'E Balans VL '!I11/100/3.6*1000000</f>
        <v>3.6080153914358366</v>
      </c>
      <c r="F11" s="33">
        <f>$C$31*('E Balans VL '!L11+'E Balans VL '!N11)/100/3.6*1000000</f>
        <v>1366.289168431631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2487.7187765117301</v>
      </c>
      <c r="C12" s="33"/>
      <c r="D12" s="37">
        <f>IF(ISERROR(TER_rest_gas_kWh/1000),0,TER_rest_gas_kWh/1000)*0.902</f>
        <v>13959.673897031165</v>
      </c>
      <c r="E12" s="33">
        <f>$C$32*'E Balans VL '!I8/100/3.6*1000000</f>
        <v>30.174792001663715</v>
      </c>
      <c r="F12" s="33">
        <f>$C$32*('E Balans VL '!L8+'E Balans VL '!N8)/100/3.6*1000000</f>
        <v>492.27315817600203</v>
      </c>
      <c r="G12" s="34"/>
      <c r="H12" s="33"/>
      <c r="I12" s="33"/>
      <c r="J12" s="33">
        <f>$C$32*('E Balans VL '!D8+'E Balans VL '!E8)/100/3.6*1000000</f>
        <v>0</v>
      </c>
      <c r="K12" s="33"/>
      <c r="L12" s="33"/>
      <c r="M12" s="33"/>
      <c r="N12" s="33">
        <f>$C$32*'E Balans VL '!Y8/100/3.6*1000000</f>
        <v>197.475712549267</v>
      </c>
      <c r="O12" s="33"/>
      <c r="P12" s="33"/>
      <c r="R12" s="32"/>
    </row>
    <row r="13" spans="1:18">
      <c r="A13" s="16" t="s">
        <v>496</v>
      </c>
      <c r="B13" s="249">
        <f ca="1">'lokale energieproductie'!N38+'lokale energieproductie'!N31</f>
        <v>225</v>
      </c>
      <c r="C13" s="249">
        <f ca="1">'lokale energieproductie'!O38+'lokale energieproductie'!O31</f>
        <v>321.42857142857144</v>
      </c>
      <c r="D13" s="310">
        <f ca="1">('lokale energieproductie'!P31+'lokale energieproductie'!P38)*(-1)</f>
        <v>-642.85714285714289</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158946.94546940288</v>
      </c>
      <c r="C16" s="21">
        <f t="shared" ca="1" si="1"/>
        <v>321.42857142857144</v>
      </c>
      <c r="D16" s="21">
        <f t="shared" ca="1" si="1"/>
        <v>194293.19037674097</v>
      </c>
      <c r="E16" s="21">
        <f t="shared" si="1"/>
        <v>2401.4571323727941</v>
      </c>
      <c r="F16" s="21">
        <f t="shared" ca="1" si="1"/>
        <v>33454.635126192072</v>
      </c>
      <c r="G16" s="21">
        <f t="shared" si="1"/>
        <v>0</v>
      </c>
      <c r="H16" s="21">
        <f t="shared" si="1"/>
        <v>0</v>
      </c>
      <c r="I16" s="21">
        <f t="shared" si="1"/>
        <v>0</v>
      </c>
      <c r="J16" s="21">
        <f t="shared" si="1"/>
        <v>0</v>
      </c>
      <c r="K16" s="21">
        <f t="shared" si="1"/>
        <v>0</v>
      </c>
      <c r="L16" s="21">
        <f t="shared" ca="1" si="1"/>
        <v>0</v>
      </c>
      <c r="M16" s="21">
        <f t="shared" si="1"/>
        <v>0</v>
      </c>
      <c r="N16" s="21">
        <f t="shared" ca="1" si="1"/>
        <v>18930.463399771881</v>
      </c>
      <c r="O16" s="21">
        <f>O5</f>
        <v>4.6900000000000004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0.21546709187003452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34247.836101917201</v>
      </c>
      <c r="C20" s="23">
        <f t="shared" ref="C20:P20" ca="1" si="2">C16*C18</f>
        <v>76.386554621848759</v>
      </c>
      <c r="D20" s="23">
        <f t="shared" ca="1" si="2"/>
        <v>39247.224456101678</v>
      </c>
      <c r="E20" s="23">
        <f t="shared" si="2"/>
        <v>545.1307690486243</v>
      </c>
      <c r="F20" s="23">
        <f t="shared" ca="1" si="2"/>
        <v>8932.387578693284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45324.126422860798</v>
      </c>
      <c r="C26" s="39">
        <f>IF(ISERROR(B26*3.6/1000000/'E Balans VL '!Z12*100),0,B26*3.6/1000000/'E Balans VL '!Z12*100)</f>
        <v>0.96270689587524805</v>
      </c>
      <c r="D26" s="239" t="s">
        <v>689</v>
      </c>
      <c r="F26" s="6"/>
    </row>
    <row r="27" spans="1:18">
      <c r="A27" s="233" t="s">
        <v>52</v>
      </c>
      <c r="B27" s="33">
        <f>IF(ISERROR(TER_horeca_ele_kWh/1000),0,TER_horeca_ele_kWh/1000)</f>
        <v>25176.796035657997</v>
      </c>
      <c r="C27" s="39">
        <f>IF(ISERROR(B27*3.6/1000000/'E Balans VL '!Z9*100),0,B27*3.6/1000000/'E Balans VL '!Z9*100)</f>
        <v>1.957649220431503</v>
      </c>
      <c r="D27" s="239" t="s">
        <v>689</v>
      </c>
      <c r="F27" s="6"/>
    </row>
    <row r="28" spans="1:18">
      <c r="A28" s="173" t="s">
        <v>51</v>
      </c>
      <c r="B28" s="33">
        <f>IF(ISERROR(TER_handel_ele_kWh/1000),0,TER_handel_ele_kWh/1000)</f>
        <v>44385.084123744506</v>
      </c>
      <c r="C28" s="39">
        <f>IF(ISERROR(B28*3.6/1000000/'E Balans VL '!Z13*100),0,B28*3.6/1000000/'E Balans VL '!Z13*100)</f>
        <v>1.2699094927989094</v>
      </c>
      <c r="D28" s="239" t="s">
        <v>689</v>
      </c>
      <c r="F28" s="6"/>
    </row>
    <row r="29" spans="1:18">
      <c r="A29" s="233" t="s">
        <v>50</v>
      </c>
      <c r="B29" s="33">
        <f>IF(ISERROR(TER_gezond_ele_kWh/1000),0,TER_gezond_ele_kWh/1000)</f>
        <v>10944.8579904793</v>
      </c>
      <c r="C29" s="39">
        <f>IF(ISERROR(B29*3.6/1000000/'E Balans VL '!Z10*100),0,B29*3.6/1000000/'E Balans VL '!Z10*100)</f>
        <v>1.1932438489599213</v>
      </c>
      <c r="D29" s="239" t="s">
        <v>689</v>
      </c>
      <c r="F29" s="6"/>
    </row>
    <row r="30" spans="1:18">
      <c r="A30" s="233" t="s">
        <v>49</v>
      </c>
      <c r="B30" s="33">
        <f>IF(ISERROR(TER_ander_ele_kWh/1000),0,TER_ander_ele_kWh/1000)</f>
        <v>26513.870056443298</v>
      </c>
      <c r="C30" s="39">
        <f>IF(ISERROR(B30*3.6/1000000/'E Balans VL '!Z14*100),0,B30*3.6/1000000/'E Balans VL '!Z14*100)</f>
        <v>1.9402248654420684</v>
      </c>
      <c r="D30" s="239" t="s">
        <v>689</v>
      </c>
      <c r="F30" s="6"/>
    </row>
    <row r="31" spans="1:18">
      <c r="A31" s="233" t="s">
        <v>54</v>
      </c>
      <c r="B31" s="33">
        <f>IF(ISERROR(TER_onderwijs_ele_kWh/1000),0,TER_onderwijs_ele_kWh/1000)</f>
        <v>3889.4920637052601</v>
      </c>
      <c r="C31" s="39">
        <f>IF(ISERROR(B31*3.6/1000000/'E Balans VL '!Z11*100),0,B31*3.6/1000000/'E Balans VL '!Z11*100)</f>
        <v>0.78120736925236456</v>
      </c>
      <c r="D31" s="239" t="s">
        <v>689</v>
      </c>
    </row>
    <row r="32" spans="1:18">
      <c r="A32" s="233" t="s">
        <v>259</v>
      </c>
      <c r="B32" s="33">
        <f>IF(ISERROR(TER_rest_ele_kWh/1000),0,TER_rest_ele_kWh/1000)</f>
        <v>2487.7187765117301</v>
      </c>
      <c r="C32" s="39">
        <f>IF(ISERROR(B32*3.6/1000000/'E Balans VL '!Z8*100),0,B32*3.6/1000000/'E Balans VL '!Z8*100)</f>
        <v>2.0273398308752782E-2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66949.176118368006</v>
      </c>
      <c r="C5" s="17">
        <f>IF(ISERROR('Eigen informatie GS &amp; warmtenet'!B59),0,'Eigen informatie GS &amp; warmtenet'!B59)</f>
        <v>0</v>
      </c>
      <c r="D5" s="30">
        <f>SUM(D6:D15)</f>
        <v>73698.379122177052</v>
      </c>
      <c r="E5" s="17">
        <f>SUM(E6:E15)</f>
        <v>6642.3768135408736</v>
      </c>
      <c r="F5" s="17">
        <f>SUM(F6:F15)</f>
        <v>40481.866986104476</v>
      </c>
      <c r="G5" s="18"/>
      <c r="H5" s="17"/>
      <c r="I5" s="17"/>
      <c r="J5" s="17">
        <f>SUM(J6:J15)</f>
        <v>61.700152906012072</v>
      </c>
      <c r="K5" s="17"/>
      <c r="L5" s="17"/>
      <c r="M5" s="17"/>
      <c r="N5" s="17">
        <f>SUM(N6:N15)</f>
        <v>7166.0691017092622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13797.637931962401</v>
      </c>
      <c r="C8" s="33"/>
      <c r="D8" s="37">
        <f>IF( ISERROR(IND_metaal_Gas_kWH/1000),0,IND_metaal_Gas_kWH/1000)*0.902</f>
        <v>15920.652911862075</v>
      </c>
      <c r="E8" s="33">
        <f>C30*'E Balans VL '!I18/100/3.6*1000000</f>
        <v>396.31995138523678</v>
      </c>
      <c r="F8" s="33">
        <f>C30*'E Balans VL '!L18/100/3.6*1000000+C30*'E Balans VL '!N18/100/3.6*1000000</f>
        <v>3538.8287628347325</v>
      </c>
      <c r="G8" s="34"/>
      <c r="H8" s="33"/>
      <c r="I8" s="33"/>
      <c r="J8" s="40">
        <f>C30*'E Balans VL '!D18/100/3.6*1000000+C30*'E Balans VL '!E18/100/3.6*1000000</f>
        <v>0</v>
      </c>
      <c r="K8" s="33"/>
      <c r="L8" s="33"/>
      <c r="M8" s="33"/>
      <c r="N8" s="33">
        <f>C30*'E Balans VL '!Y18/100/3.6*1000000</f>
        <v>374.63403482214699</v>
      </c>
      <c r="O8" s="33"/>
      <c r="P8" s="33"/>
      <c r="R8" s="32"/>
    </row>
    <row r="9" spans="1:18">
      <c r="A9" s="6" t="s">
        <v>32</v>
      </c>
      <c r="B9" s="37">
        <f t="shared" si="0"/>
        <v>14032.198458892501</v>
      </c>
      <c r="C9" s="33"/>
      <c r="D9" s="37">
        <f>IF( ISERROR(IND_andere_gas_kWh/1000),0,IND_andere_gas_kWh/1000)*0.902</f>
        <v>5730.8164899356279</v>
      </c>
      <c r="E9" s="33">
        <f>C31*'E Balans VL '!I19/100/3.6*1000000</f>
        <v>3798.1711125911484</v>
      </c>
      <c r="F9" s="33">
        <f>C31*'E Balans VL '!L19/100/3.6*1000000+C31*'E Balans VL '!N19/100/3.6*1000000</f>
        <v>9346.9290904039935</v>
      </c>
      <c r="G9" s="34"/>
      <c r="H9" s="33"/>
      <c r="I9" s="33"/>
      <c r="J9" s="40">
        <f>C31*'E Balans VL '!D19/100/3.6*1000000+C31*'E Balans VL '!E19/100/3.6*1000000</f>
        <v>0</v>
      </c>
      <c r="K9" s="33"/>
      <c r="L9" s="33"/>
      <c r="M9" s="33"/>
      <c r="N9" s="33">
        <f>C31*'E Balans VL '!Y19/100/3.6*1000000</f>
        <v>1186.3294269991907</v>
      </c>
      <c r="O9" s="33"/>
      <c r="P9" s="33"/>
      <c r="R9" s="32"/>
    </row>
    <row r="10" spans="1:18">
      <c r="A10" s="6" t="s">
        <v>40</v>
      </c>
      <c r="B10" s="37">
        <f t="shared" si="0"/>
        <v>14733.703954710201</v>
      </c>
      <c r="C10" s="33"/>
      <c r="D10" s="37">
        <f>IF( ISERROR(IND_voed_gas_kWh/1000),0,IND_voed_gas_kWh/1000)*0.902</f>
        <v>14124.138544404203</v>
      </c>
      <c r="E10" s="33">
        <f>C32*'E Balans VL '!I20/100/3.6*1000000</f>
        <v>1201.7147443501824</v>
      </c>
      <c r="F10" s="33">
        <f>C32*'E Balans VL '!L20/100/3.6*1000000+C32*'E Balans VL '!N20/100/3.6*1000000</f>
        <v>21969.289355224209</v>
      </c>
      <c r="G10" s="34"/>
      <c r="H10" s="33"/>
      <c r="I10" s="33"/>
      <c r="J10" s="40">
        <f>C32*'E Balans VL '!D20/100/3.6*1000000+C32*'E Balans VL '!E20/100/3.6*1000000</f>
        <v>0.19490901900340707</v>
      </c>
      <c r="K10" s="33"/>
      <c r="L10" s="33"/>
      <c r="M10" s="33"/>
      <c r="N10" s="33">
        <f>C32*'E Balans VL '!Y20/100/3.6*1000000</f>
        <v>4328.2423255406065</v>
      </c>
      <c r="O10" s="33"/>
      <c r="P10" s="33"/>
      <c r="R10" s="32"/>
    </row>
    <row r="11" spans="1:18">
      <c r="A11" s="6" t="s">
        <v>39</v>
      </c>
      <c r="B11" s="37">
        <f t="shared" si="0"/>
        <v>87.202430562630909</v>
      </c>
      <c r="C11" s="33"/>
      <c r="D11" s="37">
        <f>IF( ISERROR(IND_textiel_gas_kWh/1000),0,IND_textiel_gas_kWh/1000)*0.902</f>
        <v>282.51864251877515</v>
      </c>
      <c r="E11" s="33">
        <f>C33*'E Balans VL '!I21/100/3.6*1000000</f>
        <v>1.7285305873931973E-2</v>
      </c>
      <c r="F11" s="33">
        <f>C33*'E Balans VL '!L21/100/3.6*1000000+C33*'E Balans VL '!N21/100/3.6*1000000</f>
        <v>3.211770727690034</v>
      </c>
      <c r="G11" s="34"/>
      <c r="H11" s="33"/>
      <c r="I11" s="33"/>
      <c r="J11" s="40">
        <f>C33*'E Balans VL '!D21/100/3.6*1000000+C33*'E Balans VL '!E21/100/3.6*1000000</f>
        <v>0</v>
      </c>
      <c r="K11" s="33"/>
      <c r="L11" s="33"/>
      <c r="M11" s="33"/>
      <c r="N11" s="33">
        <f>C33*'E Balans VL '!Y21/100/3.6*1000000</f>
        <v>0.40546928857362902</v>
      </c>
      <c r="O11" s="33"/>
      <c r="P11" s="33"/>
      <c r="R11" s="32"/>
    </row>
    <row r="12" spans="1:18">
      <c r="A12" s="6" t="s">
        <v>36</v>
      </c>
      <c r="B12" s="37">
        <f t="shared" si="0"/>
        <v>958.2156765218599</v>
      </c>
      <c r="C12" s="33"/>
      <c r="D12" s="37">
        <f>IF( ISERROR(IND_min_gas_kWh/1000),0,IND_min_gas_kWh/1000)*0.902</f>
        <v>0</v>
      </c>
      <c r="E12" s="33">
        <f>C34*'E Balans VL '!I22/100/3.6*1000000</f>
        <v>7.4642913337964787</v>
      </c>
      <c r="F12" s="33">
        <f>C34*'E Balans VL '!L22/100/3.6*1000000+C34*'E Balans VL '!N22/100/3.6*1000000</f>
        <v>361.3800690322692</v>
      </c>
      <c r="G12" s="34"/>
      <c r="H12" s="33"/>
      <c r="I12" s="33"/>
      <c r="J12" s="40">
        <f>C34*'E Balans VL '!D22/100/3.6*1000000+C34*'E Balans VL '!E22/100/3.6*1000000</f>
        <v>5.2701024412685173</v>
      </c>
      <c r="K12" s="33"/>
      <c r="L12" s="33"/>
      <c r="M12" s="33"/>
      <c r="N12" s="33">
        <f>C34*'E Balans VL '!Y22/100/3.6*1000000</f>
        <v>0</v>
      </c>
      <c r="O12" s="33"/>
      <c r="P12" s="33"/>
      <c r="R12" s="32"/>
    </row>
    <row r="13" spans="1:18">
      <c r="A13" s="6" t="s">
        <v>38</v>
      </c>
      <c r="B13" s="37">
        <f t="shared" si="0"/>
        <v>1399.61615028291</v>
      </c>
      <c r="C13" s="33"/>
      <c r="D13" s="37">
        <f>IF( ISERROR(IND_papier_gas_kWh/1000),0,IND_papier_gas_kWh/1000)*0.902</f>
        <v>681.6673704212626</v>
      </c>
      <c r="E13" s="33">
        <f>C35*'E Balans VL '!I23/100/3.6*1000000</f>
        <v>14.663528963662349</v>
      </c>
      <c r="F13" s="33">
        <f>C35*'E Balans VL '!L23/100/3.6*1000000+C35*'E Balans VL '!N23/100/3.6*1000000</f>
        <v>104.43960521052112</v>
      </c>
      <c r="G13" s="34"/>
      <c r="H13" s="33"/>
      <c r="I13" s="33"/>
      <c r="J13" s="40">
        <f>C35*'E Balans VL '!D23/100/3.6*1000000+C35*'E Balans VL '!E23/100/3.6*1000000</f>
        <v>0</v>
      </c>
      <c r="K13" s="33"/>
      <c r="L13" s="33"/>
      <c r="M13" s="33"/>
      <c r="N13" s="33">
        <f>C35*'E Balans VL '!Y23/100/3.6*1000000</f>
        <v>258.19891655294003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21940.601515435497</v>
      </c>
      <c r="C15" s="33"/>
      <c r="D15" s="37">
        <f>IF( ISERROR(IND_rest_gas_kWh/1000),0,IND_rest_gas_kWh/1000)*0.902</f>
        <v>36958.585163035103</v>
      </c>
      <c r="E15" s="33">
        <f>C37*'E Balans VL '!I15/100/3.6*1000000</f>
        <v>1224.0258996109737</v>
      </c>
      <c r="F15" s="33">
        <f>C37*'E Balans VL '!L15/100/3.6*1000000+C37*'E Balans VL '!N15/100/3.6*1000000</f>
        <v>5157.7883326710617</v>
      </c>
      <c r="G15" s="34"/>
      <c r="H15" s="33"/>
      <c r="I15" s="33"/>
      <c r="J15" s="40">
        <f>C37*'E Balans VL '!D15/100/3.6*1000000+C37*'E Balans VL '!E15/100/3.6*1000000</f>
        <v>56.235141445740148</v>
      </c>
      <c r="K15" s="33"/>
      <c r="L15" s="33"/>
      <c r="M15" s="33"/>
      <c r="N15" s="33">
        <f>C37*'E Balans VL '!Y15/100/3.6*1000000</f>
        <v>1018.2589285058036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66949.176118368006</v>
      </c>
      <c r="C18" s="21">
        <f>C5+C16</f>
        <v>0</v>
      </c>
      <c r="D18" s="21">
        <f>MAX((D5+D16),0)</f>
        <v>73698.379122177052</v>
      </c>
      <c r="E18" s="21">
        <f>MAX((E5+E16),0)</f>
        <v>6642.3768135408736</v>
      </c>
      <c r="F18" s="21">
        <f>MAX((F5+F16),0)</f>
        <v>40481.866986104476</v>
      </c>
      <c r="G18" s="21"/>
      <c r="H18" s="21"/>
      <c r="I18" s="21"/>
      <c r="J18" s="21">
        <f>MAX((J5+J16),0)</f>
        <v>61.700152906012072</v>
      </c>
      <c r="K18" s="21"/>
      <c r="L18" s="21">
        <f>MAX((L5+L16),0)</f>
        <v>0</v>
      </c>
      <c r="M18" s="21"/>
      <c r="N18" s="21">
        <f>MAX((N5+N16),0)</f>
        <v>7166.0691017092622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0.21546709187003452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14425.34428131952</v>
      </c>
      <c r="C22" s="23">
        <f ca="1">C18*C20</f>
        <v>0</v>
      </c>
      <c r="D22" s="23">
        <f>D18*D20</f>
        <v>14887.072582679766</v>
      </c>
      <c r="E22" s="23">
        <f>E18*E20</f>
        <v>1507.8195366737784</v>
      </c>
      <c r="F22" s="23">
        <f>F18*F20</f>
        <v>10808.658485289896</v>
      </c>
      <c r="G22" s="23"/>
      <c r="H22" s="23"/>
      <c r="I22" s="23"/>
      <c r="J22" s="23">
        <f>J18*J20</f>
        <v>21.841854128728272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13797.637931962401</v>
      </c>
      <c r="C30" s="39">
        <f>IF(ISERROR(B30*3.6/1000000/'E Balans VL '!Z18*100),0,B30*3.6/1000000/'E Balans VL '!Z18*100)</f>
        <v>1.3576523508874447</v>
      </c>
      <c r="D30" s="239" t="s">
        <v>689</v>
      </c>
    </row>
    <row r="31" spans="1:18">
      <c r="A31" s="6" t="s">
        <v>32</v>
      </c>
      <c r="B31" s="37">
        <f>IF( ISERROR(IND_ander_ele_kWh/1000),0,IND_ander_ele_kWh/1000)</f>
        <v>14032.198458892501</v>
      </c>
      <c r="C31" s="39">
        <f>IF(ISERROR(B31*3.6/1000000/'E Balans VL '!Z19*100),0,B31*3.6/1000000/'E Balans VL '!Z19*100)</f>
        <v>0.61109104951031978</v>
      </c>
      <c r="D31" s="239" t="s">
        <v>689</v>
      </c>
    </row>
    <row r="32" spans="1:18">
      <c r="A32" s="173" t="s">
        <v>40</v>
      </c>
      <c r="B32" s="37">
        <f>IF( ISERROR(IND_voed_ele_kWh/1000),0,IND_voed_ele_kWh/1000)</f>
        <v>14733.703954710201</v>
      </c>
      <c r="C32" s="39">
        <f>IF(ISERROR(B32*3.6/1000000/'E Balans VL '!Z20*100),0,B32*3.6/1000000/'E Balans VL '!Z20*100)</f>
        <v>2.7955078422798318</v>
      </c>
      <c r="D32" s="239" t="s">
        <v>689</v>
      </c>
    </row>
    <row r="33" spans="1:5">
      <c r="A33" s="173" t="s">
        <v>39</v>
      </c>
      <c r="B33" s="37">
        <f>IF( ISERROR(IND_textiel_ele_kWh/1000),0,IND_textiel_ele_kWh/1000)</f>
        <v>87.202430562630909</v>
      </c>
      <c r="C33" s="39">
        <f>IF(ISERROR(B33*3.6/1000000/'E Balans VL '!Z21*100),0,B33*3.6/1000000/'E Balans VL '!Z21*100)</f>
        <v>4.9788165593323708E-3</v>
      </c>
      <c r="D33" s="239" t="s">
        <v>689</v>
      </c>
    </row>
    <row r="34" spans="1:5">
      <c r="A34" s="173" t="s">
        <v>36</v>
      </c>
      <c r="B34" s="37">
        <f>IF( ISERROR(IND_min_ele_kWh/1000),0,IND_min_ele_kWh/1000)</f>
        <v>958.2156765218599</v>
      </c>
      <c r="C34" s="39">
        <f>IF(ISERROR(B34*3.6/1000000/'E Balans VL '!Z22*100),0,B34*3.6/1000000/'E Balans VL '!Z22*100)</f>
        <v>0.13473474622087978</v>
      </c>
      <c r="D34" s="239" t="s">
        <v>689</v>
      </c>
    </row>
    <row r="35" spans="1:5">
      <c r="A35" s="173" t="s">
        <v>38</v>
      </c>
      <c r="B35" s="37">
        <f>IF( ISERROR(IND_papier_ele_kWh/1000),0,IND_papier_ele_kWh/1000)</f>
        <v>1399.61615028291</v>
      </c>
      <c r="C35" s="39">
        <f>IF(ISERROR(B35*3.6/1000000/'E Balans VL '!Z22*100),0,B35*3.6/1000000/'E Balans VL '!Z22*100)</f>
        <v>0.1968000852370845</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21940.601515435497</v>
      </c>
      <c r="C37" s="39">
        <f>IF(ISERROR(B37*3.6/1000000/'E Balans VL '!Z15*100),0,B37*3.6/1000000/'E Balans VL '!Z15*100)</f>
        <v>0.16907928328997004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525.54781665866005</v>
      </c>
      <c r="C5" s="17">
        <f>'Eigen informatie GS &amp; warmtenet'!B60</f>
        <v>0</v>
      </c>
      <c r="D5" s="30">
        <f>IF(ISERROR(SUM(LB_lb_gas_kWh,LB_rest_gas_kWh)/1000),0,SUM(LB_lb_gas_kWh,LB_rest_gas_kWh)/1000)*0.902</f>
        <v>326.28380702940922</v>
      </c>
      <c r="E5" s="17">
        <f>B17*'E Balans VL '!I25/3.6*1000000/100</f>
        <v>6.622579533143794</v>
      </c>
      <c r="F5" s="17">
        <f>B17*('E Balans VL '!L25/3.6*1000000+'E Balans VL '!N25/3.6*1000000)/100</f>
        <v>1813.2716250673141</v>
      </c>
      <c r="G5" s="18"/>
      <c r="H5" s="17"/>
      <c r="I5" s="17"/>
      <c r="J5" s="17">
        <f>('E Balans VL '!D25+'E Balans VL '!E25)/3.6*1000000*landbouw!B17/100</f>
        <v>79.036417408732433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525.54781665866005</v>
      </c>
      <c r="C8" s="21">
        <f>C5+C6</f>
        <v>0</v>
      </c>
      <c r="D8" s="21">
        <f>MAX((D5+D6),0)</f>
        <v>326.28380702940922</v>
      </c>
      <c r="E8" s="21">
        <f>MAX((E5+E6),0)</f>
        <v>6.622579533143794</v>
      </c>
      <c r="F8" s="21">
        <f>MAX((F5+F6),0)</f>
        <v>1813.2716250673141</v>
      </c>
      <c r="G8" s="21"/>
      <c r="H8" s="21"/>
      <c r="I8" s="21"/>
      <c r="J8" s="21">
        <f>MAX((J5+J6),0)</f>
        <v>79.036417408732433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0.21546709187003452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113.23825969408756</v>
      </c>
      <c r="C12" s="23">
        <f ca="1">C8*C10</f>
        <v>0</v>
      </c>
      <c r="D12" s="23">
        <f>D8*D10</f>
        <v>65.909329019940671</v>
      </c>
      <c r="E12" s="23">
        <f>E8*E10</f>
        <v>1.5033255540236412</v>
      </c>
      <c r="F12" s="23">
        <f>F8*F10</f>
        <v>484.14352389297289</v>
      </c>
      <c r="G12" s="23"/>
      <c r="H12" s="23"/>
      <c r="I12" s="23"/>
      <c r="J12" s="23">
        <f>J8*J10</f>
        <v>27.97889176269128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7.3297356118198653E-2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101.74845984334273</v>
      </c>
      <c r="C26" s="249">
        <f>B26*'GWP N2O_CH4'!B5</f>
        <v>2136.7176567101974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21.922438991120892</v>
      </c>
      <c r="C27" s="249">
        <f>B27*'GWP N2O_CH4'!B5</f>
        <v>460.37121881353875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1.3305785077855445</v>
      </c>
      <c r="C28" s="249">
        <f>B28*'GWP N2O_CH4'!B4</f>
        <v>412.47933741351881</v>
      </c>
      <c r="D28" s="50"/>
    </row>
    <row r="29" spans="1:4">
      <c r="A29" s="41" t="s">
        <v>276</v>
      </c>
      <c r="B29" s="249">
        <f>B34*'ha_N2O bodem landbouw'!B4</f>
        <v>4.8486920627222894</v>
      </c>
      <c r="C29" s="249">
        <f>B29*'GWP N2O_CH4'!B4</f>
        <v>1503.0945394439098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1.2106699585784295E-3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3.5168053912271002E-5</v>
      </c>
      <c r="C5" s="444" t="s">
        <v>210</v>
      </c>
      <c r="D5" s="429">
        <f>SUM(D6:D11)</f>
        <v>5.9593549117483895E-5</v>
      </c>
      <c r="E5" s="429">
        <f>SUM(E6:E11)</f>
        <v>2.1869009066693272E-3</v>
      </c>
      <c r="F5" s="442" t="s">
        <v>210</v>
      </c>
      <c r="G5" s="429">
        <f>SUM(G6:G11)</f>
        <v>0.65944913232959523</v>
      </c>
      <c r="H5" s="429">
        <f>SUM(H6:H11)</f>
        <v>0.10929798091396667</v>
      </c>
      <c r="I5" s="444" t="s">
        <v>210</v>
      </c>
      <c r="J5" s="444" t="s">
        <v>210</v>
      </c>
      <c r="K5" s="444" t="s">
        <v>210</v>
      </c>
      <c r="L5" s="444" t="s">
        <v>210</v>
      </c>
      <c r="M5" s="429">
        <f>SUM(M6:M11)</f>
        <v>3.4757093999191413E-2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2.1222896074655951E-5</v>
      </c>
      <c r="C6" s="883"/>
      <c r="D6" s="883">
        <f>vkm_GW_PW*SUMIFS(TableVerdeelsleutelVkm[CNG],TableVerdeelsleutelVkm[Voertuigtype],"Lichte voertuigen")*SUMIFS(TableECFTransport[EnergieConsumptieFactor (PJ per km)],TableECFTransport[Index],CONCATENATE($A6,"_CNG_CNG"))</f>
        <v>3.1451699845439495E-5</v>
      </c>
      <c r="E6" s="883">
        <f>vkm_GW_PW*SUMIFS(TableVerdeelsleutelVkm[LPG],TableVerdeelsleutelVkm[Voertuigtype],"Lichte voertuigen")*SUMIFS(TableECFTransport[EnergieConsumptieFactor (PJ per km)],TableECFTransport[Index],CONCATENATE($A6,"_LPG_LPG"))</f>
        <v>1.1264849627589104E-3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0.22670848753512332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5.7915923588521732E-2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1.2876251076117368E-2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0.1487662385334827</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3.456486147506929E-6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6.7170278746568508E-3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7.2544215463744999E-6</v>
      </c>
      <c r="C8" s="883"/>
      <c r="D8" s="432">
        <f>vkm_NGW_PW*SUMIFS(TableVerdeelsleutelVkm[CNG],TableVerdeelsleutelVkm[Voertuigtype],"Lichte voertuigen")*SUMIFS(TableECFTransport[EnergieConsumptieFactor (PJ per km)],TableECFTransport[Index],CONCATENATE($A8,"_CNG_CNG"))</f>
        <v>1.8244440050479427E-5</v>
      </c>
      <c r="E8" s="432">
        <f>vkm_NGW_PW*SUMIFS(TableVerdeelsleutelVkm[LPG],TableVerdeelsleutelVkm[Voertuigtype],"Lichte voertuigen")*SUMIFS(TableECFTransport[EnergieConsumptieFactor (PJ per km)],TableECFTransport[Index],CONCATENATE($A8,"_LPG_LPG"))</f>
        <v>6.1787757358261767E-4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0.11812216741125318</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3.2282542918097464E-2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6.8049594242453942E-3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6.6359686068314661E-2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1.7871140338133102E-6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2.9962545870727193E-3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6.6907362912405495E-6</v>
      </c>
      <c r="C10" s="883"/>
      <c r="D10" s="432">
        <f>vkm_SW_PW*SUMIFS(TableVerdeelsleutelVkm[CNG],TableVerdeelsleutelVkm[Voertuigtype],"Lichte voertuigen")*SUMIFS(TableECFTransport[EnergieConsumptieFactor (PJ per km)],TableECFTransport[Index],CONCATENATE($A10,"_CNG_CNG"))</f>
        <v>9.8974092215649682E-6</v>
      </c>
      <c r="E10" s="432">
        <f>vkm_SW_PW*SUMIFS(TableVerdeelsleutelVkm[LPG],TableVerdeelsleutelVkm[Voertuigtype],"Lichte voertuigen")*SUMIFS(TableECFTransport[EnergieConsumptieFactor (PJ per km)],TableECFTransport[Index],CONCATENATE($A10,"_LPG_LPG"))</f>
        <v>4.425383703277991E-4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8.0737700047635738E-2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1.9093805995972626E-2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4.5157888377434802E-3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1.8754852733785785E-2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4.6481119352030548E-7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8.4681219935559991E-4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9.7689038645197233</v>
      </c>
      <c r="C14" s="21"/>
      <c r="D14" s="21">
        <f t="shared" ref="D14:M14" si="0">((D5)*10^9/3600)+D12</f>
        <v>16.553763643745526</v>
      </c>
      <c r="E14" s="21">
        <f t="shared" si="0"/>
        <v>607.47247407481302</v>
      </c>
      <c r="F14" s="21"/>
      <c r="G14" s="21">
        <f t="shared" si="0"/>
        <v>183180.31453599868</v>
      </c>
      <c r="H14" s="21">
        <f t="shared" si="0"/>
        <v>30360.550253879632</v>
      </c>
      <c r="I14" s="21"/>
      <c r="J14" s="21"/>
      <c r="K14" s="21"/>
      <c r="L14" s="21"/>
      <c r="M14" s="21">
        <f t="shared" si="0"/>
        <v>9654.748333108726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0.21546709187003452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2.1048773064460065</v>
      </c>
      <c r="C18" s="23"/>
      <c r="D18" s="23">
        <f t="shared" ref="D18:M18" si="1">D14*D16</f>
        <v>3.3438602560365966</v>
      </c>
      <c r="E18" s="23">
        <f t="shared" si="1"/>
        <v>137.89625161498256</v>
      </c>
      <c r="F18" s="23"/>
      <c r="G18" s="23">
        <f t="shared" si="1"/>
        <v>48909.143981111651</v>
      </c>
      <c r="H18" s="23">
        <f t="shared" si="1"/>
        <v>7559.7770132160285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6.2947908126729357E-3</v>
      </c>
      <c r="C50" s="321">
        <f t="shared" ref="C50:P50" si="2">SUM(C51:C52)</f>
        <v>0</v>
      </c>
      <c r="D50" s="321">
        <f t="shared" si="2"/>
        <v>0</v>
      </c>
      <c r="E50" s="321">
        <f t="shared" si="2"/>
        <v>0</v>
      </c>
      <c r="F50" s="321">
        <f t="shared" si="2"/>
        <v>0</v>
      </c>
      <c r="G50" s="321">
        <f t="shared" si="2"/>
        <v>3.3561458171882878E-2</v>
      </c>
      <c r="H50" s="321">
        <f t="shared" si="2"/>
        <v>0</v>
      </c>
      <c r="I50" s="321">
        <f t="shared" si="2"/>
        <v>0</v>
      </c>
      <c r="J50" s="321">
        <f t="shared" si="2"/>
        <v>0</v>
      </c>
      <c r="K50" s="321">
        <f t="shared" si="2"/>
        <v>0</v>
      </c>
      <c r="L50" s="321">
        <f t="shared" si="2"/>
        <v>0</v>
      </c>
      <c r="M50" s="321">
        <f t="shared" si="2"/>
        <v>1.4938482683625369E-3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3.3561458171882878E-2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1.4938482683625369E-3</v>
      </c>
      <c r="N51" s="323"/>
      <c r="O51" s="323"/>
      <c r="P51" s="326"/>
    </row>
    <row r="52" spans="1:18">
      <c r="A52" s="4" t="s">
        <v>329</v>
      </c>
      <c r="B52" s="327">
        <f>vkm_tram*SUMIFS(TableECFTransport[EnergieConsumptieFactor (PJ per km)],TableECFTransport[Index],"Tram_gemiddeld_Electric_Electric")</f>
        <v>6.2947908126729357E-3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1748.5530035202598</v>
      </c>
      <c r="C54" s="21">
        <f t="shared" ref="C54:P54" si="3">(C50)*10^9/3600</f>
        <v>0</v>
      </c>
      <c r="D54" s="21">
        <f t="shared" si="3"/>
        <v>0</v>
      </c>
      <c r="E54" s="21">
        <f t="shared" si="3"/>
        <v>0</v>
      </c>
      <c r="F54" s="21">
        <f t="shared" si="3"/>
        <v>0</v>
      </c>
      <c r="G54" s="21">
        <f t="shared" si="3"/>
        <v>9322.6272699674646</v>
      </c>
      <c r="H54" s="21">
        <f t="shared" si="3"/>
        <v>0</v>
      </c>
      <c r="I54" s="21">
        <f t="shared" si="3"/>
        <v>0</v>
      </c>
      <c r="J54" s="21">
        <f t="shared" si="3"/>
        <v>0</v>
      </c>
      <c r="K54" s="21">
        <f t="shared" si="3"/>
        <v>0</v>
      </c>
      <c r="L54" s="21">
        <f t="shared" si="3"/>
        <v>0</v>
      </c>
      <c r="M54" s="21">
        <f t="shared" si="3"/>
        <v>414.95785232292695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0.21546709187003452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376.75563064912461</v>
      </c>
      <c r="C58" s="23">
        <f t="shared" ref="C58:P58" ca="1" si="4">C54*C56</f>
        <v>0</v>
      </c>
      <c r="D58" s="23">
        <f t="shared" si="4"/>
        <v>0</v>
      </c>
      <c r="E58" s="23">
        <f t="shared" si="4"/>
        <v>0</v>
      </c>
      <c r="F58" s="23">
        <f t="shared" si="4"/>
        <v>0</v>
      </c>
      <c r="G58" s="23">
        <f t="shared" si="4"/>
        <v>2489.141481081313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163113.3769838287</v>
      </c>
      <c r="D10" s="686">
        <f ca="1">tertiair!C16</f>
        <v>321.42857142857144</v>
      </c>
      <c r="E10" s="686">
        <f ca="1">tertiair!D16</f>
        <v>194293.19037674097</v>
      </c>
      <c r="F10" s="686">
        <f>tertiair!E16</f>
        <v>2401.4571323727941</v>
      </c>
      <c r="G10" s="686">
        <f ca="1">tertiair!F16</f>
        <v>33454.635126192072</v>
      </c>
      <c r="H10" s="686">
        <f>tertiair!G16</f>
        <v>0</v>
      </c>
      <c r="I10" s="686">
        <f>tertiair!H16</f>
        <v>0</v>
      </c>
      <c r="J10" s="686">
        <f>tertiair!I16</f>
        <v>0</v>
      </c>
      <c r="K10" s="686">
        <f>tertiair!J16</f>
        <v>0</v>
      </c>
      <c r="L10" s="686">
        <f>tertiair!K16</f>
        <v>0</v>
      </c>
      <c r="M10" s="686">
        <f ca="1">tertiair!L16</f>
        <v>0</v>
      </c>
      <c r="N10" s="686">
        <f>tertiair!M16</f>
        <v>0</v>
      </c>
      <c r="O10" s="686">
        <f ca="1">tertiair!N16</f>
        <v>18930.463399771881</v>
      </c>
      <c r="P10" s="686">
        <f>tertiair!O16</f>
        <v>4.6900000000000004</v>
      </c>
      <c r="Q10" s="687">
        <f>tertiair!P16</f>
        <v>247.86666666666667</v>
      </c>
      <c r="R10" s="689">
        <f ca="1">SUM(C10:Q10)</f>
        <v>412767.10825700162</v>
      </c>
      <c r="S10" s="67"/>
    </row>
    <row r="11" spans="1:19" s="454" customFormat="1">
      <c r="A11" s="801" t="s">
        <v>224</v>
      </c>
      <c r="B11" s="806"/>
      <c r="C11" s="686">
        <f>huishoudens!B8</f>
        <v>144634.85169566987</v>
      </c>
      <c r="D11" s="686">
        <f>huishoudens!C8</f>
        <v>0</v>
      </c>
      <c r="E11" s="686">
        <f>huishoudens!D8</f>
        <v>298301.59638941771</v>
      </c>
      <c r="F11" s="686">
        <f>huishoudens!E8</f>
        <v>2942.453639393595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12912.752379550788</v>
      </c>
      <c r="P11" s="686">
        <f>huishoudens!O8</f>
        <v>243.88000000000002</v>
      </c>
      <c r="Q11" s="687">
        <f>huishoudens!P8</f>
        <v>667.33333333333337</v>
      </c>
      <c r="R11" s="689">
        <f>SUM(C11:Q11)</f>
        <v>459702.86743736529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66949.176118368006</v>
      </c>
      <c r="D13" s="686">
        <f>industrie!C18</f>
        <v>0</v>
      </c>
      <c r="E13" s="686">
        <f>industrie!D18</f>
        <v>73698.379122177052</v>
      </c>
      <c r="F13" s="686">
        <f>industrie!E18</f>
        <v>6642.3768135408736</v>
      </c>
      <c r="G13" s="686">
        <f>industrie!F18</f>
        <v>40481.866986104476</v>
      </c>
      <c r="H13" s="686">
        <f>industrie!G18</f>
        <v>0</v>
      </c>
      <c r="I13" s="686">
        <f>industrie!H18</f>
        <v>0</v>
      </c>
      <c r="J13" s="686">
        <f>industrie!I18</f>
        <v>0</v>
      </c>
      <c r="K13" s="686">
        <f>industrie!J18</f>
        <v>61.700152906012072</v>
      </c>
      <c r="L13" s="686">
        <f>industrie!K18</f>
        <v>0</v>
      </c>
      <c r="M13" s="686">
        <f>industrie!L18</f>
        <v>0</v>
      </c>
      <c r="N13" s="686">
        <f>industrie!M18</f>
        <v>0</v>
      </c>
      <c r="O13" s="686">
        <f>industrie!N18</f>
        <v>7166.0691017092622</v>
      </c>
      <c r="P13" s="686">
        <f>industrie!O18</f>
        <v>0</v>
      </c>
      <c r="Q13" s="687">
        <f>industrie!P18</f>
        <v>0</v>
      </c>
      <c r="R13" s="689">
        <f>SUM(C13:Q13)</f>
        <v>194999.56829480568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374697.40479786653</v>
      </c>
      <c r="D16" s="721">
        <f t="shared" ref="D16:R16" ca="1" si="0">SUM(D9:D15)</f>
        <v>321.42857142857144</v>
      </c>
      <c r="E16" s="721">
        <f t="shared" ca="1" si="0"/>
        <v>566293.16588833567</v>
      </c>
      <c r="F16" s="721">
        <f t="shared" si="0"/>
        <v>11986.287585307262</v>
      </c>
      <c r="G16" s="721">
        <f t="shared" ca="1" si="0"/>
        <v>73936.502112296555</v>
      </c>
      <c r="H16" s="721">
        <f t="shared" si="0"/>
        <v>0</v>
      </c>
      <c r="I16" s="721">
        <f t="shared" si="0"/>
        <v>0</v>
      </c>
      <c r="J16" s="721">
        <f t="shared" si="0"/>
        <v>0</v>
      </c>
      <c r="K16" s="721">
        <f t="shared" si="0"/>
        <v>61.700152906012072</v>
      </c>
      <c r="L16" s="721">
        <f t="shared" si="0"/>
        <v>0</v>
      </c>
      <c r="M16" s="721">
        <f t="shared" ca="1" si="0"/>
        <v>0</v>
      </c>
      <c r="N16" s="721">
        <f t="shared" si="0"/>
        <v>0</v>
      </c>
      <c r="O16" s="721">
        <f t="shared" ca="1" si="0"/>
        <v>39009.284881031934</v>
      </c>
      <c r="P16" s="721">
        <f t="shared" si="0"/>
        <v>248.57000000000002</v>
      </c>
      <c r="Q16" s="721">
        <f t="shared" si="0"/>
        <v>915.2</v>
      </c>
      <c r="R16" s="721">
        <f t="shared" ca="1" si="0"/>
        <v>1067469.5439891727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1748.5530035202598</v>
      </c>
      <c r="D19" s="686">
        <f>transport!C54</f>
        <v>0</v>
      </c>
      <c r="E19" s="686">
        <f>transport!D54</f>
        <v>0</v>
      </c>
      <c r="F19" s="686">
        <f>transport!E54</f>
        <v>0</v>
      </c>
      <c r="G19" s="686">
        <f>transport!F54</f>
        <v>0</v>
      </c>
      <c r="H19" s="686">
        <f>transport!G54</f>
        <v>9322.6272699674646</v>
      </c>
      <c r="I19" s="686">
        <f>transport!H54</f>
        <v>0</v>
      </c>
      <c r="J19" s="686">
        <f>transport!I54</f>
        <v>0</v>
      </c>
      <c r="K19" s="686">
        <f>transport!J54</f>
        <v>0</v>
      </c>
      <c r="L19" s="686">
        <f>transport!K54</f>
        <v>0</v>
      </c>
      <c r="M19" s="686">
        <f>transport!L54</f>
        <v>0</v>
      </c>
      <c r="N19" s="686">
        <f>transport!M54</f>
        <v>414.95785232292695</v>
      </c>
      <c r="O19" s="686">
        <f>transport!N54</f>
        <v>0</v>
      </c>
      <c r="P19" s="686">
        <f>transport!O54</f>
        <v>0</v>
      </c>
      <c r="Q19" s="687">
        <f>transport!P54</f>
        <v>0</v>
      </c>
      <c r="R19" s="689">
        <f>SUM(C19:Q19)</f>
        <v>11486.13812581065</v>
      </c>
      <c r="S19" s="67"/>
    </row>
    <row r="20" spans="1:19" s="454" customFormat="1">
      <c r="A20" s="801" t="s">
        <v>306</v>
      </c>
      <c r="B20" s="806"/>
      <c r="C20" s="686">
        <f>transport!B14</f>
        <v>9.7689038645197233</v>
      </c>
      <c r="D20" s="686">
        <f>transport!C14</f>
        <v>0</v>
      </c>
      <c r="E20" s="686">
        <f>transport!D14</f>
        <v>16.553763643745526</v>
      </c>
      <c r="F20" s="686">
        <f>transport!E14</f>
        <v>607.47247407481302</v>
      </c>
      <c r="G20" s="686">
        <f>transport!F14</f>
        <v>0</v>
      </c>
      <c r="H20" s="686">
        <f>transport!G14</f>
        <v>183180.31453599868</v>
      </c>
      <c r="I20" s="686">
        <f>transport!H14</f>
        <v>30360.550253879632</v>
      </c>
      <c r="J20" s="686">
        <f>transport!I14</f>
        <v>0</v>
      </c>
      <c r="K20" s="686">
        <f>transport!J14</f>
        <v>0</v>
      </c>
      <c r="L20" s="686">
        <f>transport!K14</f>
        <v>0</v>
      </c>
      <c r="M20" s="686">
        <f>transport!L14</f>
        <v>0</v>
      </c>
      <c r="N20" s="686">
        <f>transport!M14</f>
        <v>9654.748333108726</v>
      </c>
      <c r="O20" s="686">
        <f>transport!N14</f>
        <v>0</v>
      </c>
      <c r="P20" s="686">
        <f>transport!O14</f>
        <v>0</v>
      </c>
      <c r="Q20" s="687">
        <f>transport!P14</f>
        <v>0</v>
      </c>
      <c r="R20" s="689">
        <f>SUM(C20:Q20)</f>
        <v>223829.40826457011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1758.3219073847795</v>
      </c>
      <c r="D22" s="804">
        <f t="shared" ref="D22:R22" si="1">SUM(D18:D21)</f>
        <v>0</v>
      </c>
      <c r="E22" s="804">
        <f t="shared" si="1"/>
        <v>16.553763643745526</v>
      </c>
      <c r="F22" s="804">
        <f t="shared" si="1"/>
        <v>607.47247407481302</v>
      </c>
      <c r="G22" s="804">
        <f t="shared" si="1"/>
        <v>0</v>
      </c>
      <c r="H22" s="804">
        <f t="shared" si="1"/>
        <v>192502.94180596614</v>
      </c>
      <c r="I22" s="804">
        <f t="shared" si="1"/>
        <v>30360.550253879632</v>
      </c>
      <c r="J22" s="804">
        <f t="shared" si="1"/>
        <v>0</v>
      </c>
      <c r="K22" s="804">
        <f t="shared" si="1"/>
        <v>0</v>
      </c>
      <c r="L22" s="804">
        <f t="shared" si="1"/>
        <v>0</v>
      </c>
      <c r="M22" s="804">
        <f t="shared" si="1"/>
        <v>0</v>
      </c>
      <c r="N22" s="804">
        <f t="shared" si="1"/>
        <v>10069.706185431653</v>
      </c>
      <c r="O22" s="804">
        <f t="shared" si="1"/>
        <v>0</v>
      </c>
      <c r="P22" s="804">
        <f t="shared" si="1"/>
        <v>0</v>
      </c>
      <c r="Q22" s="804">
        <f t="shared" si="1"/>
        <v>0</v>
      </c>
      <c r="R22" s="804">
        <f t="shared" si="1"/>
        <v>235315.54639038077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525.54781665866005</v>
      </c>
      <c r="D24" s="686">
        <f>+landbouw!C8</f>
        <v>0</v>
      </c>
      <c r="E24" s="686">
        <f>+landbouw!D8</f>
        <v>326.28380702940922</v>
      </c>
      <c r="F24" s="686">
        <f>+landbouw!E8</f>
        <v>6.622579533143794</v>
      </c>
      <c r="G24" s="686">
        <f>+landbouw!F8</f>
        <v>1813.2716250673141</v>
      </c>
      <c r="H24" s="686">
        <f>+landbouw!G8</f>
        <v>0</v>
      </c>
      <c r="I24" s="686">
        <f>+landbouw!H8</f>
        <v>0</v>
      </c>
      <c r="J24" s="686">
        <f>+landbouw!I8</f>
        <v>0</v>
      </c>
      <c r="K24" s="686">
        <f>+landbouw!J8</f>
        <v>79.036417408732433</v>
      </c>
      <c r="L24" s="686">
        <f>+landbouw!K8</f>
        <v>0</v>
      </c>
      <c r="M24" s="686">
        <f>+landbouw!L8</f>
        <v>0</v>
      </c>
      <c r="N24" s="686">
        <f>+landbouw!M8</f>
        <v>0</v>
      </c>
      <c r="O24" s="686">
        <f>+landbouw!N8</f>
        <v>0</v>
      </c>
      <c r="P24" s="686">
        <f>+landbouw!O8</f>
        <v>0</v>
      </c>
      <c r="Q24" s="687">
        <f>+landbouw!P8</f>
        <v>0</v>
      </c>
      <c r="R24" s="689">
        <f>SUM(C24:Q24)</f>
        <v>2750.7622456972599</v>
      </c>
      <c r="S24" s="67"/>
    </row>
    <row r="25" spans="1:19" s="454" customFormat="1" ht="15" thickBot="1">
      <c r="A25" s="823" t="s">
        <v>856</v>
      </c>
      <c r="B25" s="991"/>
      <c r="C25" s="992">
        <f>IF(Onbekend_ele_kWh="---",0,Onbekend_ele_kWh)/1000+IF(REST_rest_ele_kWh="---",0,REST_rest_ele_kWh)/1000</f>
        <v>9969.1908599561993</v>
      </c>
      <c r="D25" s="992"/>
      <c r="E25" s="992">
        <f>IF(onbekend_gas_kWh="---",0,onbekend_gas_kWh)/1000+IF(REST_rest_gas_kWh="---",0,REST_rest_gas_kWh)/1000</f>
        <v>32214.0056777106</v>
      </c>
      <c r="F25" s="992"/>
      <c r="G25" s="992"/>
      <c r="H25" s="992"/>
      <c r="I25" s="992"/>
      <c r="J25" s="992"/>
      <c r="K25" s="992"/>
      <c r="L25" s="992"/>
      <c r="M25" s="992"/>
      <c r="N25" s="992"/>
      <c r="O25" s="992"/>
      <c r="P25" s="992"/>
      <c r="Q25" s="993"/>
      <c r="R25" s="689">
        <f>SUM(C25:Q25)</f>
        <v>42183.196537666801</v>
      </c>
      <c r="S25" s="67"/>
    </row>
    <row r="26" spans="1:19" s="454" customFormat="1" ht="15.75" thickBot="1">
      <c r="A26" s="694" t="s">
        <v>857</v>
      </c>
      <c r="B26" s="809"/>
      <c r="C26" s="804">
        <f>SUM(C24:C25)</f>
        <v>10494.738676614859</v>
      </c>
      <c r="D26" s="804">
        <f t="shared" ref="D26:R26" si="2">SUM(D24:D25)</f>
        <v>0</v>
      </c>
      <c r="E26" s="804">
        <f t="shared" si="2"/>
        <v>32540.289484740009</v>
      </c>
      <c r="F26" s="804">
        <f t="shared" si="2"/>
        <v>6.622579533143794</v>
      </c>
      <c r="G26" s="804">
        <f t="shared" si="2"/>
        <v>1813.2716250673141</v>
      </c>
      <c r="H26" s="804">
        <f t="shared" si="2"/>
        <v>0</v>
      </c>
      <c r="I26" s="804">
        <f t="shared" si="2"/>
        <v>0</v>
      </c>
      <c r="J26" s="804">
        <f t="shared" si="2"/>
        <v>0</v>
      </c>
      <c r="K26" s="804">
        <f t="shared" si="2"/>
        <v>79.036417408732433</v>
      </c>
      <c r="L26" s="804">
        <f t="shared" si="2"/>
        <v>0</v>
      </c>
      <c r="M26" s="804">
        <f t="shared" si="2"/>
        <v>0</v>
      </c>
      <c r="N26" s="804">
        <f t="shared" si="2"/>
        <v>0</v>
      </c>
      <c r="O26" s="804">
        <f t="shared" si="2"/>
        <v>0</v>
      </c>
      <c r="P26" s="804">
        <f t="shared" si="2"/>
        <v>0</v>
      </c>
      <c r="Q26" s="804">
        <f t="shared" si="2"/>
        <v>0</v>
      </c>
      <c r="R26" s="804">
        <f t="shared" si="2"/>
        <v>44933.958783364062</v>
      </c>
      <c r="S26" s="67"/>
    </row>
    <row r="27" spans="1:19" s="454" customFormat="1" ht="17.25" thickTop="1" thickBot="1">
      <c r="A27" s="695" t="s">
        <v>115</v>
      </c>
      <c r="B27" s="796"/>
      <c r="C27" s="696">
        <f ca="1">C22+C16+C26</f>
        <v>386950.4653818662</v>
      </c>
      <c r="D27" s="696">
        <f t="shared" ref="D27:R27" ca="1" si="3">D22+D16+D26</f>
        <v>321.42857142857144</v>
      </c>
      <c r="E27" s="696">
        <f t="shared" ca="1" si="3"/>
        <v>598850.0091367194</v>
      </c>
      <c r="F27" s="696">
        <f t="shared" si="3"/>
        <v>12600.382638915218</v>
      </c>
      <c r="G27" s="696">
        <f t="shared" ca="1" si="3"/>
        <v>75749.773737363867</v>
      </c>
      <c r="H27" s="696">
        <f t="shared" si="3"/>
        <v>192502.94180596614</v>
      </c>
      <c r="I27" s="696">
        <f t="shared" si="3"/>
        <v>30360.550253879632</v>
      </c>
      <c r="J27" s="696">
        <f t="shared" si="3"/>
        <v>0</v>
      </c>
      <c r="K27" s="696">
        <f t="shared" si="3"/>
        <v>140.73657031474451</v>
      </c>
      <c r="L27" s="696">
        <f t="shared" si="3"/>
        <v>0</v>
      </c>
      <c r="M27" s="696">
        <f t="shared" ca="1" si="3"/>
        <v>0</v>
      </c>
      <c r="N27" s="696">
        <f t="shared" si="3"/>
        <v>10069.706185431653</v>
      </c>
      <c r="O27" s="696">
        <f t="shared" ca="1" si="3"/>
        <v>39009.284881031934</v>
      </c>
      <c r="P27" s="696">
        <f t="shared" si="3"/>
        <v>248.57000000000002</v>
      </c>
      <c r="Q27" s="696">
        <f t="shared" si="3"/>
        <v>915.2</v>
      </c>
      <c r="R27" s="696">
        <f t="shared" ca="1" si="3"/>
        <v>1347719.0491629175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35145.564983806195</v>
      </c>
      <c r="D40" s="686">
        <f ca="1">tertiair!C20</f>
        <v>76.386554621848759</v>
      </c>
      <c r="E40" s="686">
        <f ca="1">tertiair!D20</f>
        <v>39247.224456101678</v>
      </c>
      <c r="F40" s="686">
        <f>tertiair!E20</f>
        <v>545.1307690486243</v>
      </c>
      <c r="G40" s="686">
        <f ca="1">tertiair!F20</f>
        <v>8932.387578693284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83946.694342271629</v>
      </c>
    </row>
    <row r="41" spans="1:18">
      <c r="A41" s="814" t="s">
        <v>224</v>
      </c>
      <c r="B41" s="821"/>
      <c r="C41" s="686">
        <f ca="1">huishoudens!B12</f>
        <v>31164.050877919719</v>
      </c>
      <c r="D41" s="686">
        <f ca="1">huishoudens!C12</f>
        <v>0</v>
      </c>
      <c r="E41" s="686">
        <f>huishoudens!D12</f>
        <v>60256.922470662379</v>
      </c>
      <c r="F41" s="686">
        <f>huishoudens!E12</f>
        <v>667.93697614234611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92088.910324724449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14425.34428131952</v>
      </c>
      <c r="D43" s="686">
        <f ca="1">industrie!C22</f>
        <v>0</v>
      </c>
      <c r="E43" s="686">
        <f>industrie!D22</f>
        <v>14887.072582679766</v>
      </c>
      <c r="F43" s="686">
        <f>industrie!E22</f>
        <v>1507.8195366737784</v>
      </c>
      <c r="G43" s="686">
        <f>industrie!F22</f>
        <v>10808.658485289896</v>
      </c>
      <c r="H43" s="686">
        <f>industrie!G22</f>
        <v>0</v>
      </c>
      <c r="I43" s="686">
        <f>industrie!H22</f>
        <v>0</v>
      </c>
      <c r="J43" s="686">
        <f>industrie!I22</f>
        <v>0</v>
      </c>
      <c r="K43" s="686">
        <f>industrie!J22</f>
        <v>21.841854128728272</v>
      </c>
      <c r="L43" s="686">
        <f>industrie!K22</f>
        <v>0</v>
      </c>
      <c r="M43" s="686">
        <f>industrie!L22</f>
        <v>0</v>
      </c>
      <c r="N43" s="686">
        <f>industrie!M22</f>
        <v>0</v>
      </c>
      <c r="O43" s="686">
        <f>industrie!N22</f>
        <v>0</v>
      </c>
      <c r="P43" s="686">
        <f>industrie!O22</f>
        <v>0</v>
      </c>
      <c r="Q43" s="763">
        <f>industrie!P22</f>
        <v>0</v>
      </c>
      <c r="R43" s="841">
        <f t="shared" ca="1" si="4"/>
        <v>41650.736740091685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80734.96014304542</v>
      </c>
      <c r="D46" s="721">
        <f t="shared" ref="D46:Q46" ca="1" si="5">SUM(D39:D45)</f>
        <v>76.386554621848759</v>
      </c>
      <c r="E46" s="721">
        <f t="shared" ca="1" si="5"/>
        <v>114391.21950944382</v>
      </c>
      <c r="F46" s="721">
        <f t="shared" si="5"/>
        <v>2720.8872818647487</v>
      </c>
      <c r="G46" s="721">
        <f t="shared" ca="1" si="5"/>
        <v>19741.04606398318</v>
      </c>
      <c r="H46" s="721">
        <f t="shared" si="5"/>
        <v>0</v>
      </c>
      <c r="I46" s="721">
        <f t="shared" si="5"/>
        <v>0</v>
      </c>
      <c r="J46" s="721">
        <f t="shared" si="5"/>
        <v>0</v>
      </c>
      <c r="K46" s="721">
        <f t="shared" si="5"/>
        <v>21.841854128728272</v>
      </c>
      <c r="L46" s="721">
        <f t="shared" si="5"/>
        <v>0</v>
      </c>
      <c r="M46" s="721">
        <f t="shared" ca="1" si="5"/>
        <v>0</v>
      </c>
      <c r="N46" s="721">
        <f t="shared" si="5"/>
        <v>0</v>
      </c>
      <c r="O46" s="721">
        <f t="shared" ca="1" si="5"/>
        <v>0</v>
      </c>
      <c r="P46" s="721">
        <f t="shared" si="5"/>
        <v>0</v>
      </c>
      <c r="Q46" s="721">
        <f t="shared" si="5"/>
        <v>0</v>
      </c>
      <c r="R46" s="721">
        <f ca="1">SUM(R39:R45)</f>
        <v>217686.34140708775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376.75563064912461</v>
      </c>
      <c r="D49" s="686">
        <f ca="1">transport!C58</f>
        <v>0</v>
      </c>
      <c r="E49" s="686">
        <f>transport!D58</f>
        <v>0</v>
      </c>
      <c r="F49" s="686">
        <f>transport!E58</f>
        <v>0</v>
      </c>
      <c r="G49" s="686">
        <f>transport!F58</f>
        <v>0</v>
      </c>
      <c r="H49" s="686">
        <f>transport!G58</f>
        <v>2489.141481081313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2865.8971117304377</v>
      </c>
    </row>
    <row r="50" spans="1:18">
      <c r="A50" s="817" t="s">
        <v>306</v>
      </c>
      <c r="B50" s="827"/>
      <c r="C50" s="692">
        <f ca="1">transport!B18</f>
        <v>2.1048773064460065</v>
      </c>
      <c r="D50" s="692">
        <f>transport!C18</f>
        <v>0</v>
      </c>
      <c r="E50" s="692">
        <f>transport!D18</f>
        <v>3.3438602560365966</v>
      </c>
      <c r="F50" s="692">
        <f>transport!E18</f>
        <v>137.89625161498256</v>
      </c>
      <c r="G50" s="692">
        <f>transport!F18</f>
        <v>0</v>
      </c>
      <c r="H50" s="692">
        <f>transport!G18</f>
        <v>48909.143981111651</v>
      </c>
      <c r="I50" s="692">
        <f>transport!H18</f>
        <v>7559.7770132160285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56612.265983505145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378.8605079555706</v>
      </c>
      <c r="D52" s="721">
        <f t="shared" ref="D52:Q52" ca="1" si="6">SUM(D48:D51)</f>
        <v>0</v>
      </c>
      <c r="E52" s="721">
        <f t="shared" si="6"/>
        <v>3.3438602560365966</v>
      </c>
      <c r="F52" s="721">
        <f t="shared" si="6"/>
        <v>137.89625161498256</v>
      </c>
      <c r="G52" s="721">
        <f t="shared" si="6"/>
        <v>0</v>
      </c>
      <c r="H52" s="721">
        <f t="shared" si="6"/>
        <v>51398.285462192965</v>
      </c>
      <c r="I52" s="721">
        <f t="shared" si="6"/>
        <v>7559.7770132160285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59478.163095235584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113.23825969408756</v>
      </c>
      <c r="D54" s="692">
        <f ca="1">+landbouw!C12</f>
        <v>0</v>
      </c>
      <c r="E54" s="692">
        <f>+landbouw!D12</f>
        <v>65.909329019940671</v>
      </c>
      <c r="F54" s="692">
        <f>+landbouw!E12</f>
        <v>1.5033255540236412</v>
      </c>
      <c r="G54" s="692">
        <f>+landbouw!F12</f>
        <v>484.14352389297289</v>
      </c>
      <c r="H54" s="692">
        <f>+landbouw!G12</f>
        <v>0</v>
      </c>
      <c r="I54" s="692">
        <f>+landbouw!H12</f>
        <v>0</v>
      </c>
      <c r="J54" s="692">
        <f>+landbouw!I12</f>
        <v>0</v>
      </c>
      <c r="K54" s="692">
        <f>+landbouw!J12</f>
        <v>27.97889176269128</v>
      </c>
      <c r="L54" s="692">
        <f>+landbouw!K12</f>
        <v>0</v>
      </c>
      <c r="M54" s="692">
        <f>+landbouw!L12</f>
        <v>0</v>
      </c>
      <c r="N54" s="692">
        <f>+landbouw!M12</f>
        <v>0</v>
      </c>
      <c r="O54" s="692">
        <f>+landbouw!N12</f>
        <v>0</v>
      </c>
      <c r="P54" s="692">
        <f>+landbouw!O12</f>
        <v>0</v>
      </c>
      <c r="Q54" s="693">
        <f>+landbouw!P12</f>
        <v>0</v>
      </c>
      <c r="R54" s="720">
        <f ca="1">SUM(C54:Q54)</f>
        <v>692.77332992371612</v>
      </c>
    </row>
    <row r="55" spans="1:18" ht="15" thickBot="1">
      <c r="A55" s="817" t="s">
        <v>856</v>
      </c>
      <c r="B55" s="827"/>
      <c r="C55" s="692">
        <f ca="1">C25*'EF ele_warmte'!B12</f>
        <v>2148.0325628920909</v>
      </c>
      <c r="D55" s="692"/>
      <c r="E55" s="692">
        <f>E25*EF_CO2_aardgas</f>
        <v>6507.2291468975418</v>
      </c>
      <c r="F55" s="692"/>
      <c r="G55" s="692"/>
      <c r="H55" s="692"/>
      <c r="I55" s="692"/>
      <c r="J55" s="692"/>
      <c r="K55" s="692"/>
      <c r="L55" s="692"/>
      <c r="M55" s="692"/>
      <c r="N55" s="692"/>
      <c r="O55" s="692"/>
      <c r="P55" s="692"/>
      <c r="Q55" s="693"/>
      <c r="R55" s="720">
        <f ca="1">SUM(C55:Q55)</f>
        <v>8655.2617097896327</v>
      </c>
    </row>
    <row r="56" spans="1:18" ht="15.75" thickBot="1">
      <c r="A56" s="815" t="s">
        <v>857</v>
      </c>
      <c r="B56" s="828"/>
      <c r="C56" s="721">
        <f ca="1">SUM(C54:C55)</f>
        <v>2261.2708225861784</v>
      </c>
      <c r="D56" s="721">
        <f t="shared" ref="D56:Q56" ca="1" si="7">SUM(D54:D55)</f>
        <v>0</v>
      </c>
      <c r="E56" s="721">
        <f t="shared" si="7"/>
        <v>6573.1384759174825</v>
      </c>
      <c r="F56" s="721">
        <f t="shared" si="7"/>
        <v>1.5033255540236412</v>
      </c>
      <c r="G56" s="721">
        <f t="shared" si="7"/>
        <v>484.14352389297289</v>
      </c>
      <c r="H56" s="721">
        <f t="shared" si="7"/>
        <v>0</v>
      </c>
      <c r="I56" s="721">
        <f t="shared" si="7"/>
        <v>0</v>
      </c>
      <c r="J56" s="721">
        <f t="shared" si="7"/>
        <v>0</v>
      </c>
      <c r="K56" s="721">
        <f t="shared" si="7"/>
        <v>27.97889176269128</v>
      </c>
      <c r="L56" s="721">
        <f t="shared" si="7"/>
        <v>0</v>
      </c>
      <c r="M56" s="721">
        <f t="shared" si="7"/>
        <v>0</v>
      </c>
      <c r="N56" s="721">
        <f t="shared" si="7"/>
        <v>0</v>
      </c>
      <c r="O56" s="721">
        <f t="shared" si="7"/>
        <v>0</v>
      </c>
      <c r="P56" s="721">
        <f t="shared" si="7"/>
        <v>0</v>
      </c>
      <c r="Q56" s="722">
        <f t="shared" si="7"/>
        <v>0</v>
      </c>
      <c r="R56" s="723">
        <f ca="1">SUM(R54:R55)</f>
        <v>9348.0350397133479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83375.091473587163</v>
      </c>
      <c r="D61" s="729">
        <f t="shared" ref="D61:Q61" ca="1" si="8">D46+D52+D56</f>
        <v>76.386554621848759</v>
      </c>
      <c r="E61" s="729">
        <f t="shared" ca="1" si="8"/>
        <v>120967.70184561734</v>
      </c>
      <c r="F61" s="729">
        <f t="shared" si="8"/>
        <v>2860.2868590337553</v>
      </c>
      <c r="G61" s="729">
        <f t="shared" ca="1" si="8"/>
        <v>20225.189587876153</v>
      </c>
      <c r="H61" s="729">
        <f t="shared" si="8"/>
        <v>51398.285462192965</v>
      </c>
      <c r="I61" s="729">
        <f t="shared" si="8"/>
        <v>7559.7770132160285</v>
      </c>
      <c r="J61" s="729">
        <f t="shared" si="8"/>
        <v>0</v>
      </c>
      <c r="K61" s="729">
        <f t="shared" si="8"/>
        <v>49.820745891419548</v>
      </c>
      <c r="L61" s="729">
        <f t="shared" si="8"/>
        <v>0</v>
      </c>
      <c r="M61" s="729">
        <f t="shared" ca="1" si="8"/>
        <v>0</v>
      </c>
      <c r="N61" s="729">
        <f t="shared" si="8"/>
        <v>0</v>
      </c>
      <c r="O61" s="729">
        <f t="shared" ca="1" si="8"/>
        <v>0</v>
      </c>
      <c r="P61" s="729">
        <f t="shared" si="8"/>
        <v>0</v>
      </c>
      <c r="Q61" s="729">
        <f t="shared" si="8"/>
        <v>0</v>
      </c>
      <c r="R61" s="729">
        <f ca="1">R46+R52+R56</f>
        <v>286512.53954203671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0.21546709187003449</v>
      </c>
      <c r="D63" s="772">
        <f t="shared" ca="1" si="9"/>
        <v>0.23764705882352946</v>
      </c>
      <c r="E63" s="998">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9704.5563983735447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225</v>
      </c>
      <c r="D76" s="1008">
        <f>'lokale energieproductie'!C8</f>
        <v>264.70588235294116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53.470588235294116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9704.5563983735447</v>
      </c>
      <c r="C78" s="744">
        <f>SUM(C72:C77)</f>
        <v>225</v>
      </c>
      <c r="D78" s="745">
        <f t="shared" ref="D78:H78" si="10">SUM(D76:D77)</f>
        <v>264.70588235294116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53.470588235294116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321.42857142857144</v>
      </c>
      <c r="D87" s="766">
        <f>'lokale energieproductie'!C17</f>
        <v>378.15126050420173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76.386554621848759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321.42857142857144</v>
      </c>
      <c r="D90" s="744">
        <f t="shared" ref="D90:H90" si="12">SUM(D87:D89)</f>
        <v>378.15126050420173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76.386554621848759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9704.5563983735447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225</v>
      </c>
      <c r="C8" s="556">
        <f>B48</f>
        <v>264.70588235294116</v>
      </c>
      <c r="D8" s="1015"/>
      <c r="E8" s="1015">
        <f>E48</f>
        <v>0</v>
      </c>
      <c r="F8" s="1016"/>
      <c r="G8" s="557"/>
      <c r="H8" s="1015">
        <f>I48</f>
        <v>0</v>
      </c>
      <c r="I8" s="1015">
        <f>G48+F48</f>
        <v>0</v>
      </c>
      <c r="J8" s="1015">
        <f>H48+D48+C48</f>
        <v>0</v>
      </c>
      <c r="K8" s="1015"/>
      <c r="L8" s="1015"/>
      <c r="M8" s="1015"/>
      <c r="N8" s="558"/>
      <c r="O8" s="559">
        <f>C8*$C$12+D8*$D$12+E8*$E$12+F8*$F$12+G8*$G$12+H8*$H$12+I8*$I$12+J8*$J$12</f>
        <v>53.470588235294116</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9929.5563983735447</v>
      </c>
      <c r="C10" s="569">
        <f t="shared" ref="C10:L10" si="0">SUM(C8:C9)</f>
        <v>264.70588235294116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53.470588235294116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321.42857142857144</v>
      </c>
      <c r="C17" s="581">
        <f>B49</f>
        <v>378.15126050420173</v>
      </c>
      <c r="D17" s="582"/>
      <c r="E17" s="582">
        <f>E49</f>
        <v>0</v>
      </c>
      <c r="F17" s="1021"/>
      <c r="G17" s="583"/>
      <c r="H17" s="581">
        <f>I49</f>
        <v>0</v>
      </c>
      <c r="I17" s="582">
        <f>G49+F49</f>
        <v>0</v>
      </c>
      <c r="J17" s="582">
        <f>H49+D49+C49</f>
        <v>0</v>
      </c>
      <c r="K17" s="582"/>
      <c r="L17" s="582"/>
      <c r="M17" s="582"/>
      <c r="N17" s="1022"/>
      <c r="O17" s="584">
        <f>C17*$C$22+E17*$E$22+H17*$H$22+I17*$I$22+J17*$J$22+D17*$D$22+F17*$F$22+G17*$G$22+K17*$K$22+L17*$L$22</f>
        <v>76.386554621848759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321.42857142857144</v>
      </c>
      <c r="C20" s="568">
        <f>SUM(C17:C19)</f>
        <v>378.15126050420173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76.386554621848759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35013</v>
      </c>
      <c r="C28" s="787">
        <v>8400</v>
      </c>
      <c r="D28" s="640" t="s">
        <v>920</v>
      </c>
      <c r="E28" s="639" t="s">
        <v>921</v>
      </c>
      <c r="F28" s="639" t="s">
        <v>922</v>
      </c>
      <c r="G28" s="639" t="s">
        <v>923</v>
      </c>
      <c r="H28" s="639" t="s">
        <v>924</v>
      </c>
      <c r="I28" s="639" t="s">
        <v>925</v>
      </c>
      <c r="J28" s="786">
        <v>40590</v>
      </c>
      <c r="K28" s="786">
        <v>41030</v>
      </c>
      <c r="L28" s="639" t="s">
        <v>926</v>
      </c>
      <c r="M28" s="639">
        <v>50</v>
      </c>
      <c r="N28" s="639">
        <v>225</v>
      </c>
      <c r="O28" s="639">
        <v>321.42857142857144</v>
      </c>
      <c r="P28" s="639">
        <v>642.85714285714289</v>
      </c>
      <c r="Q28" s="639">
        <v>0</v>
      </c>
      <c r="R28" s="639">
        <v>0</v>
      </c>
      <c r="S28" s="639">
        <v>0</v>
      </c>
      <c r="T28" s="639">
        <v>0</v>
      </c>
      <c r="U28" s="639">
        <v>0</v>
      </c>
      <c r="V28" s="639">
        <v>0</v>
      </c>
      <c r="W28" s="639">
        <v>0</v>
      </c>
      <c r="X28" s="639">
        <v>1300</v>
      </c>
      <c r="Y28" s="639" t="s">
        <v>53</v>
      </c>
      <c r="Z28" s="641" t="s">
        <v>155</v>
      </c>
    </row>
    <row r="29" spans="1:26" s="576" customFormat="1">
      <c r="A29" s="595" t="s">
        <v>279</v>
      </c>
      <c r="B29" s="596"/>
      <c r="C29" s="596"/>
      <c r="D29" s="596"/>
      <c r="E29" s="596"/>
      <c r="F29" s="596"/>
      <c r="G29" s="596"/>
      <c r="H29" s="596"/>
      <c r="I29" s="596"/>
      <c r="J29" s="596"/>
      <c r="K29" s="596"/>
      <c r="L29" s="597"/>
      <c r="M29" s="597">
        <f>SUM(M28:M28)</f>
        <v>50</v>
      </c>
      <c r="N29" s="597">
        <f>SUM(N28:N28)</f>
        <v>225</v>
      </c>
      <c r="O29" s="597">
        <f>SUM(O28:O28)</f>
        <v>321.42857142857144</v>
      </c>
      <c r="P29" s="597">
        <f>SUM(P28:P28)</f>
        <v>642.85714285714289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50</v>
      </c>
      <c r="N31" s="597">
        <f ca="1">SUMIF($Z$28:AD28,"tertiair",N28:N28)</f>
        <v>225</v>
      </c>
      <c r="O31" s="597">
        <f ca="1">SUMIF($Z$28:AE28,"tertiair",O28:O28)</f>
        <v>321.42857142857144</v>
      </c>
      <c r="P31" s="597">
        <f ca="1">SUMIF($Z$28:AF28,"tertiair",P28:P28)</f>
        <v>642.85714285714289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264.70588235294116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378.15126050420173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144634.85169566987</v>
      </c>
      <c r="C4" s="458">
        <f>huishoudens!C8</f>
        <v>0</v>
      </c>
      <c r="D4" s="458">
        <f>huishoudens!D8</f>
        <v>298301.59638941771</v>
      </c>
      <c r="E4" s="458">
        <f>huishoudens!E8</f>
        <v>2942.453639393595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12912.752379550788</v>
      </c>
      <c r="O4" s="458">
        <f>huishoudens!O8</f>
        <v>243.88000000000002</v>
      </c>
      <c r="P4" s="459">
        <f>huishoudens!P8</f>
        <v>667.33333333333337</v>
      </c>
      <c r="Q4" s="460">
        <f>SUM(B4:P4)</f>
        <v>459702.86743736529</v>
      </c>
    </row>
    <row r="5" spans="1:17">
      <c r="A5" s="457" t="s">
        <v>155</v>
      </c>
      <c r="B5" s="458">
        <f ca="1">tertiair!B16</f>
        <v>158946.94546940288</v>
      </c>
      <c r="C5" s="458">
        <f ca="1">tertiair!C16</f>
        <v>321.42857142857144</v>
      </c>
      <c r="D5" s="458">
        <f ca="1">tertiair!D16</f>
        <v>194293.19037674097</v>
      </c>
      <c r="E5" s="458">
        <f>tertiair!E16</f>
        <v>2401.4571323727941</v>
      </c>
      <c r="F5" s="458">
        <f ca="1">tertiair!F16</f>
        <v>33454.635126192072</v>
      </c>
      <c r="G5" s="458">
        <f>tertiair!G16</f>
        <v>0</v>
      </c>
      <c r="H5" s="458">
        <f>tertiair!H16</f>
        <v>0</v>
      </c>
      <c r="I5" s="458">
        <f>tertiair!I16</f>
        <v>0</v>
      </c>
      <c r="J5" s="458">
        <f>tertiair!J16</f>
        <v>0</v>
      </c>
      <c r="K5" s="458">
        <f>tertiair!K16</f>
        <v>0</v>
      </c>
      <c r="L5" s="458">
        <f ca="1">tertiair!L16</f>
        <v>0</v>
      </c>
      <c r="M5" s="458">
        <f>tertiair!M16</f>
        <v>0</v>
      </c>
      <c r="N5" s="458">
        <f ca="1">tertiair!N16</f>
        <v>18930.463399771881</v>
      </c>
      <c r="O5" s="458">
        <f>tertiair!O16</f>
        <v>4.6900000000000004</v>
      </c>
      <c r="P5" s="459">
        <f>tertiair!P16</f>
        <v>247.86666666666667</v>
      </c>
      <c r="Q5" s="457">
        <f t="shared" ref="Q5:Q14" ca="1" si="0">SUM(B5:P5)</f>
        <v>408600.67674257583</v>
      </c>
    </row>
    <row r="6" spans="1:17">
      <c r="A6" s="457" t="s">
        <v>193</v>
      </c>
      <c r="B6" s="458">
        <f>'openbare verlichting'!B8</f>
        <v>4166.4315144258098</v>
      </c>
      <c r="C6" s="458"/>
      <c r="D6" s="458"/>
      <c r="E6" s="458"/>
      <c r="F6" s="458"/>
      <c r="G6" s="458"/>
      <c r="H6" s="458"/>
      <c r="I6" s="458"/>
      <c r="J6" s="458"/>
      <c r="K6" s="458"/>
      <c r="L6" s="458"/>
      <c r="M6" s="458"/>
      <c r="N6" s="458"/>
      <c r="O6" s="458"/>
      <c r="P6" s="459"/>
      <c r="Q6" s="457">
        <f t="shared" si="0"/>
        <v>4166.4315144258098</v>
      </c>
    </row>
    <row r="7" spans="1:17">
      <c r="A7" s="457" t="s">
        <v>111</v>
      </c>
      <c r="B7" s="458">
        <f>landbouw!B8</f>
        <v>525.54781665866005</v>
      </c>
      <c r="C7" s="458">
        <f>landbouw!C8</f>
        <v>0</v>
      </c>
      <c r="D7" s="458">
        <f>landbouw!D8</f>
        <v>326.28380702940922</v>
      </c>
      <c r="E7" s="458">
        <f>landbouw!E8</f>
        <v>6.622579533143794</v>
      </c>
      <c r="F7" s="458">
        <f>landbouw!F8</f>
        <v>1813.2716250673141</v>
      </c>
      <c r="G7" s="458">
        <f>landbouw!G8</f>
        <v>0</v>
      </c>
      <c r="H7" s="458">
        <f>landbouw!H8</f>
        <v>0</v>
      </c>
      <c r="I7" s="458">
        <f>landbouw!I8</f>
        <v>0</v>
      </c>
      <c r="J7" s="458">
        <f>landbouw!J8</f>
        <v>79.036417408732433</v>
      </c>
      <c r="K7" s="458">
        <f>landbouw!K8</f>
        <v>0</v>
      </c>
      <c r="L7" s="458">
        <f>landbouw!L8</f>
        <v>0</v>
      </c>
      <c r="M7" s="458">
        <f>landbouw!M8</f>
        <v>0</v>
      </c>
      <c r="N7" s="458">
        <f>landbouw!N8</f>
        <v>0</v>
      </c>
      <c r="O7" s="458">
        <f>landbouw!O8</f>
        <v>0</v>
      </c>
      <c r="P7" s="459">
        <f>landbouw!P8</f>
        <v>0</v>
      </c>
      <c r="Q7" s="457">
        <f t="shared" si="0"/>
        <v>2750.7622456972599</v>
      </c>
    </row>
    <row r="8" spans="1:17">
      <c r="A8" s="457" t="s">
        <v>655</v>
      </c>
      <c r="B8" s="458">
        <f>industrie!B18</f>
        <v>66949.176118368006</v>
      </c>
      <c r="C8" s="458">
        <f>industrie!C18</f>
        <v>0</v>
      </c>
      <c r="D8" s="458">
        <f>industrie!D18</f>
        <v>73698.379122177052</v>
      </c>
      <c r="E8" s="458">
        <f>industrie!E18</f>
        <v>6642.3768135408736</v>
      </c>
      <c r="F8" s="458">
        <f>industrie!F18</f>
        <v>40481.866986104476</v>
      </c>
      <c r="G8" s="458">
        <f>industrie!G18</f>
        <v>0</v>
      </c>
      <c r="H8" s="458">
        <f>industrie!H18</f>
        <v>0</v>
      </c>
      <c r="I8" s="458">
        <f>industrie!I18</f>
        <v>0</v>
      </c>
      <c r="J8" s="458">
        <f>industrie!J18</f>
        <v>61.700152906012072</v>
      </c>
      <c r="K8" s="458">
        <f>industrie!K18</f>
        <v>0</v>
      </c>
      <c r="L8" s="458">
        <f>industrie!L18</f>
        <v>0</v>
      </c>
      <c r="M8" s="458">
        <f>industrie!M18</f>
        <v>0</v>
      </c>
      <c r="N8" s="458">
        <f>industrie!N18</f>
        <v>7166.0691017092622</v>
      </c>
      <c r="O8" s="458">
        <f>industrie!O18</f>
        <v>0</v>
      </c>
      <c r="P8" s="459">
        <f>industrie!P18</f>
        <v>0</v>
      </c>
      <c r="Q8" s="457">
        <f t="shared" si="0"/>
        <v>194999.56829480568</v>
      </c>
    </row>
    <row r="9" spans="1:17" s="463" customFormat="1">
      <c r="A9" s="461" t="s">
        <v>573</v>
      </c>
      <c r="B9" s="462">
        <f>transport!B14</f>
        <v>9.7689038645197233</v>
      </c>
      <c r="C9" s="462">
        <f>transport!C14</f>
        <v>0</v>
      </c>
      <c r="D9" s="462">
        <f>transport!D14</f>
        <v>16.553763643745526</v>
      </c>
      <c r="E9" s="462">
        <f>transport!E14</f>
        <v>607.47247407481302</v>
      </c>
      <c r="F9" s="462">
        <f>transport!F14</f>
        <v>0</v>
      </c>
      <c r="G9" s="462">
        <f>transport!G14</f>
        <v>183180.31453599868</v>
      </c>
      <c r="H9" s="462">
        <f>transport!H14</f>
        <v>30360.550253879632</v>
      </c>
      <c r="I9" s="462">
        <f>transport!I14</f>
        <v>0</v>
      </c>
      <c r="J9" s="462">
        <f>transport!J14</f>
        <v>0</v>
      </c>
      <c r="K9" s="462">
        <f>transport!K14</f>
        <v>0</v>
      </c>
      <c r="L9" s="462">
        <f>transport!L14</f>
        <v>0</v>
      </c>
      <c r="M9" s="462">
        <f>transport!M14</f>
        <v>9654.748333108726</v>
      </c>
      <c r="N9" s="462">
        <f>transport!N14</f>
        <v>0</v>
      </c>
      <c r="O9" s="462">
        <f>transport!O14</f>
        <v>0</v>
      </c>
      <c r="P9" s="462">
        <f>transport!P14</f>
        <v>0</v>
      </c>
      <c r="Q9" s="461">
        <f>SUM(B9:P9)</f>
        <v>223829.40826457011</v>
      </c>
    </row>
    <row r="10" spans="1:17">
      <c r="A10" s="457" t="s">
        <v>563</v>
      </c>
      <c r="B10" s="458">
        <f>transport!B54</f>
        <v>1748.5530035202598</v>
      </c>
      <c r="C10" s="458">
        <f>transport!C54</f>
        <v>0</v>
      </c>
      <c r="D10" s="458">
        <f>transport!D54</f>
        <v>0</v>
      </c>
      <c r="E10" s="458">
        <f>transport!E54</f>
        <v>0</v>
      </c>
      <c r="F10" s="458">
        <f>transport!F54</f>
        <v>0</v>
      </c>
      <c r="G10" s="458">
        <f>transport!G54</f>
        <v>9322.6272699674646</v>
      </c>
      <c r="H10" s="458">
        <f>transport!H54</f>
        <v>0</v>
      </c>
      <c r="I10" s="458">
        <f>transport!I54</f>
        <v>0</v>
      </c>
      <c r="J10" s="458">
        <f>transport!J54</f>
        <v>0</v>
      </c>
      <c r="K10" s="458">
        <f>transport!K54</f>
        <v>0</v>
      </c>
      <c r="L10" s="458">
        <f>transport!L54</f>
        <v>0</v>
      </c>
      <c r="M10" s="458">
        <f>transport!M54</f>
        <v>414.95785232292695</v>
      </c>
      <c r="N10" s="458">
        <f>transport!N54</f>
        <v>0</v>
      </c>
      <c r="O10" s="458">
        <f>transport!O54</f>
        <v>0</v>
      </c>
      <c r="P10" s="459">
        <f>transport!P54</f>
        <v>0</v>
      </c>
      <c r="Q10" s="457">
        <f t="shared" si="0"/>
        <v>11486.13812581065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9969.1908599561993</v>
      </c>
      <c r="C14" s="465"/>
      <c r="D14" s="465">
        <f>'SEAP template'!E25</f>
        <v>32214.0056777106</v>
      </c>
      <c r="E14" s="465"/>
      <c r="F14" s="465"/>
      <c r="G14" s="465"/>
      <c r="H14" s="465"/>
      <c r="I14" s="465"/>
      <c r="J14" s="465"/>
      <c r="K14" s="465"/>
      <c r="L14" s="465"/>
      <c r="M14" s="465"/>
      <c r="N14" s="465"/>
      <c r="O14" s="465"/>
      <c r="P14" s="466"/>
      <c r="Q14" s="457">
        <f t="shared" si="0"/>
        <v>42183.196537666801</v>
      </c>
    </row>
    <row r="15" spans="1:17" s="470" customFormat="1">
      <c r="A15" s="467" t="s">
        <v>567</v>
      </c>
      <c r="B15" s="468">
        <f ca="1">SUM(B4:B14)</f>
        <v>386950.4653818662</v>
      </c>
      <c r="C15" s="468">
        <f t="shared" ref="C15:Q15" ca="1" si="1">SUM(C4:C14)</f>
        <v>321.42857142857144</v>
      </c>
      <c r="D15" s="468">
        <f t="shared" ca="1" si="1"/>
        <v>598850.00913671951</v>
      </c>
      <c r="E15" s="468">
        <f t="shared" si="1"/>
        <v>12600.38263891522</v>
      </c>
      <c r="F15" s="468">
        <f t="shared" ca="1" si="1"/>
        <v>75749.773737363867</v>
      </c>
      <c r="G15" s="468">
        <f t="shared" si="1"/>
        <v>192502.94180596614</v>
      </c>
      <c r="H15" s="468">
        <f t="shared" si="1"/>
        <v>30360.550253879632</v>
      </c>
      <c r="I15" s="468">
        <f t="shared" si="1"/>
        <v>0</v>
      </c>
      <c r="J15" s="468">
        <f t="shared" si="1"/>
        <v>140.73657031474451</v>
      </c>
      <c r="K15" s="468">
        <f t="shared" si="1"/>
        <v>0</v>
      </c>
      <c r="L15" s="468">
        <f t="shared" ca="1" si="1"/>
        <v>0</v>
      </c>
      <c r="M15" s="468">
        <f t="shared" si="1"/>
        <v>10069.706185431653</v>
      </c>
      <c r="N15" s="468">
        <f t="shared" ca="1" si="1"/>
        <v>39009.284881031934</v>
      </c>
      <c r="O15" s="468">
        <f t="shared" si="1"/>
        <v>248.57000000000002</v>
      </c>
      <c r="P15" s="468">
        <f t="shared" si="1"/>
        <v>915.2</v>
      </c>
      <c r="Q15" s="468">
        <f t="shared" ca="1" si="1"/>
        <v>1347719.0491629171</v>
      </c>
    </row>
    <row r="17" spans="1:17">
      <c r="A17" s="471" t="s">
        <v>568</v>
      </c>
      <c r="B17" s="777">
        <f ca="1">huishoudens!B10</f>
        <v>0.21546709187003452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31164.050877919719</v>
      </c>
      <c r="C22" s="458">
        <f t="shared" ref="C22:C32" ca="1" si="3">C4*$C$17</f>
        <v>0</v>
      </c>
      <c r="D22" s="458">
        <f t="shared" ref="D22:D32" si="4">D4*$D$17</f>
        <v>60256.922470662379</v>
      </c>
      <c r="E22" s="458">
        <f t="shared" ref="E22:E32" si="5">E4*$E$17</f>
        <v>667.93697614234611</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92088.910324724449</v>
      </c>
    </row>
    <row r="23" spans="1:17">
      <c r="A23" s="457" t="s">
        <v>155</v>
      </c>
      <c r="B23" s="458">
        <f t="shared" ca="1" si="2"/>
        <v>34247.836101917201</v>
      </c>
      <c r="C23" s="458">
        <f t="shared" ca="1" si="3"/>
        <v>76.386554621848759</v>
      </c>
      <c r="D23" s="458">
        <f t="shared" ca="1" si="4"/>
        <v>39247.224456101678</v>
      </c>
      <c r="E23" s="458">
        <f t="shared" si="5"/>
        <v>545.1307690486243</v>
      </c>
      <c r="F23" s="458">
        <f t="shared" ca="1" si="6"/>
        <v>8932.387578693284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83048.965460382635</v>
      </c>
    </row>
    <row r="24" spans="1:17">
      <c r="A24" s="457" t="s">
        <v>193</v>
      </c>
      <c r="B24" s="458">
        <f t="shared" ca="1" si="2"/>
        <v>897.72888188899299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897.72888188899299</v>
      </c>
    </row>
    <row r="25" spans="1:17">
      <c r="A25" s="457" t="s">
        <v>111</v>
      </c>
      <c r="B25" s="458">
        <f t="shared" ca="1" si="2"/>
        <v>113.23825969408756</v>
      </c>
      <c r="C25" s="458">
        <f t="shared" ca="1" si="3"/>
        <v>0</v>
      </c>
      <c r="D25" s="458">
        <f t="shared" si="4"/>
        <v>65.909329019940671</v>
      </c>
      <c r="E25" s="458">
        <f t="shared" si="5"/>
        <v>1.5033255540236412</v>
      </c>
      <c r="F25" s="458">
        <f t="shared" si="6"/>
        <v>484.14352389297289</v>
      </c>
      <c r="G25" s="458">
        <f t="shared" si="7"/>
        <v>0</v>
      </c>
      <c r="H25" s="458">
        <f t="shared" si="8"/>
        <v>0</v>
      </c>
      <c r="I25" s="458">
        <f t="shared" si="9"/>
        <v>0</v>
      </c>
      <c r="J25" s="458">
        <f t="shared" si="10"/>
        <v>27.97889176269128</v>
      </c>
      <c r="K25" s="458">
        <f t="shared" si="11"/>
        <v>0</v>
      </c>
      <c r="L25" s="458">
        <f t="shared" si="12"/>
        <v>0</v>
      </c>
      <c r="M25" s="458">
        <f t="shared" si="13"/>
        <v>0</v>
      </c>
      <c r="N25" s="458">
        <f t="shared" si="14"/>
        <v>0</v>
      </c>
      <c r="O25" s="458">
        <f t="shared" si="15"/>
        <v>0</v>
      </c>
      <c r="P25" s="459">
        <f t="shared" si="16"/>
        <v>0</v>
      </c>
      <c r="Q25" s="457">
        <f t="shared" ca="1" si="17"/>
        <v>692.77332992371612</v>
      </c>
    </row>
    <row r="26" spans="1:17">
      <c r="A26" s="457" t="s">
        <v>655</v>
      </c>
      <c r="B26" s="458">
        <f t="shared" ca="1" si="2"/>
        <v>14425.34428131952</v>
      </c>
      <c r="C26" s="458">
        <f t="shared" ca="1" si="3"/>
        <v>0</v>
      </c>
      <c r="D26" s="458">
        <f t="shared" si="4"/>
        <v>14887.072582679766</v>
      </c>
      <c r="E26" s="458">
        <f t="shared" si="5"/>
        <v>1507.8195366737784</v>
      </c>
      <c r="F26" s="458">
        <f t="shared" si="6"/>
        <v>10808.658485289896</v>
      </c>
      <c r="G26" s="458">
        <f t="shared" si="7"/>
        <v>0</v>
      </c>
      <c r="H26" s="458">
        <f t="shared" si="8"/>
        <v>0</v>
      </c>
      <c r="I26" s="458">
        <f t="shared" si="9"/>
        <v>0</v>
      </c>
      <c r="J26" s="458">
        <f t="shared" si="10"/>
        <v>21.841854128728272</v>
      </c>
      <c r="K26" s="458">
        <f t="shared" si="11"/>
        <v>0</v>
      </c>
      <c r="L26" s="458">
        <f t="shared" si="12"/>
        <v>0</v>
      </c>
      <c r="M26" s="458">
        <f t="shared" si="13"/>
        <v>0</v>
      </c>
      <c r="N26" s="458">
        <f t="shared" si="14"/>
        <v>0</v>
      </c>
      <c r="O26" s="458">
        <f t="shared" si="15"/>
        <v>0</v>
      </c>
      <c r="P26" s="459">
        <f t="shared" si="16"/>
        <v>0</v>
      </c>
      <c r="Q26" s="457">
        <f t="shared" ca="1" si="17"/>
        <v>41650.736740091685</v>
      </c>
    </row>
    <row r="27" spans="1:17" s="463" customFormat="1">
      <c r="A27" s="461" t="s">
        <v>573</v>
      </c>
      <c r="B27" s="771">
        <f t="shared" ca="1" si="2"/>
        <v>2.1048773064460065</v>
      </c>
      <c r="C27" s="462">
        <f t="shared" ca="1" si="3"/>
        <v>0</v>
      </c>
      <c r="D27" s="462">
        <f t="shared" si="4"/>
        <v>3.3438602560365966</v>
      </c>
      <c r="E27" s="462">
        <f t="shared" si="5"/>
        <v>137.89625161498256</v>
      </c>
      <c r="F27" s="462">
        <f t="shared" si="6"/>
        <v>0</v>
      </c>
      <c r="G27" s="462">
        <f t="shared" si="7"/>
        <v>48909.143981111651</v>
      </c>
      <c r="H27" s="462">
        <f t="shared" si="8"/>
        <v>7559.7770132160285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56612.265983505145</v>
      </c>
    </row>
    <row r="28" spans="1:17">
      <c r="A28" s="457" t="s">
        <v>563</v>
      </c>
      <c r="B28" s="458">
        <f t="shared" ca="1" si="2"/>
        <v>376.75563064912461</v>
      </c>
      <c r="C28" s="458">
        <f t="shared" ca="1" si="3"/>
        <v>0</v>
      </c>
      <c r="D28" s="458">
        <f t="shared" si="4"/>
        <v>0</v>
      </c>
      <c r="E28" s="458">
        <f t="shared" si="5"/>
        <v>0</v>
      </c>
      <c r="F28" s="458">
        <f t="shared" si="6"/>
        <v>0</v>
      </c>
      <c r="G28" s="458">
        <f t="shared" si="7"/>
        <v>2489.141481081313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2865.8971117304377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2148.0325628920909</v>
      </c>
      <c r="C32" s="458">
        <f t="shared" ca="1" si="3"/>
        <v>0</v>
      </c>
      <c r="D32" s="458">
        <f t="shared" si="4"/>
        <v>6507.2291468975418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8655.2617097896327</v>
      </c>
    </row>
    <row r="33" spans="1:17" s="470" customFormat="1">
      <c r="A33" s="467" t="s">
        <v>567</v>
      </c>
      <c r="B33" s="468">
        <f ca="1">SUM(B22:B32)</f>
        <v>83375.091473587177</v>
      </c>
      <c r="C33" s="468">
        <f t="shared" ref="C33:Q33" ca="1" si="18">SUM(C22:C32)</f>
        <v>76.386554621848759</v>
      </c>
      <c r="D33" s="468">
        <f t="shared" ca="1" si="18"/>
        <v>120967.70184561734</v>
      </c>
      <c r="E33" s="468">
        <f t="shared" si="18"/>
        <v>2860.2868590337553</v>
      </c>
      <c r="F33" s="468">
        <f t="shared" ca="1" si="18"/>
        <v>20225.189587876153</v>
      </c>
      <c r="G33" s="468">
        <f t="shared" si="18"/>
        <v>51398.285462192965</v>
      </c>
      <c r="H33" s="468">
        <f t="shared" si="18"/>
        <v>7559.7770132160285</v>
      </c>
      <c r="I33" s="468">
        <f t="shared" si="18"/>
        <v>0</v>
      </c>
      <c r="J33" s="468">
        <f t="shared" si="18"/>
        <v>49.820745891419548</v>
      </c>
      <c r="K33" s="468">
        <f t="shared" si="18"/>
        <v>0</v>
      </c>
      <c r="L33" s="468">
        <f t="shared" ca="1" si="18"/>
        <v>0</v>
      </c>
      <c r="M33" s="468">
        <f t="shared" si="18"/>
        <v>0</v>
      </c>
      <c r="N33" s="468">
        <f t="shared" ca="1" si="18"/>
        <v>0</v>
      </c>
      <c r="O33" s="468">
        <f t="shared" si="18"/>
        <v>0</v>
      </c>
      <c r="P33" s="468">
        <f t="shared" si="18"/>
        <v>0</v>
      </c>
      <c r="Q33" s="468">
        <f t="shared" ca="1" si="18"/>
        <v>286512.53954203671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9704.5563983735447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225</v>
      </c>
      <c r="D8" s="1034">
        <f>'SEAP template'!D76</f>
        <v>264.70588235294116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53.470588235294116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9704.5563983735447</v>
      </c>
      <c r="C10" s="1038">
        <f>SUM(C4:C9)</f>
        <v>225</v>
      </c>
      <c r="D10" s="1038">
        <f t="shared" ref="D10:H10" si="0">SUM(D8:D9)</f>
        <v>264.70588235294116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53.470588235294116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0.21546709187003452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321.42857142857144</v>
      </c>
      <c r="D17" s="1035">
        <f>'SEAP template'!D87</f>
        <v>378.15126050420173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76.386554621848759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321.42857142857144</v>
      </c>
      <c r="D20" s="1038">
        <f t="shared" ref="D20:H20" si="2">SUM(D17:D19)</f>
        <v>378.15126050420173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76.386554621848759</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0.21546709187003452</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2020-06-20T16:19:27Z</dcterms:modified>
</cp:coreProperties>
</file>