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I8" i="18" s="1"/>
  <c r="I10" i="18" s="1"/>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O4" i="48"/>
  <c r="O22" i="48" s="1"/>
  <c r="P11" i="14"/>
  <c r="Q11" i="14"/>
  <c r="P4" i="48"/>
  <c r="P22" i="48" s="1"/>
  <c r="B7" i="48"/>
  <c r="C24" i="14"/>
  <c r="C26" i="14"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46" i="13" s="1"/>
  <c r="E5" i="13" s="1"/>
  <c r="E8" i="13" s="1"/>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63" i="14" l="1"/>
  <c r="F24" i="14"/>
  <c r="F26" i="14" s="1"/>
  <c r="E7" i="48"/>
  <c r="E25" i="48" s="1"/>
  <c r="P46" i="14"/>
  <c r="P61" i="14" s="1"/>
  <c r="P13" i="14"/>
  <c r="O8" i="48"/>
  <c r="O26" i="48" s="1"/>
  <c r="P16" i="14"/>
  <c r="P27" i="14" s="1"/>
  <c r="O23" i="48"/>
  <c r="O33" i="48" s="1"/>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N52" i="14"/>
  <c r="N61" i="14" s="1"/>
  <c r="E20" i="15"/>
  <c r="F40" i="14" s="1"/>
  <c r="F46" i="14" s="1"/>
  <c r="F61" i="14" s="1"/>
  <c r="F10" i="14"/>
  <c r="R10" i="14" s="1"/>
  <c r="E5" i="48"/>
  <c r="H22" i="14"/>
  <c r="H27" i="14" s="1"/>
  <c r="J20" i="15"/>
  <c r="K40" i="14" s="1"/>
  <c r="P63" i="14"/>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H63" i="14"/>
  <c r="E63" i="14"/>
  <c r="J22" i="16"/>
  <c r="K43" i="14" s="1"/>
  <c r="K46" i="14" s="1"/>
  <c r="K61" i="14" s="1"/>
  <c r="K63" i="14" s="1"/>
  <c r="K13" i="14"/>
  <c r="K16" i="14" s="1"/>
  <c r="K27" i="14" s="1"/>
  <c r="J8" i="48"/>
  <c r="E8" i="48"/>
  <c r="E26" i="48" s="1"/>
  <c r="F13" i="14"/>
  <c r="F16" i="14" s="1"/>
  <c r="F27" i="14" s="1"/>
  <c r="F63"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<sst xmlns="http://schemas.openxmlformats.org/spreadsheetml/2006/main" count="2456" uniqueCount="927">
  <si>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</si>
  <si>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</si>
  <si>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</si>
  <si>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</si>
  <si>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</si>
  <si>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</si>
  <si>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</si>
  <si>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</si>
  <si>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</si>
  <si>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</si>
  <si>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</si>
  <si>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</si>
  <si>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</si>
  <si>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</si>
  <si>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</si>
  <si>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</si>
  <si>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</si>
  <si>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</si>
  <si>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</si>
  <si>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</si>
  <si>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</si>
  <si>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</si>
  <si>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</si>
  <si>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</si>
  <si>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</si>
  <si>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</si>
  <si>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</si>
  <si>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</si>
  <si>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</si>
  <si>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</si>
  <si>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</si>
  <si>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</si>
  <si>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</si>
  <si>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</si>
  <si>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</si>
  <si>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</si>
  <si>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</si>
  <si>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</si>
  <si>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</si>
  <si>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</si>
  <si>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</si>
  <si>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</si>
  <si>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</si>
  <si>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</si>
  <si>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</si>
  <si>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</si>
  <si>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</si>
  <si>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</si>
  <si>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</si>
  <si>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</si>
  <si>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</si>
  <si>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</si>
  <si>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</si>
  <si>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</si>
  <si>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</si>
  <si>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</si>
  <si>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</si>
  <si>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</si>
  <si>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</si>
  <si>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</si>
  <si>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</si>
  <si>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</si>
  <si>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</si>
  <si>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</si>
  <si>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</si>
  <si>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</si>
  <si>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</si>
  <si>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</si>
  <si>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</si>
  <si>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</si>
  <si>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</si>
  <si>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</si>
  <si>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</si>
  <si>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</si>
  <si>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</si>
  <si>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</si>
  <si>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</si>
  <si>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</si>
  <si>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</si>
  <si>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</si>
  <si>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</si>
  <si>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</si>
  <si>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</si>
  <si>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</si>
  <si>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</si>
  <si>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</si>
  <si>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</si>
  <si>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</si>
  <si>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</si>
  <si>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</si>
  <si>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</si>
  <si>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</si>
  <si>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</si>
  <si>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</si>
  <si>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</si>
  <si>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</si>
  <si>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</si>
  <si>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</si>
  <si>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</si>
  <si>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</si>
  <si>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</si>
  <si>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</si>
  <si>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</si>
  <si>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</si>
  <si>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</si>
  <si>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</si>
  <si>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</si>
  <si>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</si>
  <si>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</si>
  <si>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</si>
  <si>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</si>
  <si>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</si>
  <si>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</si>
  <si>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</si>
  <si>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</si>
  <si>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</si>
  <si>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</si>
  <si>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</si>
  <si>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</si>
  <si>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</si>
  <si>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</si>
  <si>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</si>
  <si>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</si>
  <si>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</si>
  <si>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</si>
  <si>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</si>
  <si>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</si>
  <si>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</si>
  <si>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</si>
  <si>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</si>
  <si>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</si>
  <si>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</si>
  <si>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</si>
  <si>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</si>
  <si>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</si>
  <si>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</si>
  <si>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</si>
  <si>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</si>
  <si>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</si>
  <si>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</si>
  <si>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</si>
  <si>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</si>
  <si>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</si>
  <si>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</si>
  <si>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</si>
  <si>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</si>
  <si>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</si>
  <si>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</si>
  <si>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</si>
  <si>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</si>
  <si>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</si>
  <si>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</si>
  <si>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</si>
  <si>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</si>
  <si>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</si>
  <si>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</si>
  <si>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</si>
  <si>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</si>
  <si>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</si>
  <si>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</si>
  <si>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</si>
  <si>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</si>
  <si>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</si>
  <si>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</si>
  <si>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</si>
  <si>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</si>
  <si>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</si>
  <si>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</si>
  <si>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</si>
  <si>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</si>
  <si>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</si>
  <si>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</si>
  <si>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</si>
  <si>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</si>
  <si>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</si>
  <si>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</si>
  <si>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</si>
  <si>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</si>
  <si>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</si>
  <si>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</si>
  <si>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</si>
  <si>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</si>
  <si>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</si>
  <si>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</si>
  <si>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</si>
  <si>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</si>
  <si>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</si>
  <si>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</si>
  <si>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</si>
  <si>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</si>
  <si>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</si>
  <si>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</si>
  <si>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</si>
  <si>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</si>
  <si>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</si>
  <si>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</si>
  <si>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</si>
  <si>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</si>
  <si>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</si>
  <si>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</si>
  <si>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</si>
  <si>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</si>
  <si>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</si>
  <si>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</si>
  <si>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</si>
  <si>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</si>
  <si>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</si>
  <si>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</si>
  <si>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</si>
  <si>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</si>
  <si>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</si>
  <si>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</si>
  <si>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</si>
  <si>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</si>
  <si>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</si>
  <si>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</si>
  <si>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</si>
  <si>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</si>
  <si>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</si>
  <si>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</si>
  <si>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</si>
  <si>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</si>
  <si>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</si>
  <si>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</si>
  <si>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</si>
  <si>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</si>
  <si>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</si>
  <si>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</si>
  <si>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</si>
  <si>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</si>
  <si>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</si>
  <si>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</si>
  <si>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</si>
  <si>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</si>
  <si>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</si>
  <si>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</si>
  <si>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</si>
  <si>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</si>
  <si>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</si>
  <si>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</si>
  <si>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</si>
  <si>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</si>
  <si>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</si>
  <si>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</si>
  <si>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</si>
  <si>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</si>
  <si>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</si>
  <si>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</si>
  <si>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</si>
  <si>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</si>
  <si>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</si>
  <si>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</si>
  <si>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</si>
  <si>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</si>
  <si>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</si>
  <si>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</si>
  <si>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</si>
  <si>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</si>
  <si>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</si>
  <si>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</si>
  <si>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</si>
  <si>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</si>
  <si>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</si>
  <si>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</si>
  <si>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</si>
  <si>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</si>
  <si>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</si>
  <si>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</si>
  <si>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</si>
  <si>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</si>
  <si>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</si>
  <si>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</si>
  <si>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</si>
  <si>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</si>
  <si>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</si>
  <si>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</si>
  <si>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</si>
  <si>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</si>
  <si>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</si>
  <si>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</si>
  <si>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</si>
  <si>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</si>
  <si>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</si>
  <si>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</si>
  <si>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</si>
  <si>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</si>
  <si>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</si>
  <si>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</si>
  <si>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</si>
  <si>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</si>
  <si>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</si>
  <si>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</si>
  <si>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</si>
  <si>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</si>
  <si>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</si>
  <si>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</si>
  <si>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</si>
  <si>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</si>
  <si>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</si>
  <si>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</si>
  <si>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</si>
  <si>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</si>
  <si>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</si>
  <si>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</si>
  <si>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</si>
  <si>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</si>
  <si>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</si>
  <si>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</si>
  <si>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</si>
  <si>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</si>
  <si>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</si>
  <si>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</si>
  <si>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</si>
  <si>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</si>
  <si>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</si>
  <si>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</si>
  <si>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</si>
  <si>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</si>
  <si>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</si>
  <si>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</si>
  <si>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</si>
  <si>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</si>
  <si>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</si>
  <si>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</si>
  <si>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</si>
  <si>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</si>
  <si>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</si>
  <si>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</si>
  <si>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</si>
  <si>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</si>
  <si>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</si>
  <si>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</si>
  <si>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</si>
  <si>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</si>
  <si>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</si>
  <si>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</si>
  <si>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</si>
  <si>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</si>
  <si>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</si>
  <si>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</si>
  <si>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</si>
  <si>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</si>
  <si>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</si>
  <si>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</si>
  <si>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</si>
  <si>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</si>
  <si>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</si>
  <si>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</si>
  <si>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</si>
  <si>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</si>
  <si>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</si>
  <si>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</si>
  <si>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</si>
  <si>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</si>
  <si>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</si>
  <si>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</si>
  <si>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</si>
  <si>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</si>
  <si>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</si>
  <si>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</si>
  <si>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</si>
  <si>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</si>
  <si>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</si>
  <si>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</si>
  <si>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</si>
  <si>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</si>
  <si>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</si>
  <si>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</si>
  <si>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</si>
  <si>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</si>
  <si>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</si>
  <si>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</si>
  <si>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</si>
  <si>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</si>
  <si>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</si>
  <si>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</si>
  <si>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</si>
  <si>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</si>
  <si>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</si>
  <si>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</si>
  <si>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</si>
  <si>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</si>
  <si>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</si>
  <si>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</si>
  <si>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</si>
  <si>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</si>
  <si>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</si>
  <si>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</si>
  <si>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</si>
  <si>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</si>
  <si>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</si>
  <si>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</si>
  <si>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</si>
  <si>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</si>
  <si>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</si>
  <si>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</si>
  <si>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</si>
  <si>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</si>
  <si>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</si>
  <si>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</si>
  <si>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</si>
  <si>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</si>
  <si>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</si>
  <si>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</si>
  <si>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</si>
  <si>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</si>
  <si>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</si>
  <si>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</si>
  <si>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</si>
  <si>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</si>
  <si>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</si>
  <si>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</si>
  <si>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</si>
  <si>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</si>
  <si>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</si>
  <si>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</si>
  <si>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</si>
  <si>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</si>
  <si>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</si>
  <si>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</si>
  <si>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</si>
  <si>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</si>
  <si>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</si>
  <si>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</si>
  <si>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</si>
  <si>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</si>
  <si>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</si>
  <si>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</si>
  <si>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</si>
  <si>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</si>
  <si>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</si>
  <si>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</si>
  <si>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</si>
  <si>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</si>
  <si>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</si>
  <si>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</si>
  <si>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</si>
  <si>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</si>
  <si>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</si>
  <si>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</si>
  <si>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</si>
  <si>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</si>
  <si>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</si>
  <si>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</si>
  <si>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</si>
  <si>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</si>
  <si>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</si>
  <si>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</si>
  <si>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</si>
  <si>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</si>
  <si>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</si>
  <si>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</si>
  <si>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</si>
  <si>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</si>
  <si>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</si>
  <si>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</si>
  <si>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</si>
  <si>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</si>
  <si>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</si>
  <si>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</si>
  <si>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</si>
  <si>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</si>
  <si>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</si>
  <si>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</si>
  <si>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</si>
  <si>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</si>
  <si>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</si>
  <si>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</si>
  <si>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</si>
  <si>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</si>
  <si>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</si>
  <si>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</si>
  <si>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</si>
  <si>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</si>
  <si>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</si>
  <si>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</si>
  <si>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</si>
  <si>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</si>
  <si>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</si>
  <si>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</si>
  <si>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</si>
  <si>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</si>
  <si>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</si>
  <si>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</si>
  <si>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</si>
  <si>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</si>
  <si>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</si>
  <si>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</si>
  <si>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</si>
  <si>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</si>
  <si>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</si>
  <si>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</si>
  <si>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</si>
  <si>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</si>
  <si>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</si>
  <si>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</si>
  <si>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</si>
  <si>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</si>
  <si>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</si>
  <si>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</si>
  <si>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</si>
  <si>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</si>
  <si>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</si>
  <si>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</si>
  <si>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</si>
  <si>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</si>
  <si>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</si>
  <si>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</si>
  <si>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</si>
  <si>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</si>
  <si>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</si>
  <si>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</si>
  <si>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</si>
  <si>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</si>
  <si>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</si>
  <si>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</si>
  <si>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</si>
  <si>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</si>
  <si>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</si>
  <si>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</si>
  <si>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</si>
  <si>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</si>
  <si>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</si>
  <si>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</si>
  <si>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</si>
  <si>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</si>
  <si>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</si>
  <si>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</si>
  <si>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</si>
  <si>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</si>
  <si>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</si>
  <si>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</si>
  <si>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</si>
  <si>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</si>
  <si>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</si>
  <si>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</si>
  <si>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</si>
  <si>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</si>
  <si>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</si>
  <si>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</si>
  <si>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</si>
  <si>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</si>
  <si>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</si>
  <si>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</si>
  <si>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</si>
  <si>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</si>
  <si>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</si>
  <si>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</si>
  <si>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</si>
  <si>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</si>
  <si>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</si>
  <si>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</si>
  <si>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</si>
  <si>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</si>
  <si>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</si>
  <si>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</si>
  <si>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</si>
  <si>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</si>
  <si>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</si>
  <si>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</si>
  <si>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</si>
  <si>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</si>
  <si>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</si>
  <si>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</si>
  <si>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</si>
  <si>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</si>
  <si>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</si>
  <si>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</si>
  <si>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</si>
  <si>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</si>
  <si>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</si>
  <si>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</si>
  <si>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</si>
  <si>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</si>
  <si>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</si>
  <si>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</si>
  <si>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</si>
  <si>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</si>
  <si>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</si>
  <si>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</si>
  <si>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</si>
  <si>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</si>
  <si>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</si>
  <si>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</si>
  <si>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</si>
  <si>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</si>
  <si>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</si>
  <si>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</si>
  <si>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</si>
  <si>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</si>
  <si>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</si>
  <si>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</si>
  <si>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</si>
  <si>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</si>
  <si>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</si>
  <si>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</si>
  <si>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</si>
  <si>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</si>
  <si>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</si>
  <si>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</si>
  <si>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</si>
  <si>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</si>
  <si>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</si>
  <si>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</si>
  <si>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</si>
  <si>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</si>
  <si>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</si>
  <si>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</si>
  <si>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</si>
  <si>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</si>
  <si>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</si>
  <si>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</si>
  <si>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</si>
  <si>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</si>
  <si>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</si>
  <si>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</si>
  <si>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</si>
  <si>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</si>
  <si>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</si>
  <si>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</si>
  <si>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</si>
  <si>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</si>
  <si>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</si>
  <si>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</si>
  <si>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</si>
  <si>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</si>
  <si>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</si>
  <si>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</si>
  <si>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</si>
  <si>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</si>
  <si>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</si>
  <si>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</si>
  <si>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</si>
  <si>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</si>
  <si>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</si>
  <si>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</si>
  <si>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</si>
  <si>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</si>
  <si>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</si>
  <si>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</si>
  <si>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</si>
  <si>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</si>
  <si>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</si>
  <si>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</si>
  <si>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</si>
  <si>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</si>
  <si>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</si>
  <si>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</si>
  <si>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</si>
  <si>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</si>
  <si>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</si>
  <si>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</si>
  <si>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</si>
  <si>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</si>
  <si>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</si>
  <si>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</si>
  <si>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</si>
  <si>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</si>
  <si>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</si>
  <si>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</si>
  <si>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</si>
  <si>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</si>
  <si>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</si>
  <si>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</si>
  <si>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</si>
  <si>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</si>
  <si>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</si>
  <si>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</si>
  <si>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</si>
  <si>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</si>
  <si>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</si>
  <si>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</si>
  <si>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</si>
  <si>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</si>
  <si>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</si>
  <si>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</si>
  <si>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</si>
  <si>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</si>
  <si>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</si>
  <si>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</si>
  <si>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</si>
  <si>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</si>
  <si>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</si>
  <si>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</si>
  <si>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</si>
  <si>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</si>
  <si>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</si>
  <si>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</si>
  <si>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</si>
  <si>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</si>
  <si>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</si>
  <si>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</si>
  <si>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</si>
  <si>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</si>
  <si>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</si>
  <si>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</si>
  <si>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</si>
  <si>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</si>
  <si>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</si>
  <si>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</si>
  <si>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</si>
  <si>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</si>
  <si>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</si>
  <si>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</si>
  <si>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</si>
  <si>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</si>
  <si>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</si>
  <si>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</si>
  <si>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</si>
  <si>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</si>
  <si>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</si>
  <si>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</si>
  <si>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</si>
  <si>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</si>
  <si>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</si>
  <si>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</si>
  <si>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</si>
  <si>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</si>
  <si>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</si>
  <si>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</si>
  <si>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</si>
  <si>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</si>
  <si>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</si>
  <si>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</si>
  <si>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</si>
  <si>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</si>
  <si>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</si>
  <si>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</si>
  <si>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</si>
  <si>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</si>
  <si>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</si>
  <si>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</si>
  <si>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</si>
  <si>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</si>
  <si>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</si>
  <si>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</si>
  <si>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</si>
  <si>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</si>
  <si>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</si>
  <si>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</si>
  <si>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</si>
  <si>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</si>
  <si>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</si>
  <si>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</si>
  <si>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</si>
  <si>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</si>
  <si>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</si>
  <si>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</si>
  <si>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</si>
  <si>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</si>
  <si>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</si>
  <si>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</si>
  <si>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</si>
  <si>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</si>
  <si>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</si>
  <si>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</si>
  <si>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</si>
  <si>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</si>
  <si>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</si>
  <si>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</si>
  <si>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</si>
  <si>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</si>
  <si>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</si>
  <si>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</si>
  <si>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</si>
  <si>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</si>
  <si>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</si>
  <si>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</si>
  <si>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</si>
  <si>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</si>
  <si>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</si>
  <si>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</si>
  <si>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</si>
  <si>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</si>
  <si>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</si>
  <si>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</si>
  <si>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</si>
  <si>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</si>
  <si>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</si>
  <si>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</si>
  <si>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</si>
  <si>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</si>
  <si>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</si>
  <si>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</si>
  <si>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</si>
  <si>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</si>
  <si>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</si>
  <si>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</si>
  <si>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</si>
  <si>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</si>
  <si>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</si>
  <si>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</si>
  <si>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</si>
  <si>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</si>
  <si>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</si>
  <si>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</si>
  <si>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</si>
  <si>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</si>
  <si>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</si>
  <si>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</si>
  <si>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</si>
  <si>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</si>
  <si>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</si>
  <si>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</si>
  <si>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</si>
  <si>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</si>
  <si>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</si>
  <si>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</si>
  <si>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</si>
  <si>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</si>
  <si>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</si>
  <si>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</si>
  <si>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</si>
  <si>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</si>
  <si>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</si>
  <si>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</si>
  <si>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</si>
  <si>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</si>
  <si>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</si>
  <si>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</si>
  <si>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</si>
  <si>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</si>
  <si>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</si>
  <si>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</si>
  <si>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</si>
  <si>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</si>
  <si>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</si>
  <si>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</si>
  <si>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</si>
  <si>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</si>
  <si>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</si>
  <si>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</si>
  <si>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</si>
  <si>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</si>
  <si>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</si>
  <si>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</si>
  <si>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</si>
  <si>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</si>
  <si>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</si>
  <si>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</si>
  <si>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</si>
  <si>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</si>
  <si>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</si>
  <si>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</si>
  <si>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</si>
  <si>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</si>
  <si>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</si>
  <si>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</si>
  <si>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</si>
  <si>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</si>
  <si>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</si>
  <si>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</si>
  <si>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</si>
  <si>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</si>
  <si>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</si>
  <si>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</si>
  <si>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</si>
  <si>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</si>
  <si>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</si>
  <si>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</si>
  <si>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</si>
  <si>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</si>
  <si>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</si>
  <si>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</si>
  <si>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</si>
  <si>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</si>
  <si>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</si>
  <si>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</si>
  <si>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</si>
  <si>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</si>
  <si>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</si>
  <si>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</si>
  <si>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</si>
  <si>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</si>
  <si>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</si>
  <si>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</si>
  <si>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</si>
  <si>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</si>
  <si>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</si>
  <si>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</si>
  <si>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</si>
  <si>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</si>
  <si>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</si>
  <si>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</si>
  <si>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</si>
  <si>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</si>
  <si>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</si>
  <si>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</si>
  <si>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</si>
  <si>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</si>
  <si>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</si>
  <si>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</si>
  <si>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</si>
  <si>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</si>
  <si>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</si>
  <si>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</si>
  <si>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</si>
  <si>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</si>
  <si>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</si>
  <si>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</si>
  <si>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</si>
  <si>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</si>
  <si>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</si>
  <si>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</si>
  <si>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</si>
  <si>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</si>
  <si>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</si>
  <si>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</si>
  <si>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</si>
  <si>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</si>
  <si>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</si>
  <si>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</si>
  <si>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</si>
  <si>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34040</t>
  </si>
  <si>
    <t>WAREGEM</t>
  </si>
  <si>
    <t>Cultuurgrond (ha)</t>
  </si>
  <si>
    <t>Paarden&amp;pony's 200 - 600 kg</t>
  </si>
  <si>
    <t>Paarden&amp;pony's &lt; 200 kg</t>
  </si>
  <si>
    <t>Fluvius</t>
  </si>
  <si>
    <t>referentietaak LNE (2017); Jaarverslag De Lijn</t>
  </si>
  <si>
    <t>Electrabel NV</t>
  </si>
  <si>
    <t>Gewijde Boomstraat 46, 1050 Elsene</t>
  </si>
  <si>
    <t>BGS-0039 Primeur biogas</t>
  </si>
  <si>
    <t>biogas - overig</t>
  </si>
  <si>
    <t>niet WKK interne verbrandingsmotor (gas)</t>
  </si>
  <si>
    <t>Schoendalestraat 212, 8793 Sint-Eloois-Vijve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</si>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</sst>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312427.57847226574</c:v>
                </c:pt>
                <c:pt idx="1">
                  <c:v>211371.31818623058</c:v>
                </c:pt>
                <c:pt idx="2">
                  <c:v>2838.4520000000002</c:v>
                </c:pt>
                <c:pt idx="3">
                  <c:v>9190.6792066749622</c:v>
                </c:pt>
                <c:pt idx="4">
                  <c:v>525791.02775682602</c:v>
                </c:pt>
                <c:pt idx="5">
                  <c:v>348945.37992927962</c:v>
                </c:pt>
                <c:pt idx="6">
                  <c:v>2048.0228456521891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312427.57847226574</c:v>
                </c:pt>
                <c:pt idx="1">
                  <c:v>211371.31818623058</c:v>
                </c:pt>
                <c:pt idx="2">
                  <c:v>2838.4520000000002</c:v>
                </c:pt>
                <c:pt idx="3">
                  <c:v>9190.6792066749622</c:v>
                </c:pt>
                <c:pt idx="4">
                  <c:v>525791.02775682602</c:v>
                </c:pt>
                <c:pt idx="5">
                  <c:v>348945.37992927962</c:v>
                </c:pt>
                <c:pt idx="6">
                  <c:v>2048.0228456521891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61080.688726046043</c:v>
                </c:pt>
                <c:pt idx="2">
                  <c:v>42801.621326666776</c:v>
                </c:pt>
                <c:pt idx="3">
                  <c:v>572.39077967649268</c:v>
                </c:pt>
                <c:pt idx="4">
                  <c:v>2256.5260804796076</c:v>
                </c:pt>
                <c:pt idx="5">
                  <c:v>109908.7830389547</c:v>
                </c:pt>
                <c:pt idx="6">
                  <c:v>88438.933660080467</c:v>
                </c:pt>
                <c:pt idx="7">
                  <c:v>523.51980037079159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61080.688726046043</c:v>
                </c:pt>
                <c:pt idx="2">
                  <c:v>42801.621326666776</c:v>
                </c:pt>
                <c:pt idx="3">
                  <c:v>572.39077967649268</c:v>
                </c:pt>
                <c:pt idx="4">
                  <c:v>2256.5260804796076</c:v>
                </c:pt>
                <c:pt idx="5">
                  <c:v>109908.7830389547</c:v>
                </c:pt>
                <c:pt idx="6">
                  <c:v>88438.933660080467</c:v>
                </c:pt>
                <c:pt idx="7">
                  <c:v>523.51980037079159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34040</v>
      </c>
      <c r="B6" s="395"/>
      <c r="C6" s="396"/>
    </row>
    <row r="7" spans="1:7" s="393" customFormat="1" ht="15.75" customHeight="1">
      <c r="A7" s="397" t="str">
        <f>txtMunicipality</f>
        <v>WAREGEM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75915.970245879274</v>
      </c>
      <c r="D10" s="686">
        <f ca="1">tertiair!C16</f>
        <v>0</v>
      </c>
      <c r="E10" s="686">
        <f ca="1">tertiair!D16</f>
        <v>119395.39231481442</v>
      </c>
      <c r="F10" s="686">
        <f>tertiair!E16</f>
        <v>1018.9748211802388</v>
      </c>
      <c r="G10" s="686">
        <f ca="1">tertiair!F16</f>
        <v>13917.330593105115</v>
      </c>
      <c r="H10" s="686">
        <f>tertiair!G16</f>
        <v>0</v>
      </c>
      <c r="I10" s="686">
        <f>tertiair!H16</f>
        <v>0</v>
      </c>
      <c r="J10" s="686">
        <f>tertiair!I16</f>
        <v>0</v>
      </c>
      <c r="K10" s="686">
        <f>tertiair!J16</f>
        <v>0</v>
      </c>
      <c r="L10" s="686">
        <f>tertiair!K16</f>
        <v>0</v>
      </c>
      <c r="M10" s="686">
        <f ca="1">tertiair!L16</f>
        <v>0</v>
      </c>
      <c r="N10" s="686">
        <f>tertiair!M16</f>
        <v>0</v>
      </c>
      <c r="O10" s="686">
        <f ca="1">tertiair!N16</f>
        <v>3728.6122112515091</v>
      </c>
      <c r="P10" s="686">
        <f>tertiair!O16</f>
        <v>4.6900000000000004</v>
      </c>
      <c r="Q10" s="687">
        <f>tertiair!P16</f>
        <v>228.8</v>
      </c>
      <c r="R10" s="689">
        <f ca="1">SUM(C10:Q10)</f>
        <v>214209.77018623057</v>
      </c>
      <c r="S10" s="67"/>
    </row>
    <row r="11" spans="1:19" s="454" customFormat="1">
      <c r="A11" s="801" t="s">
        <v>224</v>
      </c>
      <c r="B11" s="806"/>
      <c r="C11" s="686">
        <f>huishoudens!B8</f>
        <v>69212.121731454958</v>
      </c>
      <c r="D11" s="686">
        <f>huishoudens!C8</f>
        <v>0</v>
      </c>
      <c r="E11" s="686">
        <f>huishoudens!D8</f>
        <v>137089.36519454073</v>
      </c>
      <c r="F11" s="686">
        <f>huishoudens!E8</f>
        <v>7927.2505967560528</v>
      </c>
      <c r="G11" s="686">
        <f>huishoudens!F8</f>
        <v>66037.879448016189</v>
      </c>
      <c r="H11" s="686">
        <f>huishoudens!G8</f>
        <v>0</v>
      </c>
      <c r="I11" s="686">
        <f>huishoudens!H8</f>
        <v>0</v>
      </c>
      <c r="J11" s="686">
        <f>huishoudens!I8</f>
        <v>0</v>
      </c>
      <c r="K11" s="686">
        <f>huishoudens!J8</f>
        <v>0</v>
      </c>
      <c r="L11" s="686">
        <f>huishoudens!K8</f>
        <v>0</v>
      </c>
      <c r="M11" s="686">
        <f>huishoudens!L8</f>
        <v>0</v>
      </c>
      <c r="N11" s="686">
        <f>huishoudens!M8</f>
        <v>0</v>
      </c>
      <c r="O11" s="686">
        <f>huishoudens!N8</f>
        <v>30937.111501497817</v>
      </c>
      <c r="P11" s="686">
        <f>huishoudens!O8</f>
        <v>461.18333333333334</v>
      </c>
      <c r="Q11" s="687">
        <f>huishoudens!P8</f>
        <v>762.66666666666674</v>
      </c>
      <c r="R11" s="689">
        <f>SUM(C11:Q11)</f>
        <v>312427.57847226574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257294.39718385367</v>
      </c>
      <c r="D13" s="686">
        <f>industrie!C18</f>
        <v>0</v>
      </c>
      <c r="E13" s="686">
        <f>industrie!D18</f>
        <v>201981.71935047337</v>
      </c>
      <c r="F13" s="686">
        <f>industrie!E18</f>
        <v>13153.768170422081</v>
      </c>
      <c r="G13" s="686">
        <f>industrie!F18</f>
        <v>52800.945224676558</v>
      </c>
      <c r="H13" s="686">
        <f>industrie!G18</f>
        <v>0</v>
      </c>
      <c r="I13" s="686">
        <f>industrie!H18</f>
        <v>0</v>
      </c>
      <c r="J13" s="686">
        <f>industrie!I18</f>
        <v>0</v>
      </c>
      <c r="K13" s="686">
        <f>industrie!J18</f>
        <v>394.82429302674876</v>
      </c>
      <c r="L13" s="686">
        <f>industrie!K18</f>
        <v>0</v>
      </c>
      <c r="M13" s="686">
        <f>industrie!L18</f>
        <v>0</v>
      </c>
      <c r="N13" s="686">
        <f>industrie!M18</f>
        <v>0</v>
      </c>
      <c r="O13" s="686">
        <f>industrie!N18</f>
        <v>165.37353437373895</v>
      </c>
      <c r="P13" s="686">
        <f>industrie!O18</f>
        <v>0</v>
      </c>
      <c r="Q13" s="687">
        <f>industrie!P18</f>
        <v>0</v>
      </c>
      <c r="R13" s="689">
        <f>SUM(C13:Q13)</f>
        <v>525791.02775682602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402422.4891611879</v>
      </c>
      <c r="D16" s="721">
        <f t="shared" ref="D16:R16" ca="1" si="0">SUM(D9:D15)</f>
        <v>0</v>
      </c>
      <c r="E16" s="721">
        <f t="shared" ca="1" si="0"/>
        <v>458466.47685982852</v>
      </c>
      <c r="F16" s="721">
        <f t="shared" si="0"/>
        <v>22099.993588358375</v>
      </c>
      <c r="G16" s="721">
        <f t="shared" ca="1" si="0"/>
        <v>132756.15526579786</v>
      </c>
      <c r="H16" s="721">
        <f t="shared" si="0"/>
        <v>0</v>
      </c>
      <c r="I16" s="721">
        <f t="shared" si="0"/>
        <v>0</v>
      </c>
      <c r="J16" s="721">
        <f t="shared" si="0"/>
        <v>0</v>
      </c>
      <c r="K16" s="721">
        <f t="shared" si="0"/>
        <v>394.82429302674876</v>
      </c>
      <c r="L16" s="721">
        <f t="shared" si="0"/>
        <v>0</v>
      </c>
      <c r="M16" s="721">
        <f t="shared" ca="1" si="0"/>
        <v>0</v>
      </c>
      <c r="N16" s="721">
        <f t="shared" si="0"/>
        <v>0</v>
      </c>
      <c r="O16" s="721">
        <f t="shared" ca="1" si="0"/>
        <v>34831.097247123063</v>
      </c>
      <c r="P16" s="721">
        <f t="shared" si="0"/>
        <v>465.87333333333333</v>
      </c>
      <c r="Q16" s="721">
        <f t="shared" si="0"/>
        <v>991.4666666666667</v>
      </c>
      <c r="R16" s="721">
        <f t="shared" ca="1" si="0"/>
        <v>1052428.3764153223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1960.7483159954738</v>
      </c>
      <c r="I19" s="686">
        <f>transport!H54</f>
        <v>0</v>
      </c>
      <c r="J19" s="686">
        <f>transport!I54</f>
        <v>0</v>
      </c>
      <c r="K19" s="686">
        <f>transport!J54</f>
        <v>0</v>
      </c>
      <c r="L19" s="686">
        <f>transport!K54</f>
        <v>0</v>
      </c>
      <c r="M19" s="686">
        <f>transport!L54</f>
        <v>0</v>
      </c>
      <c r="N19" s="686">
        <f>transport!M54</f>
        <v>87.274529656715202</v>
      </c>
      <c r="O19" s="686">
        <f>transport!N54</f>
        <v>0</v>
      </c>
      <c r="P19" s="686">
        <f>transport!O54</f>
        <v>0</v>
      </c>
      <c r="Q19" s="687">
        <f>transport!P54</f>
        <v>0</v>
      </c>
      <c r="R19" s="689">
        <f>SUM(C19:Q19)</f>
        <v>2048.0228456521891</v>
      </c>
      <c r="S19" s="67"/>
    </row>
    <row r="20" spans="1:19" s="454" customFormat="1">
      <c r="A20" s="801" t="s">
        <v>306</v>
      </c>
      <c r="B20" s="806"/>
      <c r="C20" s="686">
        <f>transport!B14</f>
        <v>12.522220513211971</v>
      </c>
      <c r="D20" s="686">
        <f>transport!C14</f>
        <v>0</v>
      </c>
      <c r="E20" s="686">
        <f>transport!D14</f>
        <v>20.003252834924851</v>
      </c>
      <c r="F20" s="686">
        <f>transport!E14</f>
        <v>806.64192336868348</v>
      </c>
      <c r="G20" s="686">
        <f>transport!F14</f>
        <v>0</v>
      </c>
      <c r="H20" s="686">
        <f>transport!G14</f>
        <v>295512.85954918963</v>
      </c>
      <c r="I20" s="686">
        <f>transport!H14</f>
        <v>37539.464282316789</v>
      </c>
      <c r="J20" s="686">
        <f>transport!I14</f>
        <v>0</v>
      </c>
      <c r="K20" s="686">
        <f>transport!J14</f>
        <v>0</v>
      </c>
      <c r="L20" s="686">
        <f>transport!K14</f>
        <v>0</v>
      </c>
      <c r="M20" s="686">
        <f>transport!L14</f>
        <v>0</v>
      </c>
      <c r="N20" s="686">
        <f>transport!M14</f>
        <v>15053.888701056367</v>
      </c>
      <c r="O20" s="686">
        <f>transport!N14</f>
        <v>0</v>
      </c>
      <c r="P20" s="686">
        <f>transport!O14</f>
        <v>0</v>
      </c>
      <c r="Q20" s="687">
        <f>transport!P14</f>
        <v>0</v>
      </c>
      <c r="R20" s="689">
        <f>SUM(C20:Q20)</f>
        <v>348945.37992927962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12.522220513211971</v>
      </c>
      <c r="D22" s="804">
        <f t="shared" ref="D22:R22" si="1">SUM(D18:D21)</f>
        <v>0</v>
      </c>
      <c r="E22" s="804">
        <f t="shared" si="1"/>
        <v>20.003252834924851</v>
      </c>
      <c r="F22" s="804">
        <f t="shared" si="1"/>
        <v>806.64192336868348</v>
      </c>
      <c r="G22" s="804">
        <f t="shared" si="1"/>
        <v>0</v>
      </c>
      <c r="H22" s="804">
        <f t="shared" si="1"/>
        <v>297473.60786518513</v>
      </c>
      <c r="I22" s="804">
        <f t="shared" si="1"/>
        <v>37539.464282316789</v>
      </c>
      <c r="J22" s="804">
        <f t="shared" si="1"/>
        <v>0</v>
      </c>
      <c r="K22" s="804">
        <f t="shared" si="1"/>
        <v>0</v>
      </c>
      <c r="L22" s="804">
        <f t="shared" si="1"/>
        <v>0</v>
      </c>
      <c r="M22" s="804">
        <f t="shared" si="1"/>
        <v>0</v>
      </c>
      <c r="N22" s="804">
        <f t="shared" si="1"/>
        <v>15141.163230713082</v>
      </c>
      <c r="O22" s="804">
        <f t="shared" si="1"/>
        <v>0</v>
      </c>
      <c r="P22" s="804">
        <f t="shared" si="1"/>
        <v>0</v>
      </c>
      <c r="Q22" s="804">
        <f t="shared" si="1"/>
        <v>0</v>
      </c>
      <c r="R22" s="804">
        <f t="shared" si="1"/>
        <v>350993.4027749318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1618.8376508173042</v>
      </c>
      <c r="D24" s="686">
        <f>+landbouw!C8</f>
        <v>0</v>
      </c>
      <c r="E24" s="686">
        <f>+landbouw!D8</f>
        <v>1722.5918972010365</v>
      </c>
      <c r="F24" s="686">
        <f>+landbouw!E8</f>
        <v>20.399439887214687</v>
      </c>
      <c r="G24" s="686">
        <f>+landbouw!F8</f>
        <v>5585.3954383834207</v>
      </c>
      <c r="H24" s="686">
        <f>+landbouw!G8</f>
        <v>0</v>
      </c>
      <c r="I24" s="686">
        <f>+landbouw!H8</f>
        <v>0</v>
      </c>
      <c r="J24" s="686">
        <f>+landbouw!I8</f>
        <v>0</v>
      </c>
      <c r="K24" s="686">
        <f>+landbouw!J8</f>
        <v>243.45478038598554</v>
      </c>
      <c r="L24" s="686">
        <f>+landbouw!K8</f>
        <v>0</v>
      </c>
      <c r="M24" s="686">
        <f>+landbouw!L8</f>
        <v>0</v>
      </c>
      <c r="N24" s="686">
        <f>+landbouw!M8</f>
        <v>0</v>
      </c>
      <c r="O24" s="686">
        <f>+landbouw!N8</f>
        <v>0</v>
      </c>
      <c r="P24" s="686">
        <f>+landbouw!O8</f>
        <v>0</v>
      </c>
      <c r="Q24" s="687">
        <f>+landbouw!P8</f>
        <v>0</v>
      </c>
      <c r="R24" s="689">
        <f>SUM(C24:Q24)</f>
        <v>9190.6792066749622</v>
      </c>
      <c r="S24" s="67"/>
    </row>
    <row r="25" spans="1:19" s="454" customFormat="1" ht="15" thickBot="1">
      <c r="A25" s="823" t="s">
        <v>856</v>
      </c>
      <c r="B25" s="991"/>
      <c r="C25" s="992">
        <f>IF(Onbekend_ele_kWh="---",0,Onbekend_ele_kWh)/1000+IF(REST_rest_ele_kWh="---",0,REST_rest_ele_kWh)/1000</f>
        <v>2483.61686366503</v>
      </c>
      <c r="D25" s="992"/>
      <c r="E25" s="992">
        <f>IF(onbekend_gas_kWh="---",0,onbekend_gas_kWh)/1000+IF(REST_rest_gas_kWh="---",0,REST_rest_gas_kWh)/1000</f>
        <v>6942.71801228393</v>
      </c>
      <c r="F25" s="992"/>
      <c r="G25" s="992"/>
      <c r="H25" s="992"/>
      <c r="I25" s="992"/>
      <c r="J25" s="992"/>
      <c r="K25" s="992"/>
      <c r="L25" s="992"/>
      <c r="M25" s="992"/>
      <c r="N25" s="992"/>
      <c r="O25" s="992"/>
      <c r="P25" s="992"/>
      <c r="Q25" s="993"/>
      <c r="R25" s="689">
        <f>SUM(C25:Q25)</f>
        <v>9426.33487594896</v>
      </c>
      <c r="S25" s="67"/>
    </row>
    <row r="26" spans="1:19" s="454" customFormat="1" ht="15.75" thickBot="1">
      <c r="A26" s="694" t="s">
        <v>857</v>
      </c>
      <c r="B26" s="809"/>
      <c r="C26" s="804">
        <f>SUM(C24:C25)</f>
        <v>4102.4545144823342</v>
      </c>
      <c r="D26" s="804">
        <f t="shared" ref="D26:R26" si="2">SUM(D24:D25)</f>
        <v>0</v>
      </c>
      <c r="E26" s="804">
        <f t="shared" si="2"/>
        <v>8665.3099094849658</v>
      </c>
      <c r="F26" s="804">
        <f t="shared" si="2"/>
        <v>20.399439887214687</v>
      </c>
      <c r="G26" s="804">
        <f t="shared" si="2"/>
        <v>5585.3954383834207</v>
      </c>
      <c r="H26" s="804">
        <f t="shared" si="2"/>
        <v>0</v>
      </c>
      <c r="I26" s="804">
        <f t="shared" si="2"/>
        <v>0</v>
      </c>
      <c r="J26" s="804">
        <f t="shared" si="2"/>
        <v>0</v>
      </c>
      <c r="K26" s="804">
        <f t="shared" si="2"/>
        <v>243.45478038598554</v>
      </c>
      <c r="L26" s="804">
        <f t="shared" si="2"/>
        <v>0</v>
      </c>
      <c r="M26" s="804">
        <f t="shared" si="2"/>
        <v>0</v>
      </c>
      <c r="N26" s="804">
        <f t="shared" si="2"/>
        <v>0</v>
      </c>
      <c r="O26" s="804">
        <f t="shared" si="2"/>
        <v>0</v>
      </c>
      <c r="P26" s="804">
        <f t="shared" si="2"/>
        <v>0</v>
      </c>
      <c r="Q26" s="804">
        <f t="shared" si="2"/>
        <v>0</v>
      </c>
      <c r="R26" s="804">
        <f t="shared" si="2"/>
        <v>18617.014082623922</v>
      </c>
      <c r="S26" s="67"/>
    </row>
    <row r="27" spans="1:19" s="454" customFormat="1" ht="17.25" thickTop="1" thickBot="1">
      <c r="A27" s="695" t="s">
        <v>115</v>
      </c>
      <c r="B27" s="796"/>
      <c r="C27" s="696">
        <f ca="1">C22+C16+C26</f>
        <v>406537.46589618345</v>
      </c>
      <c r="D27" s="696">
        <f t="shared" ref="D27:R27" ca="1" si="3">D22+D16+D26</f>
        <v>0</v>
      </c>
      <c r="E27" s="696">
        <f t="shared" ca="1" si="3"/>
        <v>467151.7900221484</v>
      </c>
      <c r="F27" s="696">
        <f t="shared" si="3"/>
        <v>22927.034951614274</v>
      </c>
      <c r="G27" s="696">
        <f t="shared" ca="1" si="3"/>
        <v>138341.55070418128</v>
      </c>
      <c r="H27" s="696">
        <f t="shared" si="3"/>
        <v>297473.60786518513</v>
      </c>
      <c r="I27" s="696">
        <f t="shared" si="3"/>
        <v>37539.464282316789</v>
      </c>
      <c r="J27" s="696">
        <f t="shared" si="3"/>
        <v>0</v>
      </c>
      <c r="K27" s="696">
        <f t="shared" si="3"/>
        <v>638.27907341273431</v>
      </c>
      <c r="L27" s="696">
        <f t="shared" si="3"/>
        <v>0</v>
      </c>
      <c r="M27" s="696">
        <f t="shared" ca="1" si="3"/>
        <v>0</v>
      </c>
      <c r="N27" s="696">
        <f t="shared" si="3"/>
        <v>15141.163230713082</v>
      </c>
      <c r="O27" s="696">
        <f t="shared" ca="1" si="3"/>
        <v>34831.097247123063</v>
      </c>
      <c r="P27" s="696">
        <f t="shared" si="3"/>
        <v>465.87333333333333</v>
      </c>
      <c r="Q27" s="696">
        <f t="shared" si="3"/>
        <v>991.4666666666667</v>
      </c>
      <c r="R27" s="696">
        <f t="shared" ca="1" si="3"/>
        <v>1422038.793272878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15308.90830598377</v>
      </c>
      <c r="D40" s="686">
        <f ca="1">tertiair!C20</f>
        <v>0</v>
      </c>
      <c r="E40" s="686">
        <f ca="1">tertiair!D20</f>
        <v>24117.869247592516</v>
      </c>
      <c r="F40" s="686">
        <f>tertiair!E20</f>
        <v>231.30728440791421</v>
      </c>
      <c r="G40" s="686">
        <f ca="1">tertiair!F20</f>
        <v>3715.9272683590657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43374.012106343267</v>
      </c>
    </row>
    <row r="41" spans="1:18">
      <c r="A41" s="814" t="s">
        <v>224</v>
      </c>
      <c r="B41" s="821"/>
      <c r="C41" s="686">
        <f ca="1">huishoudens!B12</f>
        <v>13957.03725866487</v>
      </c>
      <c r="D41" s="686">
        <f ca="1">huishoudens!C12</f>
        <v>0</v>
      </c>
      <c r="E41" s="686">
        <f>huishoudens!D12</f>
        <v>27692.051769297228</v>
      </c>
      <c r="F41" s="686">
        <f>huishoudens!E12</f>
        <v>1799.4858854636241</v>
      </c>
      <c r="G41" s="686">
        <f>huishoudens!F12</f>
        <v>17632.113812620322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61080.688726046043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51884.950180753156</v>
      </c>
      <c r="D43" s="686">
        <f ca="1">industrie!C22</f>
        <v>0</v>
      </c>
      <c r="E43" s="686">
        <f>industrie!D22</f>
        <v>40800.307308795622</v>
      </c>
      <c r="F43" s="686">
        <f>industrie!E22</f>
        <v>2985.9053746858126</v>
      </c>
      <c r="G43" s="686">
        <f>industrie!F22</f>
        <v>14097.852374988641</v>
      </c>
      <c r="H43" s="686">
        <f>industrie!G22</f>
        <v>0</v>
      </c>
      <c r="I43" s="686">
        <f>industrie!H22</f>
        <v>0</v>
      </c>
      <c r="J43" s="686">
        <f>industrie!I22</f>
        <v>0</v>
      </c>
      <c r="K43" s="686">
        <f>industrie!J22</f>
        <v>139.76779973146907</v>
      </c>
      <c r="L43" s="686">
        <f>industrie!K22</f>
        <v>0</v>
      </c>
      <c r="M43" s="686">
        <f>industrie!L22</f>
        <v>0</v>
      </c>
      <c r="N43" s="686">
        <f>industrie!M22</f>
        <v>0</v>
      </c>
      <c r="O43" s="686">
        <f>industrie!N22</f>
        <v>0</v>
      </c>
      <c r="P43" s="686">
        <f>industrie!O22</f>
        <v>0</v>
      </c>
      <c r="Q43" s="763">
        <f>industrie!P22</f>
        <v>0</v>
      </c>
      <c r="R43" s="841">
        <f t="shared" ca="1" si="4"/>
        <v>109908.7830389547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81150.895745401795</v>
      </c>
      <c r="D46" s="721">
        <f t="shared" ref="D46:Q46" ca="1" si="5">SUM(D39:D45)</f>
        <v>0</v>
      </c>
      <c r="E46" s="721">
        <f t="shared" ca="1" si="5"/>
        <v>92610.22832568537</v>
      </c>
      <c r="F46" s="721">
        <f t="shared" si="5"/>
        <v>5016.6985445573509</v>
      </c>
      <c r="G46" s="721">
        <f t="shared" ca="1" si="5"/>
        <v>35445.893455968027</v>
      </c>
      <c r="H46" s="721">
        <f t="shared" si="5"/>
        <v>0</v>
      </c>
      <c r="I46" s="721">
        <f t="shared" si="5"/>
        <v>0</v>
      </c>
      <c r="J46" s="721">
        <f t="shared" si="5"/>
        <v>0</v>
      </c>
      <c r="K46" s="721">
        <f t="shared" si="5"/>
        <v>139.76779973146907</v>
      </c>
      <c r="L46" s="721">
        <f t="shared" si="5"/>
        <v>0</v>
      </c>
      <c r="M46" s="721">
        <f t="shared" ca="1" si="5"/>
        <v>0</v>
      </c>
      <c r="N46" s="721">
        <f t="shared" si="5"/>
        <v>0</v>
      </c>
      <c r="O46" s="721">
        <f t="shared" ca="1" si="5"/>
        <v>0</v>
      </c>
      <c r="P46" s="721">
        <f t="shared" si="5"/>
        <v>0</v>
      </c>
      <c r="Q46" s="721">
        <f t="shared" si="5"/>
        <v>0</v>
      </c>
      <c r="R46" s="721">
        <f ca="1">SUM(R39:R45)</f>
        <v>214363.48387134401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523.51980037079159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523.51980037079159</v>
      </c>
    </row>
    <row r="50" spans="1:18">
      <c r="A50" s="817" t="s">
        <v>306</v>
      </c>
      <c r="B50" s="827"/>
      <c r="C50" s="692">
        <f ca="1">transport!B18</f>
        <v>2.525180472609144</v>
      </c>
      <c r="D50" s="692">
        <f>transport!C18</f>
        <v>0</v>
      </c>
      <c r="E50" s="692">
        <f>transport!D18</f>
        <v>4.0406570726548203</v>
      </c>
      <c r="F50" s="692">
        <f>transport!E18</f>
        <v>183.10771660469115</v>
      </c>
      <c r="G50" s="692">
        <f>transport!F18</f>
        <v>0</v>
      </c>
      <c r="H50" s="692">
        <f>transport!G18</f>
        <v>78901.93349963364</v>
      </c>
      <c r="I50" s="692">
        <f>transport!H18</f>
        <v>9347.3266062968796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88438.933660080467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2.525180472609144</v>
      </c>
      <c r="D52" s="721">
        <f t="shared" ref="D52:Q52" ca="1" si="6">SUM(D48:D51)</f>
        <v>0</v>
      </c>
      <c r="E52" s="721">
        <f t="shared" si="6"/>
        <v>4.0406570726548203</v>
      </c>
      <c r="F52" s="721">
        <f t="shared" si="6"/>
        <v>183.10771660469115</v>
      </c>
      <c r="G52" s="721">
        <f t="shared" si="6"/>
        <v>0</v>
      </c>
      <c r="H52" s="721">
        <f t="shared" si="6"/>
        <v>79425.453300004432</v>
      </c>
      <c r="I52" s="721">
        <f t="shared" si="6"/>
        <v>9347.3266062968796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88962.453460451259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326.44827008558832</v>
      </c>
      <c r="D54" s="692">
        <f ca="1">+landbouw!C12</f>
        <v>0</v>
      </c>
      <c r="E54" s="692">
        <f>+landbouw!D12</f>
        <v>347.96356323460941</v>
      </c>
      <c r="F54" s="692">
        <f>+landbouw!E12</f>
        <v>4.6306728543977345</v>
      </c>
      <c r="G54" s="692">
        <f>+landbouw!F12</f>
        <v>1491.3005820483734</v>
      </c>
      <c r="H54" s="692">
        <f>+landbouw!G12</f>
        <v>0</v>
      </c>
      <c r="I54" s="692">
        <f>+landbouw!H12</f>
        <v>0</v>
      </c>
      <c r="J54" s="692">
        <f>+landbouw!I12</f>
        <v>0</v>
      </c>
      <c r="K54" s="692">
        <f>+landbouw!J12</f>
        <v>86.182992256638883</v>
      </c>
      <c r="L54" s="692">
        <f>+landbouw!K12</f>
        <v>0</v>
      </c>
      <c r="M54" s="692">
        <f>+landbouw!L12</f>
        <v>0</v>
      </c>
      <c r="N54" s="692">
        <f>+landbouw!M12</f>
        <v>0</v>
      </c>
      <c r="O54" s="692">
        <f>+landbouw!N12</f>
        <v>0</v>
      </c>
      <c r="P54" s="692">
        <f>+landbouw!O12</f>
        <v>0</v>
      </c>
      <c r="Q54" s="693">
        <f>+landbouw!P12</f>
        <v>0</v>
      </c>
      <c r="R54" s="720">
        <f ca="1">SUM(C54:Q54)</f>
        <v>2256.5260804796076</v>
      </c>
    </row>
    <row r="55" spans="1:18" ht="15" thickBot="1">
      <c r="A55" s="817" t="s">
        <v>856</v>
      </c>
      <c r="B55" s="827"/>
      <c r="C55" s="692">
        <f ca="1">C25*'EF ele_warmte'!B12</f>
        <v>500.83615752914324</v>
      </c>
      <c r="D55" s="692"/>
      <c r="E55" s="692">
        <f>E25*EF_CO2_aardgas</f>
        <v>1402.4290384813539</v>
      </c>
      <c r="F55" s="692"/>
      <c r="G55" s="692"/>
      <c r="H55" s="692"/>
      <c r="I55" s="692"/>
      <c r="J55" s="692"/>
      <c r="K55" s="692"/>
      <c r="L55" s="692"/>
      <c r="M55" s="692"/>
      <c r="N55" s="692"/>
      <c r="O55" s="692"/>
      <c r="P55" s="692"/>
      <c r="Q55" s="693"/>
      <c r="R55" s="720">
        <f ca="1">SUM(C55:Q55)</f>
        <v>1903.2651960104972</v>
      </c>
    </row>
    <row r="56" spans="1:18" ht="15.75" thickBot="1">
      <c r="A56" s="815" t="s">
        <v>857</v>
      </c>
      <c r="B56" s="828"/>
      <c r="C56" s="721">
        <f ca="1">SUM(C54:C55)</f>
        <v>827.28442761473161</v>
      </c>
      <c r="D56" s="721">
        <f t="shared" ref="D56:Q56" ca="1" si="7">SUM(D54:D55)</f>
        <v>0</v>
      </c>
      <c r="E56" s="721">
        <f t="shared" si="7"/>
        <v>1750.3926017159633</v>
      </c>
      <c r="F56" s="721">
        <f t="shared" si="7"/>
        <v>4.6306728543977345</v>
      </c>
      <c r="G56" s="721">
        <f t="shared" si="7"/>
        <v>1491.3005820483734</v>
      </c>
      <c r="H56" s="721">
        <f t="shared" si="7"/>
        <v>0</v>
      </c>
      <c r="I56" s="721">
        <f t="shared" si="7"/>
        <v>0</v>
      </c>
      <c r="J56" s="721">
        <f t="shared" si="7"/>
        <v>0</v>
      </c>
      <c r="K56" s="721">
        <f t="shared" si="7"/>
        <v>86.182992256638883</v>
      </c>
      <c r="L56" s="721">
        <f t="shared" si="7"/>
        <v>0</v>
      </c>
      <c r="M56" s="721">
        <f t="shared" si="7"/>
        <v>0</v>
      </c>
      <c r="N56" s="721">
        <f t="shared" si="7"/>
        <v>0</v>
      </c>
      <c r="O56" s="721">
        <f t="shared" si="7"/>
        <v>0</v>
      </c>
      <c r="P56" s="721">
        <f t="shared" si="7"/>
        <v>0</v>
      </c>
      <c r="Q56" s="722">
        <f t="shared" si="7"/>
        <v>0</v>
      </c>
      <c r="R56" s="723">
        <f ca="1">SUM(R54:R55)</f>
        <v>4159.7912764901048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81980.705353489146</v>
      </c>
      <c r="D61" s="729">
        <f t="shared" ref="D61:Q61" ca="1" si="8">D46+D52+D56</f>
        <v>0</v>
      </c>
      <c r="E61" s="729">
        <f t="shared" ca="1" si="8"/>
        <v>94364.661584473986</v>
      </c>
      <c r="F61" s="729">
        <f t="shared" si="8"/>
        <v>5204.4369340164394</v>
      </c>
      <c r="G61" s="729">
        <f t="shared" ca="1" si="8"/>
        <v>36937.194038016401</v>
      </c>
      <c r="H61" s="729">
        <f t="shared" si="8"/>
        <v>79425.453300004432</v>
      </c>
      <c r="I61" s="729">
        <f t="shared" si="8"/>
        <v>9347.3266062968796</v>
      </c>
      <c r="J61" s="729">
        <f t="shared" si="8"/>
        <v>0</v>
      </c>
      <c r="K61" s="729">
        <f t="shared" si="8"/>
        <v>225.95079198810794</v>
      </c>
      <c r="L61" s="729">
        <f t="shared" si="8"/>
        <v>0</v>
      </c>
      <c r="M61" s="729">
        <f t="shared" ca="1" si="8"/>
        <v>0</v>
      </c>
      <c r="N61" s="729">
        <f t="shared" si="8"/>
        <v>0</v>
      </c>
      <c r="O61" s="729">
        <f t="shared" ca="1" si="8"/>
        <v>0</v>
      </c>
      <c r="P61" s="729">
        <f t="shared" si="8"/>
        <v>0</v>
      </c>
      <c r="Q61" s="729">
        <f t="shared" si="8"/>
        <v>0</v>
      </c>
      <c r="R61" s="729">
        <f ca="1">R46+R52+R56</f>
        <v>307485.72860828537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0.20165596588439494</v>
      </c>
      <c r="D63" s="772">
        <f t="shared" ca="1" si="9"/>
        <v>0</v>
      </c>
      <c r="E63" s="998">
        <f t="shared" ca="1" si="9"/>
        <v>0.20200000000000001</v>
      </c>
      <c r="F63" s="772">
        <f t="shared" si="9"/>
        <v>0.22699999999999995</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32357.548007092286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3226.5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9218.5714285714294</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35584.048007092286</v>
      </c>
      <c r="C78" s="744">
        <f>SUM(C72:C77)</f>
        <v>0</v>
      </c>
      <c r="D78" s="745">
        <f t="shared" ref="D78:H78" si="10">SUM(D76:D77)</f>
        <v>0</v>
      </c>
      <c r="E78" s="745">
        <f t="shared" si="10"/>
        <v>0</v>
      </c>
      <c r="F78" s="745">
        <f t="shared" si="10"/>
        <v>0</v>
      </c>
      <c r="G78" s="745">
        <f t="shared" si="10"/>
        <v>0</v>
      </c>
      <c r="H78" s="745">
        <f t="shared" si="10"/>
        <v>0</v>
      </c>
      <c r="I78" s="745">
        <f>SUM(I76:I77)</f>
        <v>0</v>
      </c>
      <c r="J78" s="745">
        <f>SUM(J76:J77)</f>
        <v>9218.5714285714294</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69212.121731454958</v>
      </c>
      <c r="C4" s="458">
        <f>huishoudens!C8</f>
        <v>0</v>
      </c>
      <c r="D4" s="458">
        <f>huishoudens!D8</f>
        <v>137089.36519454073</v>
      </c>
      <c r="E4" s="458">
        <f>huishoudens!E8</f>
        <v>7927.2505967560528</v>
      </c>
      <c r="F4" s="458">
        <f>huishoudens!F8</f>
        <v>66037.879448016189</v>
      </c>
      <c r="G4" s="458">
        <f>huishoudens!G8</f>
        <v>0</v>
      </c>
      <c r="H4" s="458">
        <f>huishoudens!H8</f>
        <v>0</v>
      </c>
      <c r="I4" s="458">
        <f>huishoudens!I8</f>
        <v>0</v>
      </c>
      <c r="J4" s="458">
        <f>huishoudens!J8</f>
        <v>0</v>
      </c>
      <c r="K4" s="458">
        <f>huishoudens!K8</f>
        <v>0</v>
      </c>
      <c r="L4" s="458">
        <f>huishoudens!L8</f>
        <v>0</v>
      </c>
      <c r="M4" s="458">
        <f>huishoudens!M8</f>
        <v>0</v>
      </c>
      <c r="N4" s="458">
        <f>huishoudens!N8</f>
        <v>30937.111501497817</v>
      </c>
      <c r="O4" s="458">
        <f>huishoudens!O8</f>
        <v>461.18333333333334</v>
      </c>
      <c r="P4" s="459">
        <f>huishoudens!P8</f>
        <v>762.66666666666674</v>
      </c>
      <c r="Q4" s="460">
        <f>SUM(B4:P4)</f>
        <v>312427.57847226574</v>
      </c>
    </row>
    <row r="5" spans="1:17">
      <c r="A5" s="457" t="s">
        <v>155</v>
      </c>
      <c r="B5" s="458">
        <f ca="1">tertiair!B16</f>
        <v>73077.51824587927</v>
      </c>
      <c r="C5" s="458">
        <f ca="1">tertiair!C16</f>
        <v>0</v>
      </c>
      <c r="D5" s="458">
        <f ca="1">tertiair!D16</f>
        <v>119395.39231481442</v>
      </c>
      <c r="E5" s="458">
        <f>tertiair!E16</f>
        <v>1018.9748211802388</v>
      </c>
      <c r="F5" s="458">
        <f ca="1">tertiair!F16</f>
        <v>13917.330593105115</v>
      </c>
      <c r="G5" s="458">
        <f>tertiair!G16</f>
        <v>0</v>
      </c>
      <c r="H5" s="458">
        <f>tertiair!H16</f>
        <v>0</v>
      </c>
      <c r="I5" s="458">
        <f>tertiair!I16</f>
        <v>0</v>
      </c>
      <c r="J5" s="458">
        <f>tertiair!J16</f>
        <v>0</v>
      </c>
      <c r="K5" s="458">
        <f>tertiair!K16</f>
        <v>0</v>
      </c>
      <c r="L5" s="458">
        <f ca="1">tertiair!L16</f>
        <v>0</v>
      </c>
      <c r="M5" s="458">
        <f>tertiair!M16</f>
        <v>0</v>
      </c>
      <c r="N5" s="458">
        <f ca="1">tertiair!N16</f>
        <v>3728.6122112515091</v>
      </c>
      <c r="O5" s="458">
        <f>tertiair!O16</f>
        <v>4.6900000000000004</v>
      </c>
      <c r="P5" s="459">
        <f>tertiair!P16</f>
        <v>228.8</v>
      </c>
      <c r="Q5" s="457">
        <f t="shared" ref="Q5:Q14" ca="1" si="0">SUM(B5:P5)</f>
        <v>211371.31818623058</v>
      </c>
    </row>
    <row r="6" spans="1:17">
      <c r="A6" s="457" t="s">
        <v>193</v>
      </c>
      <c r="B6" s="458">
        <f>'openbare verlichting'!B8</f>
        <v>2838.4520000000002</v>
      </c>
      <c r="C6" s="458"/>
      <c r="D6" s="458"/>
      <c r="E6" s="458"/>
      <c r="F6" s="458"/>
      <c r="G6" s="458"/>
      <c r="H6" s="458"/>
      <c r="I6" s="458"/>
      <c r="J6" s="458"/>
      <c r="K6" s="458"/>
      <c r="L6" s="458"/>
      <c r="M6" s="458"/>
      <c r="N6" s="458"/>
      <c r="O6" s="458"/>
      <c r="P6" s="459"/>
      <c r="Q6" s="457">
        <f t="shared" si="0"/>
        <v>2838.4520000000002</v>
      </c>
    </row>
    <row r="7" spans="1:17">
      <c r="A7" s="457" t="s">
        <v>111</v>
      </c>
      <c r="B7" s="458">
        <f>landbouw!B8</f>
        <v>1618.8376508173042</v>
      </c>
      <c r="C7" s="458">
        <f>landbouw!C8</f>
        <v>0</v>
      </c>
      <c r="D7" s="458">
        <f>landbouw!D8</f>
        <v>1722.5918972010365</v>
      </c>
      <c r="E7" s="458">
        <f>landbouw!E8</f>
        <v>20.399439887214687</v>
      </c>
      <c r="F7" s="458">
        <f>landbouw!F8</f>
        <v>5585.3954383834207</v>
      </c>
      <c r="G7" s="458">
        <f>landbouw!G8</f>
        <v>0</v>
      </c>
      <c r="H7" s="458">
        <f>landbouw!H8</f>
        <v>0</v>
      </c>
      <c r="I7" s="458">
        <f>landbouw!I8</f>
        <v>0</v>
      </c>
      <c r="J7" s="458">
        <f>landbouw!J8</f>
        <v>243.45478038598554</v>
      </c>
      <c r="K7" s="458">
        <f>landbouw!K8</f>
        <v>0</v>
      </c>
      <c r="L7" s="458">
        <f>landbouw!L8</f>
        <v>0</v>
      </c>
      <c r="M7" s="458">
        <f>landbouw!M8</f>
        <v>0</v>
      </c>
      <c r="N7" s="458">
        <f>landbouw!N8</f>
        <v>0</v>
      </c>
      <c r="O7" s="458">
        <f>landbouw!O8</f>
        <v>0</v>
      </c>
      <c r="P7" s="459">
        <f>landbouw!P8</f>
        <v>0</v>
      </c>
      <c r="Q7" s="457">
        <f t="shared" si="0"/>
        <v>9190.6792066749622</v>
      </c>
    </row>
    <row r="8" spans="1:17">
      <c r="A8" s="457" t="s">
        <v>655</v>
      </c>
      <c r="B8" s="458">
        <f>industrie!B18</f>
        <v>257294.39718385367</v>
      </c>
      <c r="C8" s="458">
        <f>industrie!C18</f>
        <v>0</v>
      </c>
      <c r="D8" s="458">
        <f>industrie!D18</f>
        <v>201981.71935047337</v>
      </c>
      <c r="E8" s="458">
        <f>industrie!E18</f>
        <v>13153.768170422081</v>
      </c>
      <c r="F8" s="458">
        <f>industrie!F18</f>
        <v>52800.945224676558</v>
      </c>
      <c r="G8" s="458">
        <f>industrie!G18</f>
        <v>0</v>
      </c>
      <c r="H8" s="458">
        <f>industrie!H18</f>
        <v>0</v>
      </c>
      <c r="I8" s="458">
        <f>industrie!I18</f>
        <v>0</v>
      </c>
      <c r="J8" s="458">
        <f>industrie!J18</f>
        <v>394.82429302674876</v>
      </c>
      <c r="K8" s="458">
        <f>industrie!K18</f>
        <v>0</v>
      </c>
      <c r="L8" s="458">
        <f>industrie!L18</f>
        <v>0</v>
      </c>
      <c r="M8" s="458">
        <f>industrie!M18</f>
        <v>0</v>
      </c>
      <c r="N8" s="458">
        <f>industrie!N18</f>
        <v>165.37353437373895</v>
      </c>
      <c r="O8" s="458">
        <f>industrie!O18</f>
        <v>0</v>
      </c>
      <c r="P8" s="459">
        <f>industrie!P18</f>
        <v>0</v>
      </c>
      <c r="Q8" s="457">
        <f t="shared" si="0"/>
        <v>525791.02775682602</v>
      </c>
    </row>
    <row r="9" spans="1:17" s="463" customFormat="1">
      <c r="A9" s="461" t="s">
        <v>573</v>
      </c>
      <c r="B9" s="462">
        <f>transport!B14</f>
        <v>12.522220513211971</v>
      </c>
      <c r="C9" s="462">
        <f>transport!C14</f>
        <v>0</v>
      </c>
      <c r="D9" s="462">
        <f>transport!D14</f>
        <v>20.003252834924851</v>
      </c>
      <c r="E9" s="462">
        <f>transport!E14</f>
        <v>806.64192336868348</v>
      </c>
      <c r="F9" s="462">
        <f>transport!F14</f>
        <v>0</v>
      </c>
      <c r="G9" s="462">
        <f>transport!G14</f>
        <v>295512.85954918963</v>
      </c>
      <c r="H9" s="462">
        <f>transport!H14</f>
        <v>37539.464282316789</v>
      </c>
      <c r="I9" s="462">
        <f>transport!I14</f>
        <v>0</v>
      </c>
      <c r="J9" s="462">
        <f>transport!J14</f>
        <v>0</v>
      </c>
      <c r="K9" s="462">
        <f>transport!K14</f>
        <v>0</v>
      </c>
      <c r="L9" s="462">
        <f>transport!L14</f>
        <v>0</v>
      </c>
      <c r="M9" s="462">
        <f>transport!M14</f>
        <v>15053.888701056367</v>
      </c>
      <c r="N9" s="462">
        <f>transport!N14</f>
        <v>0</v>
      </c>
      <c r="O9" s="462">
        <f>transport!O14</f>
        <v>0</v>
      </c>
      <c r="P9" s="462">
        <f>transport!P14</f>
        <v>0</v>
      </c>
      <c r="Q9" s="461">
        <f>SUM(B9:P9)</f>
        <v>348945.37992927962</v>
      </c>
    </row>
    <row r="10" spans="1:17">
      <c r="A10" s="457" t="s">
        <v>563</v>
      </c>
      <c r="B10" s="458">
        <f>transport!B54</f>
        <v>0</v>
      </c>
      <c r="C10" s="458">
        <f>transport!C54</f>
        <v>0</v>
      </c>
      <c r="D10" s="458">
        <f>transport!D54</f>
        <v>0</v>
      </c>
      <c r="E10" s="458">
        <f>transport!E54</f>
        <v>0</v>
      </c>
      <c r="F10" s="458">
        <f>transport!F54</f>
        <v>0</v>
      </c>
      <c r="G10" s="458">
        <f>transport!G54</f>
        <v>1960.7483159954738</v>
      </c>
      <c r="H10" s="458">
        <f>transport!H54</f>
        <v>0</v>
      </c>
      <c r="I10" s="458">
        <f>transport!I54</f>
        <v>0</v>
      </c>
      <c r="J10" s="458">
        <f>transport!J54</f>
        <v>0</v>
      </c>
      <c r="K10" s="458">
        <f>transport!K54</f>
        <v>0</v>
      </c>
      <c r="L10" s="458">
        <f>transport!L54</f>
        <v>0</v>
      </c>
      <c r="M10" s="458">
        <f>transport!M54</f>
        <v>87.274529656715202</v>
      </c>
      <c r="N10" s="458">
        <f>transport!N54</f>
        <v>0</v>
      </c>
      <c r="O10" s="458">
        <f>transport!O54</f>
        <v>0</v>
      </c>
      <c r="P10" s="459">
        <f>transport!P54</f>
        <v>0</v>
      </c>
      <c r="Q10" s="457">
        <f t="shared" si="0"/>
        <v>2048.0228456521891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2483.61686366503</v>
      </c>
      <c r="C14" s="465"/>
      <c r="D14" s="465">
        <f>'SEAP template'!E25</f>
        <v>6942.71801228393</v>
      </c>
      <c r="E14" s="465"/>
      <c r="F14" s="465"/>
      <c r="G14" s="465"/>
      <c r="H14" s="465"/>
      <c r="I14" s="465"/>
      <c r="J14" s="465"/>
      <c r="K14" s="465"/>
      <c r="L14" s="465"/>
      <c r="M14" s="465"/>
      <c r="N14" s="465"/>
      <c r="O14" s="465"/>
      <c r="P14" s="466"/>
      <c r="Q14" s="457">
        <f t="shared" si="0"/>
        <v>9426.33487594896</v>
      </c>
    </row>
    <row r="15" spans="1:17" s="470" customFormat="1">
      <c r="A15" s="467" t="s">
        <v>567</v>
      </c>
      <c r="B15" s="468">
        <f ca="1">SUM(B4:B14)</f>
        <v>406537.46589618345</v>
      </c>
      <c r="C15" s="468">
        <f t="shared" ref="C15:Q15" ca="1" si="1">SUM(C4:C14)</f>
        <v>0</v>
      </c>
      <c r="D15" s="468">
        <f t="shared" ca="1" si="1"/>
        <v>467151.79002214834</v>
      </c>
      <c r="E15" s="468">
        <f t="shared" si="1"/>
        <v>22927.034951614271</v>
      </c>
      <c r="F15" s="468">
        <f t="shared" ca="1" si="1"/>
        <v>138341.55070418128</v>
      </c>
      <c r="G15" s="468">
        <f t="shared" si="1"/>
        <v>297473.60786518513</v>
      </c>
      <c r="H15" s="468">
        <f t="shared" si="1"/>
        <v>37539.464282316789</v>
      </c>
      <c r="I15" s="468">
        <f t="shared" si="1"/>
        <v>0</v>
      </c>
      <c r="J15" s="468">
        <f t="shared" si="1"/>
        <v>638.27907341273431</v>
      </c>
      <c r="K15" s="468">
        <f t="shared" si="1"/>
        <v>0</v>
      </c>
      <c r="L15" s="468">
        <f t="shared" ca="1" si="1"/>
        <v>0</v>
      </c>
      <c r="M15" s="468">
        <f t="shared" si="1"/>
        <v>15141.163230713082</v>
      </c>
      <c r="N15" s="468">
        <f t="shared" ca="1" si="1"/>
        <v>34831.097247123063</v>
      </c>
      <c r="O15" s="468">
        <f t="shared" si="1"/>
        <v>465.87333333333333</v>
      </c>
      <c r="P15" s="468">
        <f t="shared" si="1"/>
        <v>991.4666666666667</v>
      </c>
      <c r="Q15" s="468">
        <f t="shared" ca="1" si="1"/>
        <v>1422038.7932728783</v>
      </c>
    </row>
    <row r="17" spans="1:17">
      <c r="A17" s="471" t="s">
        <v>568</v>
      </c>
      <c r="B17" s="777">
        <f ca="1">huishoudens!B10</f>
        <v>0.20165596588439494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13957.03725866487</v>
      </c>
      <c r="C22" s="458">
        <f t="shared" ref="C22:C32" ca="1" si="3">C4*$C$17</f>
        <v>0</v>
      </c>
      <c r="D22" s="458">
        <f t="shared" ref="D22:D32" si="4">D4*$D$17</f>
        <v>27692.051769297228</v>
      </c>
      <c r="E22" s="458">
        <f t="shared" ref="E22:E32" si="5">E4*$E$17</f>
        <v>1799.4858854636241</v>
      </c>
      <c r="F22" s="458">
        <f t="shared" ref="F22:F32" si="6">F4*$F$17</f>
        <v>17632.113812620322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61080.688726046043</v>
      </c>
    </row>
    <row r="23" spans="1:17">
      <c r="A23" s="457" t="s">
        <v>155</v>
      </c>
      <c r="B23" s="458">
        <f t="shared" ca="1" si="2"/>
        <v>14736.517526307278</v>
      </c>
      <c r="C23" s="458">
        <f t="shared" ca="1" si="3"/>
        <v>0</v>
      </c>
      <c r="D23" s="458">
        <f t="shared" ca="1" si="4"/>
        <v>24117.869247592516</v>
      </c>
      <c r="E23" s="458">
        <f t="shared" si="5"/>
        <v>231.30728440791421</v>
      </c>
      <c r="F23" s="458">
        <f t="shared" ca="1" si="6"/>
        <v>3715.9272683590657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42801.621326666776</v>
      </c>
    </row>
    <row r="24" spans="1:17">
      <c r="A24" s="457" t="s">
        <v>193</v>
      </c>
      <c r="B24" s="458">
        <f t="shared" ca="1" si="2"/>
        <v>572.39077967649268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572.39077967649268</v>
      </c>
    </row>
    <row r="25" spans="1:17">
      <c r="A25" s="457" t="s">
        <v>111</v>
      </c>
      <c r="B25" s="458">
        <f t="shared" ca="1" si="2"/>
        <v>326.44827008558832</v>
      </c>
      <c r="C25" s="458">
        <f t="shared" ca="1" si="3"/>
        <v>0</v>
      </c>
      <c r="D25" s="458">
        <f t="shared" si="4"/>
        <v>347.96356323460941</v>
      </c>
      <c r="E25" s="458">
        <f t="shared" si="5"/>
        <v>4.6306728543977345</v>
      </c>
      <c r="F25" s="458">
        <f t="shared" si="6"/>
        <v>1491.3005820483734</v>
      </c>
      <c r="G25" s="458">
        <f t="shared" si="7"/>
        <v>0</v>
      </c>
      <c r="H25" s="458">
        <f t="shared" si="8"/>
        <v>0</v>
      </c>
      <c r="I25" s="458">
        <f t="shared" si="9"/>
        <v>0</v>
      </c>
      <c r="J25" s="458">
        <f t="shared" si="10"/>
        <v>86.182992256638883</v>
      </c>
      <c r="K25" s="458">
        <f t="shared" si="11"/>
        <v>0</v>
      </c>
      <c r="L25" s="458">
        <f t="shared" si="12"/>
        <v>0</v>
      </c>
      <c r="M25" s="458">
        <f t="shared" si="13"/>
        <v>0</v>
      </c>
      <c r="N25" s="458">
        <f t="shared" si="14"/>
        <v>0</v>
      </c>
      <c r="O25" s="458">
        <f t="shared" si="15"/>
        <v>0</v>
      </c>
      <c r="P25" s="459">
        <f t="shared" si="16"/>
        <v>0</v>
      </c>
      <c r="Q25" s="457">
        <f t="shared" ca="1" si="17"/>
        <v>2256.5260804796076</v>
      </c>
    </row>
    <row r="26" spans="1:17">
      <c r="A26" s="457" t="s">
        <v>655</v>
      </c>
      <c r="B26" s="458">
        <f t="shared" ca="1" si="2"/>
        <v>51884.950180753156</v>
      </c>
      <c r="C26" s="458">
        <f t="shared" ca="1" si="3"/>
        <v>0</v>
      </c>
      <c r="D26" s="458">
        <f t="shared" si="4"/>
        <v>40800.307308795622</v>
      </c>
      <c r="E26" s="458">
        <f t="shared" si="5"/>
        <v>2985.9053746858126</v>
      </c>
      <c r="F26" s="458">
        <f t="shared" si="6"/>
        <v>14097.852374988641</v>
      </c>
      <c r="G26" s="458">
        <f t="shared" si="7"/>
        <v>0</v>
      </c>
      <c r="H26" s="458">
        <f t="shared" si="8"/>
        <v>0</v>
      </c>
      <c r="I26" s="458">
        <f t="shared" si="9"/>
        <v>0</v>
      </c>
      <c r="J26" s="458">
        <f t="shared" si="10"/>
        <v>139.76779973146907</v>
      </c>
      <c r="K26" s="458">
        <f t="shared" si="11"/>
        <v>0</v>
      </c>
      <c r="L26" s="458">
        <f t="shared" si="12"/>
        <v>0</v>
      </c>
      <c r="M26" s="458">
        <f t="shared" si="13"/>
        <v>0</v>
      </c>
      <c r="N26" s="458">
        <f t="shared" si="14"/>
        <v>0</v>
      </c>
      <c r="O26" s="458">
        <f t="shared" si="15"/>
        <v>0</v>
      </c>
      <c r="P26" s="459">
        <f t="shared" si="16"/>
        <v>0</v>
      </c>
      <c r="Q26" s="457">
        <f t="shared" ca="1" si="17"/>
        <v>109908.7830389547</v>
      </c>
    </row>
    <row r="27" spans="1:17" s="463" customFormat="1">
      <c r="A27" s="461" t="s">
        <v>573</v>
      </c>
      <c r="B27" s="771">
        <f t="shared" ca="1" si="2"/>
        <v>2.525180472609144</v>
      </c>
      <c r="C27" s="462">
        <f t="shared" ca="1" si="3"/>
        <v>0</v>
      </c>
      <c r="D27" s="462">
        <f t="shared" si="4"/>
        <v>4.0406570726548203</v>
      </c>
      <c r="E27" s="462">
        <f t="shared" si="5"/>
        <v>183.10771660469115</v>
      </c>
      <c r="F27" s="462">
        <f t="shared" si="6"/>
        <v>0</v>
      </c>
      <c r="G27" s="462">
        <f t="shared" si="7"/>
        <v>78901.93349963364</v>
      </c>
      <c r="H27" s="462">
        <f t="shared" si="8"/>
        <v>9347.3266062968796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88438.933660080467</v>
      </c>
    </row>
    <row r="28" spans="1:17">
      <c r="A28" s="457" t="s">
        <v>563</v>
      </c>
      <c r="B28" s="458">
        <f t="shared" ca="1" si="2"/>
        <v>0</v>
      </c>
      <c r="C28" s="458">
        <f t="shared" ca="1" si="3"/>
        <v>0</v>
      </c>
      <c r="D28" s="458">
        <f t="shared" si="4"/>
        <v>0</v>
      </c>
      <c r="E28" s="458">
        <f t="shared" si="5"/>
        <v>0</v>
      </c>
      <c r="F28" s="458">
        <f t="shared" si="6"/>
        <v>0</v>
      </c>
      <c r="G28" s="458">
        <f t="shared" si="7"/>
        <v>523.51980037079159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523.51980037079159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500.83615752914324</v>
      </c>
      <c r="C32" s="458">
        <f t="shared" ca="1" si="3"/>
        <v>0</v>
      </c>
      <c r="D32" s="458">
        <f t="shared" si="4"/>
        <v>1402.4290384813539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1903.2651960104972</v>
      </c>
    </row>
    <row r="33" spans="1:17" s="470" customFormat="1">
      <c r="A33" s="467" t="s">
        <v>567</v>
      </c>
      <c r="B33" s="468">
        <f ca="1">SUM(B22:B32)</f>
        <v>81980.705353489146</v>
      </c>
      <c r="C33" s="468">
        <f t="shared" ref="C33:Q33" ca="1" si="18">SUM(C22:C32)</f>
        <v>0</v>
      </c>
      <c r="D33" s="468">
        <f t="shared" ca="1" si="18"/>
        <v>94364.661584473972</v>
      </c>
      <c r="E33" s="468">
        <f t="shared" si="18"/>
        <v>5204.4369340164394</v>
      </c>
      <c r="F33" s="468">
        <f t="shared" ca="1" si="18"/>
        <v>36937.194038016401</v>
      </c>
      <c r="G33" s="468">
        <f t="shared" si="18"/>
        <v>79425.453300004432</v>
      </c>
      <c r="H33" s="468">
        <f t="shared" si="18"/>
        <v>9347.3266062968796</v>
      </c>
      <c r="I33" s="468">
        <f t="shared" si="18"/>
        <v>0</v>
      </c>
      <c r="J33" s="468">
        <f t="shared" si="18"/>
        <v>225.95079198810794</v>
      </c>
      <c r="K33" s="468">
        <f t="shared" si="18"/>
        <v>0</v>
      </c>
      <c r="L33" s="468">
        <f t="shared" ca="1" si="18"/>
        <v>0</v>
      </c>
      <c r="M33" s="468">
        <f t="shared" si="18"/>
        <v>0</v>
      </c>
      <c r="N33" s="468">
        <f t="shared" ca="1" si="18"/>
        <v>0</v>
      </c>
      <c r="O33" s="468">
        <f t="shared" si="18"/>
        <v>0</v>
      </c>
      <c r="P33" s="468">
        <f t="shared" si="18"/>
        <v>0</v>
      </c>
      <c r="Q33" s="468">
        <f t="shared" ca="1" si="18"/>
        <v>307485.72860828537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32357.548007092286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3226.5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9218.5714285714294</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35584.048007092286</v>
      </c>
      <c r="C10" s="1038">
        <f>SUM(C4:C9)</f>
        <v>0</v>
      </c>
      <c r="D10" s="1038">
        <f t="shared" ref="D10:H10" si="0">SUM(D8:D9)</f>
        <v>0</v>
      </c>
      <c r="E10" s="1038">
        <f t="shared" si="0"/>
        <v>0</v>
      </c>
      <c r="F10" s="1038">
        <f t="shared" si="0"/>
        <v>0</v>
      </c>
      <c r="G10" s="1038">
        <f t="shared" si="0"/>
        <v>0</v>
      </c>
      <c r="H10" s="1038">
        <f t="shared" si="0"/>
        <v>0</v>
      </c>
      <c r="I10" s="1038">
        <f>SUM(I8:I9)</f>
        <v>0</v>
      </c>
      <c r="J10" s="1038">
        <f>SUM(J8:J9)</f>
        <v>9218.5714285714294</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0.20165596588439494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0.20165596588439494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0.20165596588439494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0.20165596588439494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15353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1637</v>
      </c>
      <c r="C14" s="332"/>
      <c r="D14" s="332"/>
      <c r="E14" s="332"/>
      <c r="F14" s="332"/>
    </row>
    <row r="15" spans="1:6">
      <c r="A15" s="1306" t="s">
        <v>183</v>
      </c>
      <c r="B15" s="1307">
        <v>19</v>
      </c>
      <c r="C15" s="332"/>
      <c r="D15" s="332"/>
      <c r="E15" s="332"/>
      <c r="F15" s="332"/>
    </row>
    <row r="16" spans="1:6">
      <c r="A16" s="1306" t="s">
        <v>6</v>
      </c>
      <c r="B16" s="1307">
        <v>604</v>
      </c>
      <c r="C16" s="332"/>
      <c r="D16" s="332"/>
      <c r="E16" s="332"/>
      <c r="F16" s="332"/>
    </row>
    <row r="17" spans="1:6">
      <c r="A17" s="1306" t="s">
        <v>7</v>
      </c>
      <c r="B17" s="1307">
        <v>551</v>
      </c>
      <c r="C17" s="332"/>
      <c r="D17" s="332"/>
      <c r="E17" s="332"/>
      <c r="F17" s="332"/>
    </row>
    <row r="18" spans="1:6">
      <c r="A18" s="1306" t="s">
        <v>8</v>
      </c>
      <c r="B18" s="1307">
        <v>701</v>
      </c>
      <c r="C18" s="332"/>
      <c r="D18" s="332"/>
      <c r="E18" s="332"/>
      <c r="F18" s="332"/>
    </row>
    <row r="19" spans="1:6">
      <c r="A19" s="1306" t="s">
        <v>9</v>
      </c>
      <c r="B19" s="1307">
        <v>639</v>
      </c>
      <c r="C19" s="332"/>
      <c r="D19" s="332"/>
      <c r="E19" s="332"/>
      <c r="F19" s="332"/>
    </row>
    <row r="20" spans="1:6">
      <c r="A20" s="1306" t="s">
        <v>10</v>
      </c>
      <c r="B20" s="1307">
        <v>523</v>
      </c>
      <c r="C20" s="332"/>
      <c r="D20" s="332"/>
      <c r="E20" s="332"/>
      <c r="F20" s="332"/>
    </row>
    <row r="21" spans="1:6">
      <c r="A21" s="1306" t="s">
        <v>11</v>
      </c>
      <c r="B21" s="1307">
        <v>1383</v>
      </c>
      <c r="C21" s="332"/>
      <c r="D21" s="332"/>
      <c r="E21" s="332"/>
      <c r="F21" s="332"/>
    </row>
    <row r="22" spans="1:6">
      <c r="A22" s="1306" t="s">
        <v>12</v>
      </c>
      <c r="B22" s="1307">
        <v>5606</v>
      </c>
      <c r="C22" s="332"/>
      <c r="D22" s="332"/>
      <c r="E22" s="332"/>
      <c r="F22" s="332"/>
    </row>
    <row r="23" spans="1:6">
      <c r="A23" s="1306" t="s">
        <v>13</v>
      </c>
      <c r="B23" s="1307">
        <v>25</v>
      </c>
      <c r="C23" s="332"/>
      <c r="D23" s="332"/>
      <c r="E23" s="332"/>
      <c r="F23" s="332"/>
    </row>
    <row r="24" spans="1:6">
      <c r="A24" s="1306" t="s">
        <v>14</v>
      </c>
      <c r="B24" s="1307">
        <v>2</v>
      </c>
      <c r="C24" s="332"/>
      <c r="D24" s="332"/>
      <c r="E24" s="332"/>
      <c r="F24" s="332"/>
    </row>
    <row r="25" spans="1:6">
      <c r="A25" s="1306" t="s">
        <v>15</v>
      </c>
      <c r="B25" s="1307">
        <v>343</v>
      </c>
      <c r="C25" s="332"/>
      <c r="D25" s="332"/>
      <c r="E25" s="332"/>
      <c r="F25" s="332"/>
    </row>
    <row r="26" spans="1:6">
      <c r="A26" s="1306" t="s">
        <v>16</v>
      </c>
      <c r="B26" s="1307">
        <v>231</v>
      </c>
      <c r="C26" s="332"/>
      <c r="D26" s="332"/>
      <c r="E26" s="332"/>
      <c r="F26" s="332"/>
    </row>
    <row r="27" spans="1:6">
      <c r="A27" s="1306" t="s">
        <v>17</v>
      </c>
      <c r="B27" s="1307">
        <v>15</v>
      </c>
      <c r="C27" s="332"/>
      <c r="D27" s="332"/>
      <c r="E27" s="332"/>
      <c r="F27" s="332"/>
    </row>
    <row r="28" spans="1:6" s="43" customFormat="1">
      <c r="A28" s="1308" t="s">
        <v>18</v>
      </c>
      <c r="B28" s="1309">
        <v>35314</v>
      </c>
      <c r="C28" s="338"/>
      <c r="D28" s="338"/>
      <c r="E28" s="338"/>
      <c r="F28" s="338"/>
    </row>
    <row r="29" spans="1:6">
      <c r="A29" s="1308" t="s">
        <v>916</v>
      </c>
      <c r="B29" s="1309">
        <v>69</v>
      </c>
      <c r="C29" s="338"/>
      <c r="D29" s="338"/>
      <c r="E29" s="338"/>
      <c r="F29" s="338"/>
    </row>
    <row r="30" spans="1:6">
      <c r="A30" s="1301" t="s">
        <v>917</v>
      </c>
      <c r="B30" s="1310">
        <v>50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4</v>
      </c>
      <c r="D36" s="1307">
        <v>1129342.0031412099</v>
      </c>
      <c r="E36" s="1307">
        <v>8</v>
      </c>
      <c r="F36" s="1307">
        <v>83982.9495945534</v>
      </c>
    </row>
    <row r="37" spans="1:6">
      <c r="A37" s="1306" t="s">
        <v>24</v>
      </c>
      <c r="B37" s="1306" t="s">
        <v>27</v>
      </c>
      <c r="C37" s="1307">
        <v>0</v>
      </c>
      <c r="D37" s="1307">
        <v>0</v>
      </c>
      <c r="E37" s="1307">
        <v>0</v>
      </c>
      <c r="F37" s="1307">
        <v>0</v>
      </c>
    </row>
    <row r="38" spans="1:6">
      <c r="A38" s="1306" t="s">
        <v>24</v>
      </c>
      <c r="B38" s="1306" t="s">
        <v>28</v>
      </c>
      <c r="C38" s="1307">
        <v>1</v>
      </c>
      <c r="D38" s="1307">
        <v>10661.011556596301</v>
      </c>
      <c r="E38" s="1307">
        <v>5</v>
      </c>
      <c r="F38" s="1307">
        <v>14883.3568811201</v>
      </c>
    </row>
    <row r="39" spans="1:6">
      <c r="A39" s="1306" t="s">
        <v>29</v>
      </c>
      <c r="B39" s="1306" t="s">
        <v>30</v>
      </c>
      <c r="C39" s="1307">
        <v>8764</v>
      </c>
      <c r="D39" s="1307">
        <v>151899129.87244099</v>
      </c>
      <c r="E39" s="1307">
        <v>14831</v>
      </c>
      <c r="F39" s="1307">
        <v>63196860.662886202</v>
      </c>
    </row>
    <row r="40" spans="1:6">
      <c r="A40" s="1306" t="s">
        <v>29</v>
      </c>
      <c r="B40" s="1306" t="s">
        <v>28</v>
      </c>
      <c r="C40" s="1307">
        <v>2</v>
      </c>
      <c r="D40" s="1307">
        <v>84645.287803705301</v>
      </c>
      <c r="E40" s="1307">
        <v>2</v>
      </c>
      <c r="F40" s="1307">
        <v>13234.651166042</v>
      </c>
    </row>
    <row r="41" spans="1:6">
      <c r="A41" s="1306" t="s">
        <v>31</v>
      </c>
      <c r="B41" s="1306" t="s">
        <v>32</v>
      </c>
      <c r="C41" s="1307">
        <v>171</v>
      </c>
      <c r="D41" s="1307">
        <v>9779817.2368996907</v>
      </c>
      <c r="E41" s="1307">
        <v>512</v>
      </c>
      <c r="F41" s="1307">
        <v>16282842.3616347</v>
      </c>
    </row>
    <row r="42" spans="1:6">
      <c r="A42" s="1306" t="s">
        <v>31</v>
      </c>
      <c r="B42" s="1306" t="s">
        <v>33</v>
      </c>
      <c r="C42" s="1307">
        <v>0</v>
      </c>
      <c r="D42" s="1307">
        <v>0</v>
      </c>
      <c r="E42" s="1307">
        <v>3</v>
      </c>
      <c r="F42" s="1307">
        <v>1237364.6626825801</v>
      </c>
    </row>
    <row r="43" spans="1:6">
      <c r="A43" s="1306" t="s">
        <v>31</v>
      </c>
      <c r="B43" s="1306" t="s">
        <v>34</v>
      </c>
      <c r="C43" s="1307">
        <v>0</v>
      </c>
      <c r="D43" s="1307">
        <v>0</v>
      </c>
      <c r="E43" s="1307">
        <v>0</v>
      </c>
      <c r="F43" s="1307">
        <v>0</v>
      </c>
    </row>
    <row r="44" spans="1:6">
      <c r="A44" s="1306" t="s">
        <v>31</v>
      </c>
      <c r="B44" s="1306" t="s">
        <v>35</v>
      </c>
      <c r="C44" s="1307">
        <v>18</v>
      </c>
      <c r="D44" s="1307">
        <v>8731059.1577730794</v>
      </c>
      <c r="E44" s="1307">
        <v>64</v>
      </c>
      <c r="F44" s="1307">
        <v>6869421.0104858996</v>
      </c>
    </row>
    <row r="45" spans="1:6">
      <c r="A45" s="1306" t="s">
        <v>31</v>
      </c>
      <c r="B45" s="1306" t="s">
        <v>36</v>
      </c>
      <c r="C45" s="1307">
        <v>0</v>
      </c>
      <c r="D45" s="1307">
        <v>0</v>
      </c>
      <c r="E45" s="1307">
        <v>13</v>
      </c>
      <c r="F45" s="1307">
        <v>1293929.34563307</v>
      </c>
    </row>
    <row r="46" spans="1:6">
      <c r="A46" s="1306" t="s">
        <v>31</v>
      </c>
      <c r="B46" s="1306" t="s">
        <v>37</v>
      </c>
      <c r="C46" s="1307">
        <v>0</v>
      </c>
      <c r="D46" s="1307">
        <v>0</v>
      </c>
      <c r="E46" s="1307">
        <v>0</v>
      </c>
      <c r="F46" s="1307">
        <v>0</v>
      </c>
    </row>
    <row r="47" spans="1:6">
      <c r="A47" s="1306" t="s">
        <v>31</v>
      </c>
      <c r="B47" s="1306" t="s">
        <v>38</v>
      </c>
      <c r="C47" s="1307">
        <v>0</v>
      </c>
      <c r="D47" s="1307">
        <v>0</v>
      </c>
      <c r="E47" s="1307">
        <v>11</v>
      </c>
      <c r="F47" s="1307">
        <v>912141.02609596704</v>
      </c>
    </row>
    <row r="48" spans="1:6">
      <c r="A48" s="1306" t="s">
        <v>31</v>
      </c>
      <c r="B48" s="1306" t="s">
        <v>28</v>
      </c>
      <c r="C48" s="1307">
        <v>106</v>
      </c>
      <c r="D48" s="1307">
        <v>183267894.59415901</v>
      </c>
      <c r="E48" s="1307">
        <v>150</v>
      </c>
      <c r="F48" s="1307">
        <v>151262946.35766301</v>
      </c>
    </row>
    <row r="49" spans="1:6">
      <c r="A49" s="1306" t="s">
        <v>31</v>
      </c>
      <c r="B49" s="1306" t="s">
        <v>39</v>
      </c>
      <c r="C49" s="1307">
        <v>16</v>
      </c>
      <c r="D49" s="1307">
        <v>21145568.771433901</v>
      </c>
      <c r="E49" s="1307">
        <v>89</v>
      </c>
      <c r="F49" s="1307">
        <v>75351207.942350894</v>
      </c>
    </row>
    <row r="50" spans="1:6">
      <c r="A50" s="1306" t="s">
        <v>31</v>
      </c>
      <c r="B50" s="1306" t="s">
        <v>40</v>
      </c>
      <c r="C50" s="1307">
        <v>9</v>
      </c>
      <c r="D50" s="1307">
        <v>1002178.36664492</v>
      </c>
      <c r="E50" s="1307">
        <v>19</v>
      </c>
      <c r="F50" s="1307">
        <v>858044.47730757203</v>
      </c>
    </row>
    <row r="51" spans="1:6">
      <c r="A51" s="1306" t="s">
        <v>41</v>
      </c>
      <c r="B51" s="1306" t="s">
        <v>42</v>
      </c>
      <c r="C51" s="1307">
        <v>9</v>
      </c>
      <c r="D51" s="1307">
        <v>828015.27021687594</v>
      </c>
      <c r="E51" s="1307">
        <v>67</v>
      </c>
      <c r="F51" s="1307">
        <v>1233428.8189868701</v>
      </c>
    </row>
    <row r="52" spans="1:6">
      <c r="A52" s="1306" t="s">
        <v>41</v>
      </c>
      <c r="B52" s="1306" t="s">
        <v>28</v>
      </c>
      <c r="C52" s="1307">
        <v>12</v>
      </c>
      <c r="D52" s="1307">
        <v>1081731.84419669</v>
      </c>
      <c r="E52" s="1307">
        <v>25</v>
      </c>
      <c r="F52" s="1307">
        <v>385408.83183043398</v>
      </c>
    </row>
    <row r="53" spans="1:6">
      <c r="A53" s="1306" t="s">
        <v>43</v>
      </c>
      <c r="B53" s="1306" t="s">
        <v>44</v>
      </c>
      <c r="C53" s="1307">
        <v>238</v>
      </c>
      <c r="D53" s="1307">
        <v>6942718.0122839296</v>
      </c>
      <c r="E53" s="1307">
        <v>511</v>
      </c>
      <c r="F53" s="1307">
        <v>2483616.8636650299</v>
      </c>
    </row>
    <row r="54" spans="1:6">
      <c r="A54" s="1306" t="s">
        <v>45</v>
      </c>
      <c r="B54" s="1306" t="s">
        <v>46</v>
      </c>
      <c r="C54" s="1307">
        <v>0</v>
      </c>
      <c r="D54" s="1307">
        <v>0</v>
      </c>
      <c r="E54" s="1307">
        <v>3</v>
      </c>
      <c r="F54" s="1307">
        <v>2838452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83</v>
      </c>
      <c r="D57" s="1307">
        <v>4043315.8142326199</v>
      </c>
      <c r="E57" s="1307">
        <v>163</v>
      </c>
      <c r="F57" s="1307">
        <v>3718563.0719672102</v>
      </c>
    </row>
    <row r="58" spans="1:6">
      <c r="A58" s="1306" t="s">
        <v>48</v>
      </c>
      <c r="B58" s="1306" t="s">
        <v>50</v>
      </c>
      <c r="C58" s="1307">
        <v>49</v>
      </c>
      <c r="D58" s="1307">
        <v>1757810.6605696001</v>
      </c>
      <c r="E58" s="1307">
        <v>90</v>
      </c>
      <c r="F58" s="1307">
        <v>4959190.9671409</v>
      </c>
    </row>
    <row r="59" spans="1:6">
      <c r="A59" s="1306" t="s">
        <v>48</v>
      </c>
      <c r="B59" s="1306" t="s">
        <v>51</v>
      </c>
      <c r="C59" s="1307">
        <v>254</v>
      </c>
      <c r="D59" s="1307">
        <v>17349953.745556999</v>
      </c>
      <c r="E59" s="1307">
        <v>633</v>
      </c>
      <c r="F59" s="1307">
        <v>29683453.433435101</v>
      </c>
    </row>
    <row r="60" spans="1:6">
      <c r="A60" s="1306" t="s">
        <v>48</v>
      </c>
      <c r="B60" s="1306" t="s">
        <v>52</v>
      </c>
      <c r="C60" s="1307">
        <v>115</v>
      </c>
      <c r="D60" s="1307">
        <v>9831974.3386153094</v>
      </c>
      <c r="E60" s="1307">
        <v>166</v>
      </c>
      <c r="F60" s="1307">
        <v>6346230.1286340496</v>
      </c>
    </row>
    <row r="61" spans="1:6">
      <c r="A61" s="1306" t="s">
        <v>48</v>
      </c>
      <c r="B61" s="1306" t="s">
        <v>53</v>
      </c>
      <c r="C61" s="1307">
        <v>370</v>
      </c>
      <c r="D61" s="1307">
        <v>79071612.894590199</v>
      </c>
      <c r="E61" s="1307">
        <v>959</v>
      </c>
      <c r="F61" s="1307">
        <v>15288826.9409423</v>
      </c>
    </row>
    <row r="62" spans="1:6">
      <c r="A62" s="1306" t="s">
        <v>48</v>
      </c>
      <c r="B62" s="1306" t="s">
        <v>54</v>
      </c>
      <c r="C62" s="1307">
        <v>12</v>
      </c>
      <c r="D62" s="1307">
        <v>1091122.7796265299</v>
      </c>
      <c r="E62" s="1307">
        <v>25</v>
      </c>
      <c r="F62" s="1307">
        <v>608606.30113160994</v>
      </c>
    </row>
    <row r="63" spans="1:6">
      <c r="A63" s="1306" t="s">
        <v>48</v>
      </c>
      <c r="B63" s="1306" t="s">
        <v>28</v>
      </c>
      <c r="C63" s="1307">
        <v>278</v>
      </c>
      <c r="D63" s="1307">
        <v>19221607.011614099</v>
      </c>
      <c r="E63" s="1307">
        <v>312</v>
      </c>
      <c r="F63" s="1307">
        <v>12472647.4026281</v>
      </c>
    </row>
    <row r="64" spans="1:6">
      <c r="A64" s="1306" t="s">
        <v>55</v>
      </c>
      <c r="B64" s="1306" t="s">
        <v>56</v>
      </c>
      <c r="C64" s="1307">
        <v>0</v>
      </c>
      <c r="D64" s="1307">
        <v>0</v>
      </c>
      <c r="E64" s="1307">
        <v>0</v>
      </c>
      <c r="F64" s="1307">
        <v>0</v>
      </c>
    </row>
    <row r="65" spans="1:6">
      <c r="A65" s="1306" t="s">
        <v>55</v>
      </c>
      <c r="B65" s="1306" t="s">
        <v>28</v>
      </c>
      <c r="C65" s="1307">
        <v>4</v>
      </c>
      <c r="D65" s="1307">
        <v>75978.887186835593</v>
      </c>
      <c r="E65" s="1307">
        <v>4</v>
      </c>
      <c r="F65" s="1307">
        <v>117227.780901009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147233.63448157301</v>
      </c>
      <c r="E68" s="1310">
        <v>30</v>
      </c>
      <c r="F68" s="1310">
        <v>231140.409148559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86186502</v>
      </c>
      <c r="E73" s="456"/>
      <c r="F73" s="332"/>
    </row>
    <row r="74" spans="1:6">
      <c r="A74" s="1306" t="s">
        <v>63</v>
      </c>
      <c r="B74" s="1306" t="s">
        <v>724</v>
      </c>
      <c r="C74" s="1320" t="s">
        <v>725</v>
      </c>
      <c r="D74" s="1321">
        <v>9459710.6241204403</v>
      </c>
      <c r="E74" s="456"/>
      <c r="F74" s="332"/>
    </row>
    <row r="75" spans="1:6">
      <c r="A75" s="1306" t="s">
        <v>64</v>
      </c>
      <c r="B75" s="1306" t="s">
        <v>722</v>
      </c>
      <c r="C75" s="1320" t="s">
        <v>726</v>
      </c>
      <c r="D75" s="1321">
        <v>32866592</v>
      </c>
      <c r="E75" s="456"/>
      <c r="F75" s="332"/>
    </row>
    <row r="76" spans="1:6">
      <c r="A76" s="1306" t="s">
        <v>64</v>
      </c>
      <c r="B76" s="1306" t="s">
        <v>724</v>
      </c>
      <c r="C76" s="1320" t="s">
        <v>727</v>
      </c>
      <c r="D76" s="1321">
        <v>1976819.6241204394</v>
      </c>
      <c r="E76" s="456"/>
      <c r="F76" s="332"/>
    </row>
    <row r="77" spans="1:6">
      <c r="A77" s="1306" t="s">
        <v>65</v>
      </c>
      <c r="B77" s="1306" t="s">
        <v>722</v>
      </c>
      <c r="C77" s="1320" t="s">
        <v>728</v>
      </c>
      <c r="D77" s="1321">
        <v>171015584</v>
      </c>
      <c r="E77" s="456"/>
      <c r="F77" s="332"/>
    </row>
    <row r="78" spans="1:6">
      <c r="A78" s="1301" t="s">
        <v>65</v>
      </c>
      <c r="B78" s="1301" t="s">
        <v>724</v>
      </c>
      <c r="C78" s="1301" t="s">
        <v>729</v>
      </c>
      <c r="D78" s="1322">
        <v>44608043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541920.75175912119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6002.0264174027052</v>
      </c>
      <c r="C91" s="332"/>
      <c r="D91" s="332"/>
      <c r="E91" s="332"/>
      <c r="F91" s="332"/>
    </row>
    <row r="92" spans="1:6">
      <c r="A92" s="1301" t="s">
        <v>68</v>
      </c>
      <c r="B92" s="1302">
        <v>26355.521589689579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5216</v>
      </c>
      <c r="C97" s="332"/>
      <c r="D97" s="332"/>
      <c r="E97" s="332"/>
      <c r="F97" s="332"/>
    </row>
    <row r="98" spans="1:6">
      <c r="A98" s="1306" t="s">
        <v>71</v>
      </c>
      <c r="B98" s="1307">
        <v>2</v>
      </c>
      <c r="C98" s="332"/>
      <c r="D98" s="332"/>
      <c r="E98" s="332"/>
      <c r="F98" s="332"/>
    </row>
    <row r="99" spans="1:6">
      <c r="A99" s="1306" t="s">
        <v>72</v>
      </c>
      <c r="B99" s="1307">
        <v>157</v>
      </c>
      <c r="C99" s="332"/>
      <c r="D99" s="332"/>
      <c r="E99" s="332"/>
      <c r="F99" s="332"/>
    </row>
    <row r="100" spans="1:6">
      <c r="A100" s="1306" t="s">
        <v>73</v>
      </c>
      <c r="B100" s="1307">
        <v>1363</v>
      </c>
      <c r="C100" s="332"/>
      <c r="D100" s="332"/>
      <c r="E100" s="332"/>
      <c r="F100" s="332"/>
    </row>
    <row r="101" spans="1:6">
      <c r="A101" s="1306" t="s">
        <v>74</v>
      </c>
      <c r="B101" s="1307">
        <v>179</v>
      </c>
      <c r="C101" s="332"/>
      <c r="D101" s="332"/>
      <c r="E101" s="332"/>
      <c r="F101" s="332"/>
    </row>
    <row r="102" spans="1:6">
      <c r="A102" s="1306" t="s">
        <v>75</v>
      </c>
      <c r="B102" s="1307">
        <v>330</v>
      </c>
      <c r="C102" s="332"/>
      <c r="D102" s="332"/>
      <c r="E102" s="332"/>
      <c r="F102" s="332"/>
    </row>
    <row r="103" spans="1:6">
      <c r="A103" s="1306" t="s">
        <v>76</v>
      </c>
      <c r="B103" s="1307">
        <v>222</v>
      </c>
      <c r="C103" s="332"/>
      <c r="D103" s="332"/>
      <c r="E103" s="332"/>
      <c r="F103" s="332"/>
    </row>
    <row r="104" spans="1:6">
      <c r="A104" s="1306" t="s">
        <v>77</v>
      </c>
      <c r="B104" s="1307">
        <v>6001</v>
      </c>
      <c r="C104" s="332"/>
      <c r="D104" s="332"/>
      <c r="E104" s="332"/>
      <c r="F104" s="332"/>
    </row>
    <row r="105" spans="1:6">
      <c r="A105" s="1301" t="s">
        <v>78</v>
      </c>
      <c r="B105" s="1310">
        <v>20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19</v>
      </c>
      <c r="C123" s="1307">
        <v>15</v>
      </c>
      <c r="D123" s="332"/>
      <c r="E123" s="332"/>
      <c r="F123" s="332"/>
    </row>
    <row r="124" spans="1:6" s="43" customFormat="1">
      <c r="A124" s="1308" t="s">
        <v>88</v>
      </c>
      <c r="B124" s="1329">
        <v>4</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278</v>
      </c>
      <c r="C129" s="332"/>
      <c r="D129" s="332"/>
      <c r="E129" s="332"/>
      <c r="F129" s="332"/>
    </row>
    <row r="130" spans="1:6">
      <c r="A130" s="1306" t="s">
        <v>294</v>
      </c>
      <c r="B130" s="1307">
        <v>3</v>
      </c>
      <c r="C130" s="332"/>
      <c r="D130" s="332"/>
      <c r="E130" s="332"/>
      <c r="F130" s="332"/>
    </row>
    <row r="131" spans="1:6">
      <c r="A131" s="1306" t="s">
        <v>295</v>
      </c>
      <c r="B131" s="1307">
        <v>12</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406537.46589618345</v>
      </c>
      <c r="C3" s="43" t="s">
        <v>169</v>
      </c>
      <c r="D3" s="43"/>
      <c r="E3" s="156"/>
      <c r="F3" s="43"/>
      <c r="G3" s="43"/>
      <c r="H3" s="43"/>
      <c r="I3" s="43"/>
      <c r="J3" s="43"/>
      <c r="K3" s="96"/>
    </row>
    <row r="4" spans="1:11">
      <c r="A4" s="363" t="s">
        <v>170</v>
      </c>
      <c r="B4" s="49">
        <f>IF(ISERROR('SEAP template'!B78+'SEAP template'!C78),0,'SEAP template'!B78+'SEAP template'!C78)</f>
        <v>35584.048007092286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0.20165596588439494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2838.4520000000002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2838.4520000000002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0.20165596588439494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572.39077967649268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63210.095314052247</v>
      </c>
      <c r="C5" s="17">
        <f>IF(ISERROR('Eigen informatie GS &amp; warmtenet'!B57),0,'Eigen informatie GS &amp; warmtenet'!B57)</f>
        <v>0</v>
      </c>
      <c r="D5" s="30">
        <f>(SUM(HH_hh_gas_kWh,HH_rest_gas_kWh)/1000)*0.902</f>
        <v>137089.36519454073</v>
      </c>
      <c r="E5" s="17">
        <f>B46*B57</f>
        <v>7927.2505967560528</v>
      </c>
      <c r="F5" s="17">
        <f>B51*B62</f>
        <v>66037.879448016189</v>
      </c>
      <c r="G5" s="18"/>
      <c r="H5" s="17"/>
      <c r="I5" s="17"/>
      <c r="J5" s="17">
        <f>B50*B61+C50*C61</f>
        <v>0</v>
      </c>
      <c r="K5" s="17"/>
      <c r="L5" s="17"/>
      <c r="M5" s="17"/>
      <c r="N5" s="17">
        <f>B48*B59+C48*C59</f>
        <v>30937.111501497817</v>
      </c>
      <c r="O5" s="17">
        <f>B69*B70*B71</f>
        <v>461.18333333333334</v>
      </c>
      <c r="P5" s="17">
        <f>B77*B78*B79/1000-B77*B78*B79/1000/B80</f>
        <v>762.66666666666674</v>
      </c>
    </row>
    <row r="6" spans="1:16">
      <c r="A6" s="16" t="s">
        <v>633</v>
      </c>
      <c r="B6" s="779">
        <f>kWh_PV_kleiner_dan_10kW</f>
        <v>6002.0264174027052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69212.121731454958</v>
      </c>
      <c r="C8" s="21">
        <f>C5</f>
        <v>0</v>
      </c>
      <c r="D8" s="21">
        <f>D5</f>
        <v>137089.36519454073</v>
      </c>
      <c r="E8" s="21">
        <f>E5</f>
        <v>7927.2505967560528</v>
      </c>
      <c r="F8" s="21">
        <f>F5</f>
        <v>66037.879448016189</v>
      </c>
      <c r="G8" s="21"/>
      <c r="H8" s="21"/>
      <c r="I8" s="21"/>
      <c r="J8" s="21">
        <f>J5</f>
        <v>0</v>
      </c>
      <c r="K8" s="21"/>
      <c r="L8" s="21">
        <f>L5</f>
        <v>0</v>
      </c>
      <c r="M8" s="21">
        <f>M5</f>
        <v>0</v>
      </c>
      <c r="N8" s="21">
        <f>N5</f>
        <v>30937.111501497817</v>
      </c>
      <c r="O8" s="21">
        <f>O5</f>
        <v>461.18333333333334</v>
      </c>
      <c r="P8" s="21">
        <f>P5</f>
        <v>762.66666666666674</v>
      </c>
    </row>
    <row r="9" spans="1:16">
      <c r="B9" s="19"/>
      <c r="C9" s="19"/>
      <c r="D9" s="261"/>
      <c r="E9" s="19"/>
      <c r="F9" s="19"/>
      <c r="G9" s="19"/>
      <c r="H9" s="19"/>
      <c r="I9" s="19"/>
      <c r="J9" s="19"/>
      <c r="K9" s="19"/>
      <c r="L9" s="19"/>
      <c r="M9" s="19"/>
      <c r="N9" s="19"/>
      <c r="O9" s="19"/>
      <c r="P9" s="19"/>
    </row>
    <row r="10" spans="1:16">
      <c r="A10" s="24" t="s">
        <v>213</v>
      </c>
      <c r="B10" s="25">
        <f ca="1">'EF ele_warmte'!B12</f>
        <v>0.20165596588439494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13957.03725866487</v>
      </c>
      <c r="C12" s="23">
        <f ca="1">C10*C8</f>
        <v>0</v>
      </c>
      <c r="D12" s="23">
        <f>D8*D10</f>
        <v>27692.051769297228</v>
      </c>
      <c r="E12" s="23">
        <f>E10*E8</f>
        <v>1799.4858854636241</v>
      </c>
      <c r="F12" s="23">
        <f>F10*F8</f>
        <v>17632.113812620322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5216</v>
      </c>
      <c r="C18" s="168" t="s">
        <v>110</v>
      </c>
      <c r="D18" s="230"/>
      <c r="E18" s="15"/>
    </row>
    <row r="19" spans="1:7">
      <c r="A19" s="173" t="s">
        <v>71</v>
      </c>
      <c r="B19" s="37">
        <f>aantalw2001_ander</f>
        <v>2</v>
      </c>
      <c r="C19" s="168" t="s">
        <v>110</v>
      </c>
      <c r="D19" s="231"/>
      <c r="E19" s="15"/>
    </row>
    <row r="20" spans="1:7">
      <c r="A20" s="173" t="s">
        <v>72</v>
      </c>
      <c r="B20" s="37">
        <f>aantalw2001_propaan</f>
        <v>157</v>
      </c>
      <c r="C20" s="169">
        <f>IF(ISERROR(B20/SUM($B$20,$B$21,$B$22)*100),0,B20/SUM($B$20,$B$21,$B$22)*100)</f>
        <v>9.2407298410829899</v>
      </c>
      <c r="D20" s="231"/>
      <c r="E20" s="15"/>
    </row>
    <row r="21" spans="1:7">
      <c r="A21" s="173" t="s">
        <v>73</v>
      </c>
      <c r="B21" s="37">
        <f>aantalw2001_elektriciteit</f>
        <v>1363</v>
      </c>
      <c r="C21" s="169">
        <f>IF(ISERROR(B21/SUM($B$20,$B$21,$B$22)*100),0,B21/SUM($B$20,$B$21,$B$22)*100)</f>
        <v>80.223660977045313</v>
      </c>
      <c r="D21" s="231"/>
      <c r="E21" s="15"/>
    </row>
    <row r="22" spans="1:7">
      <c r="A22" s="173" t="s">
        <v>74</v>
      </c>
      <c r="B22" s="37">
        <f>aantalw2001_hout</f>
        <v>179</v>
      </c>
      <c r="C22" s="169">
        <f>IF(ISERROR(B22/SUM($B$20,$B$21,$B$22)*100),0,B22/SUM($B$20,$B$21,$B$22)*100)</f>
        <v>10.53560918187169</v>
      </c>
      <c r="D22" s="231"/>
      <c r="E22" s="15"/>
    </row>
    <row r="23" spans="1:7">
      <c r="A23" s="173" t="s">
        <v>75</v>
      </c>
      <c r="B23" s="37">
        <f>aantalw2001_niet_gespec</f>
        <v>330</v>
      </c>
      <c r="C23" s="168" t="s">
        <v>110</v>
      </c>
      <c r="D23" s="230"/>
      <c r="E23" s="15"/>
    </row>
    <row r="24" spans="1:7">
      <c r="A24" s="173" t="s">
        <v>76</v>
      </c>
      <c r="B24" s="37">
        <f>aantalw2001_steenkool</f>
        <v>222</v>
      </c>
      <c r="C24" s="168" t="s">
        <v>110</v>
      </c>
      <c r="D24" s="231"/>
      <c r="E24" s="15"/>
    </row>
    <row r="25" spans="1:7">
      <c r="A25" s="173" t="s">
        <v>77</v>
      </c>
      <c r="B25" s="37">
        <f>aantalw2001_stookolie</f>
        <v>6001</v>
      </c>
      <c r="C25" s="168" t="s">
        <v>110</v>
      </c>
      <c r="D25" s="230"/>
      <c r="E25" s="52"/>
    </row>
    <row r="26" spans="1:7">
      <c r="A26" s="173" t="s">
        <v>78</v>
      </c>
      <c r="B26" s="37">
        <f>aantalw2001_WP</f>
        <v>20</v>
      </c>
      <c r="C26" s="168" t="s">
        <v>110</v>
      </c>
      <c r="D26" s="230"/>
      <c r="E26" s="15"/>
    </row>
    <row r="27" spans="1:7" s="15" customFormat="1">
      <c r="A27" s="173"/>
      <c r="B27" s="29"/>
      <c r="C27" s="36"/>
      <c r="D27" s="230"/>
    </row>
    <row r="28" spans="1:7" s="15" customFormat="1">
      <c r="A28" s="232" t="s">
        <v>742</v>
      </c>
      <c r="B28" s="37">
        <f>aantalHuishoudens</f>
        <v>15353</v>
      </c>
      <c r="C28" s="36"/>
      <c r="D28" s="230"/>
    </row>
    <row r="29" spans="1:7" s="15" customFormat="1">
      <c r="A29" s="232" t="s">
        <v>743</v>
      </c>
      <c r="B29" s="37">
        <f>SUM(HH_hh_gas_aantal,HH_rest_gas_aantal)</f>
        <v>8766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8766</v>
      </c>
      <c r="C32" s="169">
        <f>IF(ISERROR(B32/SUM($B$32,$B$34,$B$35,$B$36,$B$38,$B$39)*100),0,B32/SUM($B$32,$B$34,$B$35,$B$36,$B$38,$B$39)*100)</f>
        <v>57.245477698687388</v>
      </c>
      <c r="D32" s="235"/>
      <c r="G32" s="15"/>
    </row>
    <row r="33" spans="1:7">
      <c r="A33" s="173" t="s">
        <v>71</v>
      </c>
      <c r="B33" s="34" t="s">
        <v>110</v>
      </c>
      <c r="C33" s="169"/>
      <c r="D33" s="235"/>
      <c r="G33" s="15"/>
    </row>
    <row r="34" spans="1:7">
      <c r="A34" s="173" t="s">
        <v>72</v>
      </c>
      <c r="B34" s="33">
        <f>IF((($B$28-$B$32-$B$39-$B$77-$B$38)*C20/100)&lt;0,0,($B$28-$B$32-$B$39-$B$77-$B$38)*C20/100)</f>
        <v>345.69570335491466</v>
      </c>
      <c r="C34" s="169">
        <f>IF(ISERROR(B34/SUM($B$32,$B$34,$B$35,$B$36,$B$38,$B$39)*100),0,B34/SUM($B$32,$B$34,$B$35,$B$36,$B$38,$B$39)*100)</f>
        <v>2.2575308780442409</v>
      </c>
      <c r="D34" s="235"/>
      <c r="G34" s="15"/>
    </row>
    <row r="35" spans="1:7">
      <c r="A35" s="173" t="s">
        <v>73</v>
      </c>
      <c r="B35" s="33">
        <f>IF((($B$28-$B$32-$B$39-$B$77-$B$38)*C21/100)&lt;0,0,($B$28-$B$32-$B$39-$B$77-$B$38)*C21/100)</f>
        <v>3001.1671571512652</v>
      </c>
      <c r="C35" s="169">
        <f>IF(ISERROR(B35/SUM($B$32,$B$34,$B$35,$B$36,$B$38,$B$39)*100),0,B35/SUM($B$32,$B$34,$B$35,$B$36,$B$38,$B$39)*100)</f>
        <v>19.598819024040132</v>
      </c>
      <c r="D35" s="235"/>
      <c r="G35" s="15"/>
    </row>
    <row r="36" spans="1:7">
      <c r="A36" s="173" t="s">
        <v>74</v>
      </c>
      <c r="B36" s="33">
        <f>IF((($B$28-$B$32-$B$39-$B$77-$B$38)*C22/100)&lt;0,0,($B$28-$B$32-$B$39-$B$77-$B$38)*C22/100)</f>
        <v>394.13713949381992</v>
      </c>
      <c r="C36" s="169">
        <f>IF(ISERROR(B36/SUM($B$32,$B$34,$B$35,$B$36,$B$38,$B$39)*100),0,B36/SUM($B$32,$B$34,$B$35,$B$36,$B$38,$B$39)*100)</f>
        <v>2.5738727845217784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2806</v>
      </c>
      <c r="C39" s="169">
        <f>IF(ISERROR(B39/SUM($B$32,$B$34,$B$35,$B$36,$B$38,$B$39)*100),0,B39/SUM($B$32,$B$34,$B$35,$B$36,$B$38,$B$39)*100)</f>
        <v>18.324299614706458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8766</v>
      </c>
      <c r="C44" s="34" t="s">
        <v>110</v>
      </c>
      <c r="D44" s="176"/>
    </row>
    <row r="45" spans="1:7">
      <c r="A45" s="173" t="s">
        <v>71</v>
      </c>
      <c r="B45" s="33" t="str">
        <f t="shared" si="0"/>
        <v>-</v>
      </c>
      <c r="C45" s="34" t="s">
        <v>110</v>
      </c>
      <c r="D45" s="176"/>
    </row>
    <row r="46" spans="1:7">
      <c r="A46" s="173" t="s">
        <v>72</v>
      </c>
      <c r="B46" s="33">
        <f t="shared" si="0"/>
        <v>345.69570335491466</v>
      </c>
      <c r="C46" s="34" t="s">
        <v>110</v>
      </c>
      <c r="D46" s="176"/>
    </row>
    <row r="47" spans="1:7">
      <c r="A47" s="173" t="s">
        <v>73</v>
      </c>
      <c r="B47" s="33">
        <f t="shared" si="0"/>
        <v>3001.1671571512652</v>
      </c>
      <c r="C47" s="34" t="s">
        <v>110</v>
      </c>
      <c r="D47" s="176"/>
    </row>
    <row r="48" spans="1:7">
      <c r="A48" s="173" t="s">
        <v>74</v>
      </c>
      <c r="B48" s="33">
        <f t="shared" si="0"/>
        <v>394.13713949381992</v>
      </c>
      <c r="C48" s="33">
        <f>B48*10</f>
        <v>3941.371394938199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2806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295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73077.51824587927</v>
      </c>
      <c r="C5" s="17">
        <f>IF(ISERROR('Eigen informatie GS &amp; warmtenet'!B58),0,'Eigen informatie GS &amp; warmtenet'!B58)</f>
        <v>0</v>
      </c>
      <c r="D5" s="30">
        <f>SUM(D6:D12)</f>
        <v>119395.39231481442</v>
      </c>
      <c r="E5" s="17">
        <f>SUM(E6:E12)</f>
        <v>1018.9748211802388</v>
      </c>
      <c r="F5" s="17">
        <f>SUM(F6:F12)</f>
        <v>13917.330593105115</v>
      </c>
      <c r="G5" s="18"/>
      <c r="H5" s="17"/>
      <c r="I5" s="17"/>
      <c r="J5" s="17">
        <f>SUM(J6:J12)</f>
        <v>0</v>
      </c>
      <c r="K5" s="17"/>
      <c r="L5" s="17"/>
      <c r="M5" s="17"/>
      <c r="N5" s="17">
        <f>SUM(N6:N12)</f>
        <v>3728.6122112515091</v>
      </c>
      <c r="O5" s="17">
        <f>B38*B39*B40</f>
        <v>4.6900000000000004</v>
      </c>
      <c r="P5" s="17">
        <f>B46*B47*B48/1000-B46*B47*B48/1000/B49</f>
        <v>228.8</v>
      </c>
      <c r="R5" s="32"/>
    </row>
    <row r="6" spans="1:18">
      <c r="A6" s="32" t="s">
        <v>53</v>
      </c>
      <c r="B6" s="37">
        <f>B26</f>
        <v>15288.826940942301</v>
      </c>
      <c r="C6" s="33"/>
      <c r="D6" s="37">
        <f>IF(ISERROR(TER_kantoor_gas_kWh/1000),0,TER_kantoor_gas_kWh/1000)*0.902</f>
        <v>71322.594830920367</v>
      </c>
      <c r="E6" s="33">
        <f>$C$26*'E Balans VL '!I12/100/3.6*1000000</f>
        <v>59.400329498817825</v>
      </c>
      <c r="F6" s="33">
        <f>$C$26*('E Balans VL '!L12+'E Balans VL '!N12)/100/3.6*1000000</f>
        <v>2325.2914604835496</v>
      </c>
      <c r="G6" s="34"/>
      <c r="H6" s="33"/>
      <c r="I6" s="33"/>
      <c r="J6" s="33">
        <f>$C$26*('E Balans VL '!D12+'E Balans VL '!E12)/100/3.6*1000000</f>
        <v>0</v>
      </c>
      <c r="K6" s="33"/>
      <c r="L6" s="33"/>
      <c r="M6" s="33"/>
      <c r="N6" s="33">
        <f>$C$26*'E Balans VL '!Y12/100/3.6*1000000</f>
        <v>8.4259752008210977</v>
      </c>
      <c r="O6" s="33"/>
      <c r="P6" s="33"/>
      <c r="R6" s="32"/>
    </row>
    <row r="7" spans="1:18">
      <c r="A7" s="32" t="s">
        <v>52</v>
      </c>
      <c r="B7" s="37">
        <f t="shared" ref="B7:B12" si="0">B27</f>
        <v>6346.2301286340498</v>
      </c>
      <c r="C7" s="33"/>
      <c r="D7" s="37">
        <f>IF(ISERROR(TER_horeca_gas_kWh/1000),0,TER_horeca_gas_kWh/1000)*0.902</f>
        <v>8868.4408534310096</v>
      </c>
      <c r="E7" s="33">
        <f>$C$27*'E Balans VL '!I9/100/3.6*1000000</f>
        <v>357.48483984677881</v>
      </c>
      <c r="F7" s="33">
        <f>$C$27*('E Balans VL '!L9+'E Balans VL '!N9)/100/3.6*1000000</f>
        <v>1829.8728280563741</v>
      </c>
      <c r="G7" s="34"/>
      <c r="H7" s="33"/>
      <c r="I7" s="33"/>
      <c r="J7" s="33">
        <f>$C$27*('E Balans VL '!D9+'E Balans VL '!E9)/100/3.6*1000000</f>
        <v>0</v>
      </c>
      <c r="K7" s="33"/>
      <c r="L7" s="33"/>
      <c r="M7" s="33"/>
      <c r="N7" s="33">
        <f>$C$27*'E Balans VL '!Y9/100/3.6*1000000</f>
        <v>1.7521611604013032</v>
      </c>
      <c r="O7" s="33"/>
      <c r="P7" s="33"/>
      <c r="R7" s="32"/>
    </row>
    <row r="8" spans="1:18">
      <c r="A8" s="6" t="s">
        <v>51</v>
      </c>
      <c r="B8" s="37">
        <f t="shared" si="0"/>
        <v>29683.453433435101</v>
      </c>
      <c r="C8" s="33"/>
      <c r="D8" s="37">
        <f>IF(ISERROR(TER_handel_gas_kWh/1000),0,TER_handel_gas_kWh/1000)*0.902</f>
        <v>15649.658278492414</v>
      </c>
      <c r="E8" s="33">
        <f>$C$28*'E Balans VL '!I13/100/3.6*1000000</f>
        <v>427.83926991550811</v>
      </c>
      <c r="F8" s="33">
        <f>$C$28*('E Balans VL '!L13+'E Balans VL '!N13)/100/3.6*1000000</f>
        <v>5156.707142371295</v>
      </c>
      <c r="G8" s="34"/>
      <c r="H8" s="33"/>
      <c r="I8" s="33"/>
      <c r="J8" s="33">
        <f>$C$28*('E Balans VL '!D13+'E Balans VL '!E13)/100/3.6*1000000</f>
        <v>0</v>
      </c>
      <c r="K8" s="33"/>
      <c r="L8" s="33"/>
      <c r="M8" s="33"/>
      <c r="N8" s="33">
        <f>$C$28*'E Balans VL '!Y13/100/3.6*1000000</f>
        <v>88.934930916679562</v>
      </c>
      <c r="O8" s="33"/>
      <c r="P8" s="33"/>
      <c r="R8" s="32"/>
    </row>
    <row r="9" spans="1:18">
      <c r="A9" s="32" t="s">
        <v>50</v>
      </c>
      <c r="B9" s="37">
        <f t="shared" si="0"/>
        <v>4959.1909671409003</v>
      </c>
      <c r="C9" s="33"/>
      <c r="D9" s="37">
        <f>IF(ISERROR(TER_gezond_gas_kWh/1000),0,TER_gezond_gas_kWh/1000)*0.902</f>
        <v>1585.5452158337794</v>
      </c>
      <c r="E9" s="33">
        <f>$C$29*'E Balans VL '!I10/100/3.6*1000000</f>
        <v>5.297701328001259</v>
      </c>
      <c r="F9" s="33">
        <f>$C$29*('E Balans VL '!L10+'E Balans VL '!N10)/100/3.6*1000000</f>
        <v>808.99476220980625</v>
      </c>
      <c r="G9" s="34"/>
      <c r="H9" s="33"/>
      <c r="I9" s="33"/>
      <c r="J9" s="33">
        <f>$C$29*('E Balans VL '!D10+'E Balans VL '!E10)/100/3.6*1000000</f>
        <v>0</v>
      </c>
      <c r="K9" s="33"/>
      <c r="L9" s="33"/>
      <c r="M9" s="33"/>
      <c r="N9" s="33">
        <f>$C$29*'E Balans VL '!Y10/100/3.6*1000000</f>
        <v>51.052041348802256</v>
      </c>
      <c r="O9" s="33"/>
      <c r="P9" s="33"/>
      <c r="R9" s="32"/>
    </row>
    <row r="10" spans="1:18">
      <c r="A10" s="32" t="s">
        <v>49</v>
      </c>
      <c r="B10" s="37">
        <f t="shared" si="0"/>
        <v>3718.5630719672104</v>
      </c>
      <c r="C10" s="33"/>
      <c r="D10" s="37">
        <f>IF(ISERROR(TER_ander_gas_kWh/1000),0,TER_ander_gas_kWh/1000)*0.902</f>
        <v>3647.0708644378233</v>
      </c>
      <c r="E10" s="33">
        <f>$C$30*'E Balans VL '!I14/100/3.6*1000000</f>
        <v>17.10110593254478</v>
      </c>
      <c r="F10" s="33">
        <f>$C$30*('E Balans VL '!L14+'E Balans VL '!N14)/100/3.6*1000000</f>
        <v>1114.5706466900497</v>
      </c>
      <c r="G10" s="34"/>
      <c r="H10" s="33"/>
      <c r="I10" s="33"/>
      <c r="J10" s="33">
        <f>$C$30*('E Balans VL '!D14+'E Balans VL '!E14)/100/3.6*1000000</f>
        <v>0</v>
      </c>
      <c r="K10" s="33"/>
      <c r="L10" s="33"/>
      <c r="M10" s="33"/>
      <c r="N10" s="33">
        <f>$C$30*'E Balans VL '!Y14/100/3.6*1000000</f>
        <v>2588.3653632959645</v>
      </c>
      <c r="O10" s="33"/>
      <c r="P10" s="33"/>
      <c r="R10" s="32"/>
    </row>
    <row r="11" spans="1:18">
      <c r="A11" s="32" t="s">
        <v>54</v>
      </c>
      <c r="B11" s="37">
        <f t="shared" si="0"/>
        <v>608.60630113160994</v>
      </c>
      <c r="C11" s="33"/>
      <c r="D11" s="37">
        <f>IF(ISERROR(TER_onderwijs_gas_kWh/1000),0,TER_onderwijs_gas_kWh/1000)*0.902</f>
        <v>984.19274722312991</v>
      </c>
      <c r="E11" s="33">
        <f>$C$31*'E Balans VL '!I11/100/3.6*1000000</f>
        <v>0.56456238137064929</v>
      </c>
      <c r="F11" s="33">
        <f>$C$31*('E Balans VL '!L11+'E Balans VL '!N11)/100/3.6*1000000</f>
        <v>213.78940577737364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12472.647402628099</v>
      </c>
      <c r="C12" s="33"/>
      <c r="D12" s="37">
        <f>IF(ISERROR(TER_rest_gas_kWh/1000),0,TER_rest_gas_kWh/1000)*0.902</f>
        <v>17337.889524475919</v>
      </c>
      <c r="E12" s="33">
        <f>$C$32*'E Balans VL '!I8/100/3.6*1000000</f>
        <v>151.28701227721729</v>
      </c>
      <c r="F12" s="33">
        <f>$C$32*('E Balans VL '!L8+'E Balans VL '!N8)/100/3.6*1000000</f>
        <v>2468.1043475166662</v>
      </c>
      <c r="G12" s="34"/>
      <c r="H12" s="33"/>
      <c r="I12" s="33"/>
      <c r="J12" s="33">
        <f>$C$32*('E Balans VL '!D8+'E Balans VL '!E8)/100/3.6*1000000</f>
        <v>0</v>
      </c>
      <c r="K12" s="33"/>
      <c r="L12" s="33"/>
      <c r="M12" s="33"/>
      <c r="N12" s="33">
        <f>$C$32*'E Balans VL '!Y8/100/3.6*1000000</f>
        <v>990.08173932884017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73077.51824587927</v>
      </c>
      <c r="C16" s="21">
        <f t="shared" ca="1" si="1"/>
        <v>0</v>
      </c>
      <c r="D16" s="21">
        <f t="shared" ca="1" si="1"/>
        <v>119395.39231481442</v>
      </c>
      <c r="E16" s="21">
        <f t="shared" si="1"/>
        <v>1018.9748211802388</v>
      </c>
      <c r="F16" s="21">
        <f t="shared" ca="1" si="1"/>
        <v>13917.330593105115</v>
      </c>
      <c r="G16" s="21">
        <f t="shared" si="1"/>
        <v>0</v>
      </c>
      <c r="H16" s="21">
        <f t="shared" si="1"/>
        <v>0</v>
      </c>
      <c r="I16" s="21">
        <f t="shared" si="1"/>
        <v>0</v>
      </c>
      <c r="J16" s="21">
        <f t="shared" si="1"/>
        <v>0</v>
      </c>
      <c r="K16" s="21">
        <f t="shared" si="1"/>
        <v>0</v>
      </c>
      <c r="L16" s="21">
        <f t="shared" ca="1" si="1"/>
        <v>0</v>
      </c>
      <c r="M16" s="21">
        <f t="shared" si="1"/>
        <v>0</v>
      </c>
      <c r="N16" s="21">
        <f t="shared" ca="1" si="1"/>
        <v>3728.6122112515091</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0.20165596588439494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14736.517526307278</v>
      </c>
      <c r="C20" s="23">
        <f t="shared" ref="C20:P20" ca="1" si="2">C16*C18</f>
        <v>0</v>
      </c>
      <c r="D20" s="23">
        <f t="shared" ca="1" si="2"/>
        <v>24117.869247592516</v>
      </c>
      <c r="E20" s="23">
        <f t="shared" si="2"/>
        <v>231.30728440791421</v>
      </c>
      <c r="F20" s="23">
        <f t="shared" ca="1" si="2"/>
        <v>3715.9272683590657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15288.826940942301</v>
      </c>
      <c r="C26" s="39">
        <f>IF(ISERROR(B26*3.6/1000000/'E Balans VL '!Z12*100),0,B26*3.6/1000000/'E Balans VL '!Z12*100)</f>
        <v>0.32474225732599143</v>
      </c>
      <c r="D26" s="239" t="s">
        <v>689</v>
      </c>
      <c r="F26" s="6"/>
    </row>
    <row r="27" spans="1:18">
      <c r="A27" s="233" t="s">
        <v>52</v>
      </c>
      <c r="B27" s="33">
        <f>IF(ISERROR(TER_horeca_ele_kWh/1000),0,TER_horeca_ele_kWh/1000)</f>
        <v>6346.2301286340498</v>
      </c>
      <c r="C27" s="39">
        <f>IF(ISERROR(B27*3.6/1000000/'E Balans VL '!Z9*100),0,B27*3.6/1000000/'E Balans VL '!Z9*100)</f>
        <v>0.49345804153966383</v>
      </c>
      <c r="D27" s="239" t="s">
        <v>689</v>
      </c>
      <c r="F27" s="6"/>
    </row>
    <row r="28" spans="1:18">
      <c r="A28" s="173" t="s">
        <v>51</v>
      </c>
      <c r="B28" s="33">
        <f>IF(ISERROR(TER_handel_ele_kWh/1000),0,TER_handel_ele_kWh/1000)</f>
        <v>29683.453433435101</v>
      </c>
      <c r="C28" s="39">
        <f>IF(ISERROR(B28*3.6/1000000/'E Balans VL '!Z13*100),0,B28*3.6/1000000/'E Balans VL '!Z13*100)</f>
        <v>0.84927853666065101</v>
      </c>
      <c r="D28" s="239" t="s">
        <v>689</v>
      </c>
      <c r="F28" s="6"/>
    </row>
    <row r="29" spans="1:18">
      <c r="A29" s="233" t="s">
        <v>50</v>
      </c>
      <c r="B29" s="33">
        <f>IF(ISERROR(TER_gezond_ele_kWh/1000),0,TER_gezond_ele_kWh/1000)</f>
        <v>4959.1909671409003</v>
      </c>
      <c r="C29" s="39">
        <f>IF(ISERROR(B29*3.6/1000000/'E Balans VL '!Z10*100),0,B29*3.6/1000000/'E Balans VL '!Z10*100)</f>
        <v>0.54066705319575736</v>
      </c>
      <c r="D29" s="239" t="s">
        <v>689</v>
      </c>
      <c r="F29" s="6"/>
    </row>
    <row r="30" spans="1:18">
      <c r="A30" s="233" t="s">
        <v>49</v>
      </c>
      <c r="B30" s="33">
        <f>IF(ISERROR(TER_ander_ele_kWh/1000),0,TER_ander_ele_kWh/1000)</f>
        <v>3718.5630719672104</v>
      </c>
      <c r="C30" s="39">
        <f>IF(ISERROR(B30*3.6/1000000/'E Balans VL '!Z14*100),0,B30*3.6/1000000/'E Balans VL '!Z14*100)</f>
        <v>0.27211601024619569</v>
      </c>
      <c r="D30" s="239" t="s">
        <v>689</v>
      </c>
      <c r="F30" s="6"/>
    </row>
    <row r="31" spans="1:18">
      <c r="A31" s="233" t="s">
        <v>54</v>
      </c>
      <c r="B31" s="33">
        <f>IF(ISERROR(TER_onderwijs_ele_kWh/1000),0,TER_onderwijs_ele_kWh/1000)</f>
        <v>608.60630113160994</v>
      </c>
      <c r="C31" s="39">
        <f>IF(ISERROR(B31*3.6/1000000/'E Balans VL '!Z11*100),0,B31*3.6/1000000/'E Balans VL '!Z11*100)</f>
        <v>0.12223902752086092</v>
      </c>
      <c r="D31" s="239" t="s">
        <v>689</v>
      </c>
    </row>
    <row r="32" spans="1:18">
      <c r="A32" s="233" t="s">
        <v>259</v>
      </c>
      <c r="B32" s="33">
        <f>IF(ISERROR(TER_rest_ele_kWh/1000),0,TER_rest_ele_kWh/1000)</f>
        <v>12472.647402628099</v>
      </c>
      <c r="C32" s="39">
        <f>IF(ISERROR(B32*3.6/1000000/'E Balans VL '!Z8*100),0,B32*3.6/1000000/'E Balans VL '!Z8*100)</f>
        <v>0.1016445070662986</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254067.89718385367</v>
      </c>
      <c r="C5" s="17">
        <f>IF(ISERROR('Eigen informatie GS &amp; warmtenet'!B59),0,'Eigen informatie GS &amp; warmtenet'!B59)</f>
        <v>0</v>
      </c>
      <c r="D5" s="30">
        <f>SUM(D6:D15)</f>
        <v>201981.71935047337</v>
      </c>
      <c r="E5" s="17">
        <f>SUM(E6:E15)</f>
        <v>13153.768170422081</v>
      </c>
      <c r="F5" s="17">
        <f>SUM(F6:F15)</f>
        <v>52800.945224676558</v>
      </c>
      <c r="G5" s="18"/>
      <c r="H5" s="17"/>
      <c r="I5" s="17"/>
      <c r="J5" s="17">
        <f>SUM(J6:J15)</f>
        <v>394.82429302674876</v>
      </c>
      <c r="K5" s="17"/>
      <c r="L5" s="17"/>
      <c r="M5" s="17"/>
      <c r="N5" s="17">
        <f>SUM(N6:N15)</f>
        <v>9383.9449629451683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6869.4210104858994</v>
      </c>
      <c r="C8" s="33"/>
      <c r="D8" s="37">
        <f>IF( ISERROR(IND_metaal_Gas_kWH/1000),0,IND_metaal_Gas_kWH/1000)*0.902</f>
        <v>7875.4153603113173</v>
      </c>
      <c r="E8" s="33">
        <f>C30*'E Balans VL '!I18/100/3.6*1000000</f>
        <v>197.31555606440557</v>
      </c>
      <c r="F8" s="33">
        <f>C30*'E Balans VL '!L18/100/3.6*1000000+C30*'E Balans VL '!N18/100/3.6*1000000</f>
        <v>1761.8743712367611</v>
      </c>
      <c r="G8" s="34"/>
      <c r="H8" s="33"/>
      <c r="I8" s="33"/>
      <c r="J8" s="40">
        <f>C30*'E Balans VL '!D18/100/3.6*1000000+C30*'E Balans VL '!E18/100/3.6*1000000</f>
        <v>0</v>
      </c>
      <c r="K8" s="33"/>
      <c r="L8" s="33"/>
      <c r="M8" s="33"/>
      <c r="N8" s="33">
        <f>C30*'E Balans VL '!Y18/100/3.6*1000000</f>
        <v>186.51880290964692</v>
      </c>
      <c r="O8" s="33"/>
      <c r="P8" s="33"/>
      <c r="R8" s="32"/>
    </row>
    <row r="9" spans="1:18">
      <c r="A9" s="6" t="s">
        <v>32</v>
      </c>
      <c r="B9" s="37">
        <f t="shared" si="0"/>
        <v>16282.842361634699</v>
      </c>
      <c r="C9" s="33"/>
      <c r="D9" s="37">
        <f>IF( ISERROR(IND_andere_gas_kWh/1000),0,IND_andere_gas_kWh/1000)*0.902</f>
        <v>8821.3951476835209</v>
      </c>
      <c r="E9" s="33">
        <f>C31*'E Balans VL '!I19/100/3.6*1000000</f>
        <v>4407.3650803907958</v>
      </c>
      <c r="F9" s="33">
        <f>C31*'E Balans VL '!L19/100/3.6*1000000+C31*'E Balans VL '!N19/100/3.6*1000000</f>
        <v>10846.096097506155</v>
      </c>
      <c r="G9" s="34"/>
      <c r="H9" s="33"/>
      <c r="I9" s="33"/>
      <c r="J9" s="40">
        <f>C31*'E Balans VL '!D19/100/3.6*1000000+C31*'E Balans VL '!E19/100/3.6*1000000</f>
        <v>0</v>
      </c>
      <c r="K9" s="33"/>
      <c r="L9" s="33"/>
      <c r="M9" s="33"/>
      <c r="N9" s="33">
        <f>C31*'E Balans VL '!Y19/100/3.6*1000000</f>
        <v>1376.6064601626817</v>
      </c>
      <c r="O9" s="33"/>
      <c r="P9" s="33"/>
      <c r="R9" s="32"/>
    </row>
    <row r="10" spans="1:18">
      <c r="A10" s="6" t="s">
        <v>40</v>
      </c>
      <c r="B10" s="37">
        <f t="shared" si="0"/>
        <v>858.04447730757204</v>
      </c>
      <c r="C10" s="33"/>
      <c r="D10" s="37">
        <f>IF( ISERROR(IND_voed_gas_kWh/1000),0,IND_voed_gas_kWh/1000)*0.902</f>
        <v>903.96488671371776</v>
      </c>
      <c r="E10" s="33">
        <f>C32*'E Balans VL '!I20/100/3.6*1000000</f>
        <v>69.984078875096145</v>
      </c>
      <c r="F10" s="33">
        <f>C32*'E Balans VL '!L20/100/3.6*1000000+C32*'E Balans VL '!N20/100/3.6*1000000</f>
        <v>1279.4221642817677</v>
      </c>
      <c r="G10" s="34"/>
      <c r="H10" s="33"/>
      <c r="I10" s="33"/>
      <c r="J10" s="40">
        <f>C32*'E Balans VL '!D20/100/3.6*1000000+C32*'E Balans VL '!E20/100/3.6*1000000</f>
        <v>1.1350886908505114E-2</v>
      </c>
      <c r="K10" s="33"/>
      <c r="L10" s="33"/>
      <c r="M10" s="33"/>
      <c r="N10" s="33">
        <f>C32*'E Balans VL '!Y20/100/3.6*1000000</f>
        <v>252.06319030807808</v>
      </c>
      <c r="O10" s="33"/>
      <c r="P10" s="33"/>
      <c r="R10" s="32"/>
    </row>
    <row r="11" spans="1:18">
      <c r="A11" s="6" t="s">
        <v>39</v>
      </c>
      <c r="B11" s="37">
        <f t="shared" si="0"/>
        <v>75351.207942350899</v>
      </c>
      <c r="C11" s="33"/>
      <c r="D11" s="37">
        <f>IF( ISERROR(IND_textiel_gas_kWh/1000),0,IND_textiel_gas_kWh/1000)*0.902</f>
        <v>19073.303031833377</v>
      </c>
      <c r="E11" s="33">
        <f>C33*'E Balans VL '!I21/100/3.6*1000000</f>
        <v>14.936151078017524</v>
      </c>
      <c r="F11" s="33">
        <f>C33*'E Balans VL '!L21/100/3.6*1000000+C33*'E Balans VL '!N21/100/3.6*1000000</f>
        <v>2775.2759000393844</v>
      </c>
      <c r="G11" s="34"/>
      <c r="H11" s="33"/>
      <c r="I11" s="33"/>
      <c r="J11" s="40">
        <f>C33*'E Balans VL '!D21/100/3.6*1000000+C33*'E Balans VL '!E21/100/3.6*1000000</f>
        <v>0</v>
      </c>
      <c r="K11" s="33"/>
      <c r="L11" s="33"/>
      <c r="M11" s="33"/>
      <c r="N11" s="33">
        <f>C33*'E Balans VL '!Y21/100/3.6*1000000</f>
        <v>350.36409513385041</v>
      </c>
      <c r="O11" s="33"/>
      <c r="P11" s="33"/>
      <c r="R11" s="32"/>
    </row>
    <row r="12" spans="1:18">
      <c r="A12" s="6" t="s">
        <v>36</v>
      </c>
      <c r="B12" s="37">
        <f t="shared" si="0"/>
        <v>1293.9293456330699</v>
      </c>
      <c r="C12" s="33"/>
      <c r="D12" s="37">
        <f>IF( ISERROR(IND_min_gas_kWh/1000),0,IND_min_gas_kWh/1000)*0.902</f>
        <v>0</v>
      </c>
      <c r="E12" s="33">
        <f>C34*'E Balans VL '!I22/100/3.6*1000000</f>
        <v>10.079427667277928</v>
      </c>
      <c r="F12" s="33">
        <f>C34*'E Balans VL '!L22/100/3.6*1000000+C34*'E Balans VL '!N22/100/3.6*1000000</f>
        <v>487.99063478595713</v>
      </c>
      <c r="G12" s="34"/>
      <c r="H12" s="33"/>
      <c r="I12" s="33"/>
      <c r="J12" s="40">
        <f>C34*'E Balans VL '!D22/100/3.6*1000000+C34*'E Balans VL '!E22/100/3.6*1000000</f>
        <v>7.116498268951303</v>
      </c>
      <c r="K12" s="33"/>
      <c r="L12" s="33"/>
      <c r="M12" s="33"/>
      <c r="N12" s="33">
        <f>C34*'E Balans VL '!Y22/100/3.6*1000000</f>
        <v>0</v>
      </c>
      <c r="O12" s="33"/>
      <c r="P12" s="33"/>
      <c r="R12" s="32"/>
    </row>
    <row r="13" spans="1:18">
      <c r="A13" s="6" t="s">
        <v>38</v>
      </c>
      <c r="B13" s="37">
        <f t="shared" si="0"/>
        <v>912.14102609596705</v>
      </c>
      <c r="C13" s="33"/>
      <c r="D13" s="37">
        <f>IF( ISERROR(IND_papier_gas_kWh/1000),0,IND_papier_gas_kWh/1000)*0.902</f>
        <v>0</v>
      </c>
      <c r="E13" s="33">
        <f>C35*'E Balans VL '!I23/100/3.6*1000000</f>
        <v>9.5563389665082958</v>
      </c>
      <c r="F13" s="33">
        <f>C35*'E Balans VL '!L23/100/3.6*1000000+C35*'E Balans VL '!N23/100/3.6*1000000</f>
        <v>68.064125040659476</v>
      </c>
      <c r="G13" s="34"/>
      <c r="H13" s="33"/>
      <c r="I13" s="33"/>
      <c r="J13" s="40">
        <f>C35*'E Balans VL '!D23/100/3.6*1000000+C35*'E Balans VL '!E23/100/3.6*1000000</f>
        <v>0</v>
      </c>
      <c r="K13" s="33"/>
      <c r="L13" s="33"/>
      <c r="M13" s="33"/>
      <c r="N13" s="33">
        <f>C35*'E Balans VL '!Y23/100/3.6*1000000</f>
        <v>168.27029656228265</v>
      </c>
      <c r="O13" s="33"/>
      <c r="P13" s="33"/>
      <c r="R13" s="32"/>
    </row>
    <row r="14" spans="1:18">
      <c r="A14" s="6" t="s">
        <v>33</v>
      </c>
      <c r="B14" s="37">
        <f t="shared" si="0"/>
        <v>1237.36466268258</v>
      </c>
      <c r="C14" s="33"/>
      <c r="D14" s="37">
        <f>IF( ISERROR(IND_chemie_gas_kWh/1000),0,IND_chemie_gas_kWh/1000)*0.902</f>
        <v>0</v>
      </c>
      <c r="E14" s="33">
        <f>C36*'E Balans VL '!I24/100/3.6*1000000</f>
        <v>5.8493133311269752</v>
      </c>
      <c r="F14" s="33">
        <f>C36*'E Balans VL '!L24/100/3.6*1000000+C36*'E Balans VL '!N24/100/3.6*1000000</f>
        <v>23.385527955539818</v>
      </c>
      <c r="G14" s="34"/>
      <c r="H14" s="33"/>
      <c r="I14" s="33"/>
      <c r="J14" s="40">
        <f>C36*'E Balans VL '!D24/100/3.6*1000000+C36*'E Balans VL '!E24/100/3.6*1000000</f>
        <v>0</v>
      </c>
      <c r="K14" s="33"/>
      <c r="L14" s="33"/>
      <c r="M14" s="33"/>
      <c r="N14" s="33">
        <f>C36*'E Balans VL '!Y24/100/3.6*1000000</f>
        <v>30.039027966728003</v>
      </c>
      <c r="O14" s="33"/>
      <c r="P14" s="33"/>
      <c r="R14" s="32"/>
    </row>
    <row r="15" spans="1:18">
      <c r="A15" s="6" t="s">
        <v>269</v>
      </c>
      <c r="B15" s="37">
        <f t="shared" si="0"/>
        <v>151262.94635766299</v>
      </c>
      <c r="C15" s="33"/>
      <c r="D15" s="37">
        <f>IF( ISERROR(IND_rest_gas_kWh/1000),0,IND_rest_gas_kWh/1000)*0.902</f>
        <v>165307.64092393144</v>
      </c>
      <c r="E15" s="33">
        <f>C37*'E Balans VL '!I15/100/3.6*1000000</f>
        <v>8438.6822240488527</v>
      </c>
      <c r="F15" s="33">
        <f>C37*'E Balans VL '!L15/100/3.6*1000000+C37*'E Balans VL '!N15/100/3.6*1000000</f>
        <v>35558.836403830333</v>
      </c>
      <c r="G15" s="34"/>
      <c r="H15" s="33"/>
      <c r="I15" s="33"/>
      <c r="J15" s="40">
        <f>C37*'E Balans VL '!D15/100/3.6*1000000+C37*'E Balans VL '!E15/100/3.6*1000000</f>
        <v>387.69644387088897</v>
      </c>
      <c r="K15" s="33"/>
      <c r="L15" s="33"/>
      <c r="M15" s="33"/>
      <c r="N15" s="33">
        <f>C37*'E Balans VL '!Y15/100/3.6*1000000</f>
        <v>7020.0830899019002</v>
      </c>
      <c r="O15" s="33"/>
      <c r="P15" s="33"/>
      <c r="R15" s="32"/>
    </row>
    <row r="16" spans="1:18">
      <c r="A16" s="16" t="s">
        <v>496</v>
      </c>
      <c r="B16" s="249">
        <f>'lokale energieproductie'!N37+'lokale energieproductie'!N30</f>
        <v>3226.5</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-9218.5714285714294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257294.39718385367</v>
      </c>
      <c r="C18" s="21">
        <f>C5+C16</f>
        <v>0</v>
      </c>
      <c r="D18" s="21">
        <f>MAX((D5+D16),0)</f>
        <v>201981.71935047337</v>
      </c>
      <c r="E18" s="21">
        <f>MAX((E5+E16),0)</f>
        <v>13153.768170422081</v>
      </c>
      <c r="F18" s="21">
        <f>MAX((F5+F16),0)</f>
        <v>52800.945224676558</v>
      </c>
      <c r="G18" s="21"/>
      <c r="H18" s="21"/>
      <c r="I18" s="21"/>
      <c r="J18" s="21">
        <f>MAX((J5+J16),0)</f>
        <v>394.82429302674876</v>
      </c>
      <c r="K18" s="21"/>
      <c r="L18" s="21">
        <f>MAX((L5+L16),0)</f>
        <v>0</v>
      </c>
      <c r="M18" s="21"/>
      <c r="N18" s="21">
        <f>MAX((N5+N16),0)</f>
        <v>165.37353437373895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0.20165596588439494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51884.950180753156</v>
      </c>
      <c r="C22" s="23">
        <f ca="1">C18*C20</f>
        <v>0</v>
      </c>
      <c r="D22" s="23">
        <f>D18*D20</f>
        <v>40800.307308795622</v>
      </c>
      <c r="E22" s="23">
        <f>E18*E20</f>
        <v>2985.9053746858126</v>
      </c>
      <c r="F22" s="23">
        <f>F18*F20</f>
        <v>14097.852374988641</v>
      </c>
      <c r="G22" s="23"/>
      <c r="H22" s="23"/>
      <c r="I22" s="23"/>
      <c r="J22" s="23">
        <f>J18*J20</f>
        <v>139.76779973146907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6869.4210104858994</v>
      </c>
      <c r="C30" s="39">
        <f>IF(ISERROR(B30*3.6/1000000/'E Balans VL '!Z18*100),0,B30*3.6/1000000/'E Balans VL '!Z18*100)</f>
        <v>0.67593349166797101</v>
      </c>
      <c r="D30" s="239" t="s">
        <v>689</v>
      </c>
    </row>
    <row r="31" spans="1:18">
      <c r="A31" s="6" t="s">
        <v>32</v>
      </c>
      <c r="B31" s="37">
        <f>IF( ISERROR(IND_ander_ele_kWh/1000),0,IND_ander_ele_kWh/1000)</f>
        <v>16282.842361634699</v>
      </c>
      <c r="C31" s="39">
        <f>IF(ISERROR(B31*3.6/1000000/'E Balans VL '!Z19*100),0,B31*3.6/1000000/'E Balans VL '!Z19*100)</f>
        <v>0.70910479615378641</v>
      </c>
      <c r="D31" s="239" t="s">
        <v>689</v>
      </c>
    </row>
    <row r="32" spans="1:18">
      <c r="A32" s="173" t="s">
        <v>40</v>
      </c>
      <c r="B32" s="37">
        <f>IF( ISERROR(IND_voed_ele_kWh/1000),0,IND_voed_ele_kWh/1000)</f>
        <v>858.04447730757204</v>
      </c>
      <c r="C32" s="39">
        <f>IF(ISERROR(B32*3.6/1000000/'E Balans VL '!Z20*100),0,B32*3.6/1000000/'E Balans VL '!Z20*100)</f>
        <v>0.16280156522158087</v>
      </c>
      <c r="D32" s="239" t="s">
        <v>689</v>
      </c>
    </row>
    <row r="33" spans="1:5">
      <c r="A33" s="173" t="s">
        <v>39</v>
      </c>
      <c r="B33" s="37">
        <f>IF( ISERROR(IND_textiel_ele_kWh/1000),0,IND_textiel_ele_kWh/1000)</f>
        <v>75351.207942350899</v>
      </c>
      <c r="C33" s="39">
        <f>IF(ISERROR(B33*3.6/1000000/'E Balans VL '!Z21*100),0,B33*3.6/1000000/'E Balans VL '!Z21*100)</f>
        <v>4.3021718482906808</v>
      </c>
      <c r="D33" s="239" t="s">
        <v>689</v>
      </c>
    </row>
    <row r="34" spans="1:5">
      <c r="A34" s="173" t="s">
        <v>36</v>
      </c>
      <c r="B34" s="37">
        <f>IF( ISERROR(IND_min_ele_kWh/1000),0,IND_min_ele_kWh/1000)</f>
        <v>1293.9293456330699</v>
      </c>
      <c r="C34" s="39">
        <f>IF(ISERROR(B34*3.6/1000000/'E Balans VL '!Z22*100),0,B34*3.6/1000000/'E Balans VL '!Z22*100)</f>
        <v>0.18193945922950422</v>
      </c>
      <c r="D34" s="239" t="s">
        <v>689</v>
      </c>
    </row>
    <row r="35" spans="1:5">
      <c r="A35" s="173" t="s">
        <v>38</v>
      </c>
      <c r="B35" s="37">
        <f>IF( ISERROR(IND_papier_ele_kWh/1000),0,IND_papier_ele_kWh/1000)</f>
        <v>912.14102609596705</v>
      </c>
      <c r="C35" s="39">
        <f>IF(ISERROR(B35*3.6/1000000/'E Balans VL '!Z22*100),0,B35*3.6/1000000/'E Balans VL '!Z22*100)</f>
        <v>0.12825618770378081</v>
      </c>
      <c r="D35" s="239" t="s">
        <v>689</v>
      </c>
    </row>
    <row r="36" spans="1:5">
      <c r="A36" s="173" t="s">
        <v>33</v>
      </c>
      <c r="B36" s="37">
        <f>IF( ISERROR(IND_chemie_ele_kWh/1000),0,IND_chemie_ele_kWh/1000)</f>
        <v>1237.36466268258</v>
      </c>
      <c r="C36" s="39">
        <f>IF(ISERROR(B36*3.6/1000000/'E Balans VL '!Z24*100),0,B36*3.6/1000000/'E Balans VL '!Z24*100)</f>
        <v>3.6060462611917782E-2</v>
      </c>
      <c r="D36" s="239" t="s">
        <v>689</v>
      </c>
    </row>
    <row r="37" spans="1:5">
      <c r="A37" s="173" t="s">
        <v>269</v>
      </c>
      <c r="B37" s="37">
        <f>IF( ISERROR(IND_rest_ele_kWh/1000),0,IND_rest_ele_kWh/1000)</f>
        <v>151262.94635766299</v>
      </c>
      <c r="C37" s="39">
        <f>IF(ISERROR(B37*3.6/1000000/'E Balans VL '!Z15*100),0,B37*3.6/1000000/'E Balans VL '!Z15*100)</f>
        <v>1.1656667908803771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1618.8376508173042</v>
      </c>
      <c r="C5" s="17">
        <f>'Eigen informatie GS &amp; warmtenet'!B60</f>
        <v>0</v>
      </c>
      <c r="D5" s="30">
        <f>IF(ISERROR(SUM(LB_lb_gas_kWh,LB_rest_gas_kWh)/1000),0,SUM(LB_lb_gas_kWh,LB_rest_gas_kWh)/1000)*0.902</f>
        <v>1722.5918972010365</v>
      </c>
      <c r="E5" s="17">
        <f>B17*'E Balans VL '!I25/3.6*1000000/100</f>
        <v>20.399439887214687</v>
      </c>
      <c r="F5" s="17">
        <f>B17*('E Balans VL '!L25/3.6*1000000+'E Balans VL '!N25/3.6*1000000)/100</f>
        <v>5585.3954383834207</v>
      </c>
      <c r="G5" s="18"/>
      <c r="H5" s="17"/>
      <c r="I5" s="17"/>
      <c r="J5" s="17">
        <f>('E Balans VL '!D25+'E Balans VL '!E25)/3.6*1000000*landbouw!B17/100</f>
        <v>243.45478038598554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1618.8376508173042</v>
      </c>
      <c r="C8" s="21">
        <f>C5+C6</f>
        <v>0</v>
      </c>
      <c r="D8" s="21">
        <f>MAX((D5+D6),0)</f>
        <v>1722.5918972010365</v>
      </c>
      <c r="E8" s="21">
        <f>MAX((E5+E6),0)</f>
        <v>20.399439887214687</v>
      </c>
      <c r="F8" s="21">
        <f>MAX((F5+F6),0)</f>
        <v>5585.3954383834207</v>
      </c>
      <c r="G8" s="21"/>
      <c r="H8" s="21"/>
      <c r="I8" s="21"/>
      <c r="J8" s="21">
        <f>MAX((J5+J6),0)</f>
        <v>243.45478038598554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0.20165596588439494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326.44827008558832</v>
      </c>
      <c r="C12" s="23">
        <f ca="1">C8*C10</f>
        <v>0</v>
      </c>
      <c r="D12" s="23">
        <f>D8*D10</f>
        <v>347.96356323460941</v>
      </c>
      <c r="E12" s="23">
        <f>E8*E10</f>
        <v>4.6306728543977345</v>
      </c>
      <c r="F12" s="23">
        <f>F8*F10</f>
        <v>1491.3005820483734</v>
      </c>
      <c r="G12" s="23"/>
      <c r="H12" s="23"/>
      <c r="I12" s="23"/>
      <c r="J12" s="23">
        <f>J8*J10</f>
        <v>86.182992256638883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0.22577682948794497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230.0316146637345</v>
      </c>
      <c r="C26" s="249">
        <f>B26*'GWP N2O_CH4'!B5</f>
        <v>4830.6639079384249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67.292289018993372</v>
      </c>
      <c r="C27" s="249">
        <f>B27*'GWP N2O_CH4'!B5</f>
        <v>1413.1380693988608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3.0720051080906243</v>
      </c>
      <c r="C28" s="249">
        <f>B28*'GWP N2O_CH4'!B4</f>
        <v>952.32158350809357</v>
      </c>
      <c r="D28" s="50"/>
    </row>
    <row r="29" spans="1:4">
      <c r="A29" s="41" t="s">
        <v>276</v>
      </c>
      <c r="B29" s="249">
        <f>B34*'ha_N2O bodem landbouw'!B4</f>
        <v>9.7509937428456848</v>
      </c>
      <c r="C29" s="249">
        <f>B29*'GWP N2O_CH4'!B4</f>
        <v>3022.8080602821624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2.4347257029396674E-3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4.5079993847563098E-5</v>
      </c>
      <c r="C5" s="444" t="s">
        <v>210</v>
      </c>
      <c r="D5" s="429">
        <f>SUM(D6:D11)</f>
        <v>7.2011710205729471E-5</v>
      </c>
      <c r="E5" s="429">
        <f>SUM(E6:E11)</f>
        <v>2.9039109241272608E-3</v>
      </c>
      <c r="F5" s="442" t="s">
        <v>210</v>
      </c>
      <c r="G5" s="429">
        <f>SUM(G6:G11)</f>
        <v>1.0638462943770826</v>
      </c>
      <c r="H5" s="429">
        <f>SUM(H6:H11)</f>
        <v>0.13514207141634044</v>
      </c>
      <c r="I5" s="444" t="s">
        <v>210</v>
      </c>
      <c r="J5" s="444" t="s">
        <v>210</v>
      </c>
      <c r="K5" s="444" t="s">
        <v>210</v>
      </c>
      <c r="L5" s="444" t="s">
        <v>210</v>
      </c>
      <c r="M5" s="429">
        <f>SUM(M6:M11)</f>
        <v>5.4193999323802922E-2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1.3394369246247899E-5</v>
      </c>
      <c r="C6" s="883"/>
      <c r="D6" s="883">
        <f>vkm_GW_PW*SUMIFS(TableVerdeelsleutelVkm[CNG],TableVerdeelsleutelVkm[Voertuigtype],"Lichte voertuigen")*SUMIFS(TableECFTransport[EnergieConsumptieFactor (PJ per km)],TableECFTransport[Index],CONCATENATE($A6,"_CNG_CNG"))</f>
        <v>1.9850056263294592E-5</v>
      </c>
      <c r="E6" s="883">
        <f>vkm_GW_PW*SUMIFS(TableVerdeelsleutelVkm[LPG],TableVerdeelsleutelVkm[Voertuigtype],"Lichte voertuigen")*SUMIFS(TableECFTransport[EnergieConsumptieFactor (PJ per km)],TableECFTransport[Index],CONCATENATE($A6,"_LPG_LPG"))</f>
        <v>7.1095648249237657E-4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0.14308213085631191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3.6552375465312863E-2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8.1265658001724358E-3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8.9566381659574368E-2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2.0810162341972467E-6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4.0440619334749742E-3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5.1078447192784E-6</v>
      </c>
      <c r="C8" s="883"/>
      <c r="D8" s="432">
        <f>vkm_NGW_PW*SUMIFS(TableVerdeelsleutelVkm[CNG],TableVerdeelsleutelVkm[Voertuigtype],"Lichte voertuigen")*SUMIFS(TableECFTransport[EnergieConsumptieFactor (PJ per km)],TableECFTransport[Index],CONCATENATE($A8,"_CNG_CNG"))</f>
        <v>1.2845926607974084E-5</v>
      </c>
      <c r="E8" s="432">
        <f>vkm_NGW_PW*SUMIFS(TableVerdeelsleutelVkm[LPG],TableVerdeelsleutelVkm[Voertuigtype],"Lichte voertuigen")*SUMIFS(TableECFTransport[EnergieConsumptieFactor (PJ per km)],TableECFTransport[Index],CONCATENATE($A8,"_LPG_LPG"))</f>
        <v>4.3504815390302091E-4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8.316992405036365E-2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2.2730167431680433E-2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4.7913780358417087E-3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2.41762301538016E-2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6.5108325178152344E-7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1.0915986013237263E-3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2.6577779882036798E-5</v>
      </c>
      <c r="C10" s="883"/>
      <c r="D10" s="432">
        <f>vkm_SW_PW*SUMIFS(TableVerdeelsleutelVkm[CNG],TableVerdeelsleutelVkm[Voertuigtype],"Lichte voertuigen")*SUMIFS(TableECFTransport[EnergieConsumptieFactor (PJ per km)],TableECFTransport[Index],CONCATENATE($A10,"_CNG_CNG"))</f>
        <v>3.9315727334460792E-5</v>
      </c>
      <c r="E10" s="432">
        <f>vkm_SW_PW*SUMIFS(TableVerdeelsleutelVkm[LPG],TableVerdeelsleutelVkm[Voertuigtype],"Lichte voertuigen")*SUMIFS(TableECFTransport[EnergieConsumptieFactor (PJ per km)],TableECFTransport[Index],CONCATENATE($A10,"_LPG_LPG"))</f>
        <v>1.7579062877318633E-3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0.32071639452555822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7.5846805311345328E-2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1.7938181464487491E-2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0.40313523313147293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9.9911085158439629E-6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1.820221348850258E-2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12.522220513211971</v>
      </c>
      <c r="C14" s="21"/>
      <c r="D14" s="21">
        <f t="shared" ref="D14:M14" si="0">((D5)*10^9/3600)+D12</f>
        <v>20.003252834924851</v>
      </c>
      <c r="E14" s="21">
        <f t="shared" si="0"/>
        <v>806.64192336868348</v>
      </c>
      <c r="F14" s="21"/>
      <c r="G14" s="21">
        <f t="shared" si="0"/>
        <v>295512.85954918963</v>
      </c>
      <c r="H14" s="21">
        <f t="shared" si="0"/>
        <v>37539.464282316789</v>
      </c>
      <c r="I14" s="21"/>
      <c r="J14" s="21"/>
      <c r="K14" s="21"/>
      <c r="L14" s="21"/>
      <c r="M14" s="21">
        <f t="shared" si="0"/>
        <v>15053.888701056367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0.20165596588439494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2.525180472609144</v>
      </c>
      <c r="C18" s="23"/>
      <c r="D18" s="23">
        <f t="shared" ref="D18:M18" si="1">D14*D16</f>
        <v>4.0406570726548203</v>
      </c>
      <c r="E18" s="23">
        <f t="shared" si="1"/>
        <v>183.10771660469115</v>
      </c>
      <c r="F18" s="23"/>
      <c r="G18" s="23">
        <f t="shared" si="1"/>
        <v>78901.93349963364</v>
      </c>
      <c r="H18" s="23">
        <f t="shared" si="1"/>
        <v>9347.3266062968796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7.0586939375837056E-3</v>
      </c>
      <c r="H50" s="321">
        <f t="shared" si="2"/>
        <v>0</v>
      </c>
      <c r="I50" s="321">
        <f t="shared" si="2"/>
        <v>0</v>
      </c>
      <c r="J50" s="321">
        <f t="shared" si="2"/>
        <v>0</v>
      </c>
      <c r="K50" s="321">
        <f t="shared" si="2"/>
        <v>0</v>
      </c>
      <c r="L50" s="321">
        <f t="shared" si="2"/>
        <v>0</v>
      </c>
      <c r="M50" s="321">
        <f t="shared" si="2"/>
        <v>3.1418830676417474E-4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7.0586939375837056E-3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3.1418830676417474E-4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1960.7483159954738</v>
      </c>
      <c r="H54" s="21">
        <f t="shared" si="3"/>
        <v>0</v>
      </c>
      <c r="I54" s="21">
        <f t="shared" si="3"/>
        <v>0</v>
      </c>
      <c r="J54" s="21">
        <f t="shared" si="3"/>
        <v>0</v>
      </c>
      <c r="K54" s="21">
        <f t="shared" si="3"/>
        <v>0</v>
      </c>
      <c r="L54" s="21">
        <f t="shared" si="3"/>
        <v>0</v>
      </c>
      <c r="M54" s="21">
        <f t="shared" si="3"/>
        <v>87.274529656715202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0.20165596588439494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523.51980037079159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32357.548007092286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3226.5</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35584.048007092286</v>
      </c>
      <c r="C10" s="569">
        <f t="shared" ref="C10:L10" si="0">SUM(C8:C9)</f>
        <v>0</v>
      </c>
      <c r="D10" s="569">
        <f t="shared" si="0"/>
        <v>0</v>
      </c>
      <c r="E10" s="569">
        <f t="shared" si="0"/>
        <v>0</v>
      </c>
      <c r="F10" s="569">
        <f t="shared" si="0"/>
        <v>0</v>
      </c>
      <c r="G10" s="569">
        <f t="shared" si="0"/>
        <v>0</v>
      </c>
      <c r="H10" s="569">
        <f t="shared" si="0"/>
        <v>0</v>
      </c>
      <c r="I10" s="569">
        <f t="shared" si="0"/>
        <v>0</v>
      </c>
      <c r="J10" s="569">
        <f t="shared" si="0"/>
        <v>9218.5714285714294</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25.5">
      <c r="A35" s="594"/>
      <c r="B35" s="787">
        <v>34040</v>
      </c>
      <c r="C35" s="787">
        <v>8793</v>
      </c>
      <c r="D35" s="642" t="s">
        <v>920</v>
      </c>
      <c r="E35" s="642" t="s">
        <v>921</v>
      </c>
      <c r="F35" s="642" t="s">
        <v>922</v>
      </c>
      <c r="G35" s="642" t="s">
        <v>923</v>
      </c>
      <c r="H35" s="642" t="s">
        <v>924</v>
      </c>
      <c r="I35" s="642" t="s">
        <v>925</v>
      </c>
      <c r="J35" s="786">
        <v>38308</v>
      </c>
      <c r="K35" s="786">
        <v>38412</v>
      </c>
      <c r="L35" s="642" t="s">
        <v>926</v>
      </c>
      <c r="M35" s="642">
        <v>717</v>
      </c>
      <c r="N35" s="642">
        <v>3226.5</v>
      </c>
      <c r="O35" s="642">
        <v>0</v>
      </c>
      <c r="P35" s="642">
        <v>0</v>
      </c>
      <c r="Q35" s="642">
        <v>9218.5714285714294</v>
      </c>
      <c r="R35" s="642">
        <v>0</v>
      </c>
      <c r="S35" s="642">
        <v>0</v>
      </c>
      <c r="T35" s="642">
        <v>0</v>
      </c>
      <c r="U35" s="642">
        <v>0</v>
      </c>
      <c r="V35" s="642">
        <v>0</v>
      </c>
      <c r="W35" s="642">
        <v>0</v>
      </c>
      <c r="X35" s="642">
        <v>500</v>
      </c>
      <c r="Y35" s="642" t="s">
        <v>40</v>
      </c>
      <c r="Z35" s="643" t="s">
        <v>389</v>
      </c>
    </row>
    <row r="36" spans="1:27" s="576" customFormat="1">
      <c r="A36" s="595" t="s">
        <v>279</v>
      </c>
      <c r="B36" s="596"/>
      <c r="C36" s="596"/>
      <c r="D36" s="596"/>
      <c r="E36" s="596"/>
      <c r="F36" s="596"/>
      <c r="G36" s="596"/>
      <c r="H36" s="596"/>
      <c r="I36" s="596"/>
      <c r="J36" s="596"/>
      <c r="K36" s="596"/>
      <c r="L36" s="597"/>
      <c r="M36" s="597">
        <f>SUM(M35:M35)</f>
        <v>717</v>
      </c>
      <c r="N36" s="597">
        <f>SUM(N35:N35)</f>
        <v>3226.5</v>
      </c>
      <c r="O36" s="597">
        <f>SUM(O35:O35)</f>
        <v>0</v>
      </c>
      <c r="P36" s="597">
        <f>SUM(P35:P35)</f>
        <v>0</v>
      </c>
      <c r="Q36" s="597">
        <f>SUM(Q35:Q35)</f>
        <v>9218.5714285714294</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717</v>
      </c>
      <c r="N37" s="597">
        <f>SUMIF($Z$35:$Z$35,"industrie",N35:N35)</f>
        <v>3226.5</v>
      </c>
      <c r="O37" s="597">
        <f>SUMIF($Z$35:$Z$35,"industrie",O35:O35)</f>
        <v>0</v>
      </c>
      <c r="P37" s="597">
        <f>SUMIF($Z$35:$Z$35,"industrie",P35:P35)</f>
        <v>0</v>
      </c>
      <c r="Q37" s="597">
        <f>SUMIF($Z$35:$Z$35,"industrie",Q35:Q35)</f>
        <v>9218.5714285714294</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2020-06-20T16:19:09Z</dcterms:modified>
</cp:coreProperties>
</file>