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E48" i="18" s="1"/>
  <c r="E8" i="18" s="1"/>
  <c r="E10" i="18" s="1"/>
  <c r="F20" i="18"/>
  <c r="O18" i="18"/>
  <c r="H20" i="18"/>
  <c r="G20" i="18"/>
  <c r="K20" i="18"/>
  <c r="B10" i="18"/>
  <c r="O19" i="18"/>
  <c r="O9" i="18"/>
  <c r="D49" i="18"/>
  <c r="H49" i="18"/>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P4" i="48"/>
  <c r="P22" i="48" s="1"/>
  <c r="Q11" i="14"/>
  <c r="O4" i="48"/>
  <c r="O22" i="48" s="1"/>
  <c r="P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E20" i="15" l="1"/>
  <c r="F40" i="14" s="1"/>
  <c r="F10" i="14"/>
  <c r="E5" i="48"/>
  <c r="J5" i="48"/>
  <c r="J23" i="48" s="1"/>
  <c r="K10" i="14"/>
  <c r="J20" i="15"/>
  <c r="K40" i="14"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E22" i="16" s="1"/>
  <c r="F43" i="14" s="1"/>
  <c r="F46" i="14" s="1"/>
  <c r="F61"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15" i="48"/>
  <c r="R10" i="14"/>
  <c r="J15" i="48"/>
  <c r="F13" i="14"/>
  <c r="F16" i="14" s="1"/>
  <c r="F27" i="14" s="1"/>
  <c r="F63" i="14" s="1"/>
  <c r="E8" i="48"/>
  <c r="E26" i="48" s="1"/>
  <c r="Q5" i="48"/>
  <c r="J22" i="16"/>
  <c r="K43" i="14" s="1"/>
  <c r="K46" i="14" s="1"/>
  <c r="K61" i="14" s="1"/>
  <c r="K63" i="14" s="1"/>
  <c r="K13" i="14"/>
  <c r="K16" i="14" s="1"/>
  <c r="K27" i="14" s="1"/>
  <c r="J8" i="48"/>
  <c r="J26" i="48" s="1"/>
  <c r="J33"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G16" i="14" l="1"/>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<sst xmlns="http://schemas.openxmlformats.org/spreadsheetml/2006/main" count="2456" uniqueCount="926">
  <si>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</si>
  <si>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</si>
  <si>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</si>
  <si>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</si>
  <si>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</si>
  <si>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</si>
  <si>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</si>
  <si>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</si>
  <si>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</si>
  <si>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</si>
  <si>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</si>
  <si>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</si>
  <si>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</si>
  <si>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</si>
  <si>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</si>
  <si>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</si>
  <si>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</si>
  <si>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</si>
  <si>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</si>
  <si>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</si>
  <si>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</si>
  <si>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</si>
  <si>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</si>
  <si>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</si>
  <si>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</si>
  <si>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</si>
  <si>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</si>
  <si>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</si>
  <si>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</si>
  <si>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</si>
  <si>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</si>
  <si>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</si>
  <si>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</si>
  <si>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</si>
  <si>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</si>
  <si>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</si>
  <si>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</si>
  <si>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</si>
  <si>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</si>
  <si>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</si>
  <si>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</si>
  <si>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</si>
  <si>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</si>
  <si>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</si>
  <si>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</si>
  <si>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</si>
  <si>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</si>
  <si>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</si>
  <si>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</si>
  <si>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</si>
  <si>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</si>
  <si>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</si>
  <si>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</si>
  <si>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</si>
  <si>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</si>
  <si>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</si>
  <si>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</si>
  <si>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</si>
  <si>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</si>
  <si>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</si>
  <si>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</si>
  <si>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</si>
  <si>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</si>
  <si>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</si>
  <si>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</si>
  <si>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</si>
  <si>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</si>
  <si>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</si>
  <si>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</si>
  <si>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</si>
  <si>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</si>
  <si>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</si>
  <si>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</si>
  <si>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</si>
  <si>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</si>
  <si>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</si>
  <si>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</si>
  <si>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</si>
  <si>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</si>
  <si>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</si>
  <si>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</si>
  <si>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</si>
  <si>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</si>
  <si>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</si>
  <si>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</si>
  <si>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</si>
  <si>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</si>
  <si>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</si>
  <si>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</si>
  <si>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</si>
  <si>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</si>
  <si>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</si>
  <si>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</si>
  <si>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</si>
  <si>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</si>
  <si>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</si>
  <si>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</si>
  <si>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</si>
  <si>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</si>
  <si>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</si>
  <si>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</si>
  <si>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</si>
  <si>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</si>
  <si>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</si>
  <si>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</si>
  <si>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</si>
  <si>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</si>
  <si>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</si>
  <si>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</si>
  <si>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</si>
  <si>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</si>
  <si>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</si>
  <si>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</si>
  <si>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</si>
  <si>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</si>
  <si>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</si>
  <si>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</si>
  <si>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</si>
  <si>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</si>
  <si>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</si>
  <si>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</si>
  <si>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</si>
  <si>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</si>
  <si>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</si>
  <si>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</si>
  <si>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</si>
  <si>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</si>
  <si>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</si>
  <si>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</si>
  <si>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</si>
  <si>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</si>
  <si>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</si>
  <si>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</si>
  <si>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</si>
  <si>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</si>
  <si>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</si>
  <si>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</si>
  <si>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</si>
  <si>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</si>
  <si>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</si>
  <si>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</si>
  <si>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</si>
  <si>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</si>
  <si>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</si>
  <si>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</si>
  <si>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</si>
  <si>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</si>
  <si>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</si>
  <si>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</si>
  <si>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</si>
  <si>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</si>
  <si>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</si>
  <si>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</si>
  <si>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</si>
  <si>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</si>
  <si>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</si>
  <si>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</si>
  <si>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</si>
  <si>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</si>
  <si>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</si>
  <si>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</si>
  <si>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</si>
  <si>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</si>
  <si>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</si>
  <si>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</si>
  <si>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</si>
  <si>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</si>
  <si>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</si>
  <si>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</si>
  <si>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</si>
  <si>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</si>
  <si>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</si>
  <si>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</si>
  <si>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</si>
  <si>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</si>
  <si>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</si>
  <si>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</si>
  <si>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</si>
  <si>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</si>
  <si>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</si>
  <si>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</si>
  <si>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</si>
  <si>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</si>
  <si>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</si>
  <si>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</si>
  <si>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</si>
  <si>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</si>
  <si>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</si>
  <si>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</si>
  <si>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</si>
  <si>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</si>
  <si>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</si>
  <si>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</si>
  <si>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</si>
  <si>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</si>
  <si>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</si>
  <si>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</si>
  <si>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</si>
  <si>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</si>
  <si>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</si>
  <si>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</si>
  <si>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</si>
  <si>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</si>
  <si>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</si>
  <si>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</si>
  <si>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</si>
  <si>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</si>
  <si>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</si>
  <si>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</si>
  <si>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</si>
  <si>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</si>
  <si>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</si>
  <si>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</si>
  <si>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</si>
  <si>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</si>
  <si>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</si>
  <si>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</si>
  <si>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</si>
  <si>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</si>
  <si>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</si>
  <si>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</si>
  <si>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</si>
  <si>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</si>
  <si>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</si>
  <si>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</si>
  <si>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</si>
  <si>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</si>
  <si>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</si>
  <si>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</si>
  <si>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</si>
  <si>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</si>
  <si>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</si>
  <si>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</si>
  <si>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</si>
  <si>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</si>
  <si>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</si>
  <si>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</si>
  <si>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</si>
  <si>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</si>
  <si>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</si>
  <si>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</si>
  <si>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</si>
  <si>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</si>
  <si>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</si>
  <si>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</si>
  <si>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</si>
  <si>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</si>
  <si>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</si>
  <si>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</si>
  <si>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</si>
  <si>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</si>
  <si>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</si>
  <si>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</si>
  <si>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</si>
  <si>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</si>
  <si>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</si>
  <si>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</si>
  <si>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</si>
  <si>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</si>
  <si>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</si>
  <si>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</si>
  <si>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</si>
  <si>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</si>
  <si>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</si>
  <si>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</si>
  <si>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</si>
  <si>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</si>
  <si>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</si>
  <si>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</si>
  <si>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</si>
  <si>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</si>
  <si>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</si>
  <si>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</si>
  <si>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</si>
  <si>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</si>
  <si>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</si>
  <si>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</si>
  <si>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</si>
  <si>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</si>
  <si>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</si>
  <si>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</si>
  <si>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</si>
  <si>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</si>
  <si>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</si>
  <si>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</si>
  <si>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</si>
  <si>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</si>
  <si>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</si>
  <si>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</si>
  <si>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</si>
  <si>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</si>
  <si>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</si>
  <si>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</si>
  <si>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</si>
  <si>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</si>
  <si>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</si>
  <si>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</si>
  <si>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</si>
  <si>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</si>
  <si>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</si>
  <si>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</si>
  <si>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</si>
  <si>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</si>
  <si>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</si>
  <si>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</si>
  <si>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</si>
  <si>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</si>
  <si>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</si>
  <si>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</si>
  <si>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</si>
  <si>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</si>
  <si>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</si>
  <si>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</si>
  <si>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</si>
  <si>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</si>
  <si>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</si>
  <si>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</si>
  <si>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</si>
  <si>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</si>
  <si>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</si>
  <si>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</si>
  <si>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</si>
  <si>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</si>
  <si>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</si>
  <si>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</si>
  <si>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</si>
  <si>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</si>
  <si>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</si>
  <si>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</si>
  <si>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</si>
  <si>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</si>
  <si>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</si>
  <si>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</si>
  <si>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</si>
  <si>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</si>
  <si>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</si>
  <si>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</si>
  <si>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</si>
  <si>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</si>
  <si>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</si>
  <si>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</si>
  <si>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</si>
  <si>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</si>
  <si>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</si>
  <si>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</si>
  <si>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</si>
  <si>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</si>
  <si>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</si>
  <si>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</si>
  <si>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</si>
  <si>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</si>
  <si>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</si>
  <si>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</si>
  <si>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</si>
  <si>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</si>
  <si>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</si>
  <si>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</si>
  <si>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</si>
  <si>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</si>
  <si>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</si>
  <si>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</si>
  <si>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</si>
  <si>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</si>
  <si>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</si>
  <si>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</si>
  <si>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</si>
  <si>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</si>
  <si>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</si>
  <si>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</si>
  <si>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</si>
  <si>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</si>
  <si>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</si>
  <si>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</si>
  <si>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</si>
  <si>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</si>
  <si>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</si>
  <si>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</si>
  <si>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</si>
  <si>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</si>
  <si>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</si>
  <si>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</si>
  <si>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</si>
  <si>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</si>
  <si>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</si>
  <si>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</si>
  <si>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</si>
  <si>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</si>
  <si>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</si>
  <si>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</si>
  <si>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</si>
  <si>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</si>
  <si>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</si>
  <si>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</si>
  <si>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</si>
  <si>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</si>
  <si>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</si>
  <si>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</si>
  <si>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</si>
  <si>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</si>
  <si>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</si>
  <si>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</si>
  <si>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</si>
  <si>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</si>
  <si>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</si>
  <si>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</si>
  <si>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</si>
  <si>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</si>
  <si>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</si>
  <si>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</si>
  <si>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</si>
  <si>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</si>
  <si>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</si>
  <si>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</si>
  <si>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</si>
  <si>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</si>
  <si>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</si>
  <si>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</si>
  <si>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</si>
  <si>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</si>
  <si>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</si>
  <si>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</si>
  <si>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</si>
  <si>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</si>
  <si>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</si>
  <si>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</si>
  <si>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</si>
  <si>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</si>
  <si>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</si>
  <si>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</si>
  <si>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</si>
  <si>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</si>
  <si>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</si>
  <si>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</si>
  <si>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</si>
  <si>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</si>
  <si>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</si>
  <si>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</si>
  <si>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</si>
  <si>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</si>
  <si>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</si>
  <si>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</si>
  <si>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</si>
  <si>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</si>
  <si>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</si>
  <si>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</si>
  <si>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</si>
  <si>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</si>
  <si>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</si>
  <si>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</si>
  <si>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</si>
  <si>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</si>
  <si>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</si>
  <si>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</si>
  <si>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</si>
  <si>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</si>
  <si>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</si>
  <si>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</si>
  <si>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</si>
  <si>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</si>
  <si>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</si>
  <si>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</si>
  <si>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</si>
  <si>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</si>
  <si>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</si>
  <si>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</si>
  <si>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</si>
  <si>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</si>
  <si>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</si>
  <si>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</si>
  <si>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</si>
  <si>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</si>
  <si>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</si>
  <si>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</si>
  <si>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</si>
  <si>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</si>
  <si>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</si>
  <si>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</si>
  <si>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</si>
  <si>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</si>
  <si>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</si>
  <si>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</si>
  <si>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</si>
  <si>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</si>
  <si>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</si>
  <si>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</si>
  <si>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</si>
  <si>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</si>
  <si>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</si>
  <si>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</si>
  <si>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</si>
  <si>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</si>
  <si>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</si>
  <si>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</si>
  <si>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</si>
  <si>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</si>
  <si>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</si>
  <si>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</si>
  <si>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</si>
  <si>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</si>
  <si>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</si>
  <si>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</si>
  <si>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</si>
  <si>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</si>
  <si>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</si>
  <si>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</si>
  <si>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</si>
  <si>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</si>
  <si>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</si>
  <si>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</si>
  <si>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</si>
  <si>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</si>
  <si>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</si>
  <si>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</si>
  <si>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</si>
  <si>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</si>
  <si>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</si>
  <si>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</si>
  <si>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</si>
  <si>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</si>
  <si>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</si>
  <si>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</si>
  <si>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</si>
  <si>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</si>
  <si>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</si>
  <si>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</si>
  <si>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</si>
  <si>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</si>
  <si>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</si>
  <si>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</si>
  <si>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</si>
  <si>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</si>
  <si>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</si>
  <si>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</si>
  <si>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</si>
  <si>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</si>
  <si>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</si>
  <si>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</si>
  <si>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</si>
  <si>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</si>
  <si>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</si>
  <si>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</si>
  <si>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</si>
  <si>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</si>
  <si>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</si>
  <si>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</si>
  <si>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</si>
  <si>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</si>
  <si>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</si>
  <si>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</si>
  <si>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</si>
  <si>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</si>
  <si>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</si>
  <si>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</si>
  <si>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</si>
  <si>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</si>
  <si>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</si>
  <si>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</si>
  <si>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</si>
  <si>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</si>
  <si>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</si>
  <si>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</si>
  <si>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</si>
  <si>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</si>
  <si>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</si>
  <si>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</si>
  <si>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</si>
  <si>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</si>
  <si>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</si>
  <si>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</si>
  <si>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</si>
  <si>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</si>
  <si>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</si>
  <si>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</si>
  <si>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</si>
  <si>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</si>
  <si>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</si>
  <si>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</si>
  <si>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</si>
  <si>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</si>
  <si>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</si>
  <si>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</si>
  <si>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</si>
  <si>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</si>
  <si>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</si>
  <si>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</si>
  <si>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</si>
  <si>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</si>
  <si>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</si>
  <si>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</si>
  <si>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</si>
  <si>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</si>
  <si>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</si>
  <si>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</si>
  <si>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</si>
  <si>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</si>
  <si>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</si>
  <si>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</si>
  <si>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</si>
  <si>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</si>
  <si>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</si>
  <si>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</si>
  <si>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</si>
  <si>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</si>
  <si>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</si>
  <si>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</si>
  <si>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</si>
  <si>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</si>
  <si>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</si>
  <si>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</si>
  <si>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</si>
  <si>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</si>
  <si>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</si>
  <si>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</si>
  <si>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</si>
  <si>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</si>
  <si>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</si>
  <si>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</si>
  <si>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</si>
  <si>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</si>
  <si>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</si>
  <si>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</si>
  <si>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</si>
  <si>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</si>
  <si>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</si>
  <si>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</si>
  <si>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</si>
  <si>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</si>
  <si>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</si>
  <si>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</si>
  <si>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</si>
  <si>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</si>
  <si>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</si>
  <si>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</si>
  <si>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</si>
  <si>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</si>
  <si>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</si>
  <si>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</si>
  <si>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</si>
  <si>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</si>
  <si>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</si>
  <si>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</si>
  <si>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</si>
  <si>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</si>
  <si>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</si>
  <si>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</si>
  <si>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</si>
  <si>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</si>
  <si>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</si>
  <si>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</si>
  <si>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</si>
  <si>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</si>
  <si>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</si>
  <si>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</si>
  <si>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</si>
  <si>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</si>
  <si>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</si>
  <si>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</si>
  <si>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</si>
  <si>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</si>
  <si>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</si>
  <si>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</si>
  <si>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</si>
  <si>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</si>
  <si>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</si>
  <si>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</si>
  <si>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</si>
  <si>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</si>
  <si>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</si>
  <si>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</si>
  <si>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</si>
  <si>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</si>
  <si>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</si>
  <si>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</si>
  <si>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</si>
  <si>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</si>
  <si>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</si>
  <si>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</si>
  <si>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</si>
  <si>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</si>
  <si>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</si>
  <si>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</si>
  <si>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</si>
  <si>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</si>
  <si>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</si>
  <si>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</si>
  <si>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</si>
  <si>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</si>
  <si>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</si>
  <si>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</si>
  <si>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</si>
  <si>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</si>
  <si>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</si>
  <si>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</si>
  <si>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</si>
  <si>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</si>
  <si>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</si>
  <si>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</si>
  <si>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</si>
  <si>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</si>
  <si>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</si>
  <si>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</si>
  <si>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</si>
  <si>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</si>
  <si>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</si>
  <si>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</si>
  <si>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</si>
  <si>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</si>
  <si>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</si>
  <si>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</si>
  <si>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</si>
  <si>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</si>
  <si>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</si>
  <si>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</si>
  <si>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</si>
  <si>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</si>
  <si>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</si>
  <si>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</si>
  <si>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</si>
  <si>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</si>
  <si>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</si>
  <si>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</si>
  <si>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</si>
  <si>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</si>
  <si>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</si>
  <si>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</si>
  <si>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</si>
  <si>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</si>
  <si>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</si>
  <si>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</si>
  <si>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</si>
  <si>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</si>
  <si>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</si>
  <si>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</si>
  <si>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</si>
  <si>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</si>
  <si>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</si>
  <si>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</si>
  <si>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</si>
  <si>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</si>
  <si>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</si>
  <si>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</si>
  <si>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</si>
  <si>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</si>
  <si>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</si>
  <si>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</si>
  <si>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</si>
  <si>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</si>
  <si>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</si>
  <si>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</si>
  <si>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</si>
  <si>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</si>
  <si>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</si>
  <si>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</si>
  <si>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</si>
  <si>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</si>
  <si>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</si>
  <si>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</si>
  <si>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</si>
  <si>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</si>
  <si>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</si>
  <si>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</si>
  <si>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</si>
  <si>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</si>
  <si>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</si>
  <si>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</si>
  <si>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</si>
  <si>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</si>
  <si>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</si>
  <si>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</si>
  <si>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</si>
  <si>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</si>
  <si>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</si>
  <si>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</si>
  <si>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</si>
  <si>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</si>
  <si>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</si>
  <si>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</si>
  <si>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</si>
  <si>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</si>
  <si>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</si>
  <si>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</si>
  <si>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</si>
  <si>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</si>
  <si>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</si>
  <si>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</si>
  <si>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</si>
  <si>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</si>
  <si>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</si>
  <si>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</si>
  <si>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</si>
  <si>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</si>
  <si>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</si>
  <si>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</si>
  <si>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</si>
  <si>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</si>
  <si>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</si>
  <si>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</si>
  <si>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</si>
  <si>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</si>
  <si>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</si>
  <si>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</si>
  <si>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</si>
  <si>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</si>
  <si>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</si>
  <si>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</si>
  <si>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</si>
  <si>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</si>
  <si>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</si>
  <si>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</si>
  <si>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</si>
  <si>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</si>
  <si>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</si>
  <si>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</si>
  <si>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</si>
  <si>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</si>
  <si>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</si>
  <si>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</si>
  <si>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</si>
  <si>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</si>
  <si>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</si>
  <si>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</si>
  <si>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</si>
  <si>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</si>
  <si>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</si>
  <si>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</si>
  <si>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</si>
  <si>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</si>
  <si>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</si>
  <si>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</si>
  <si>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</si>
  <si>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</si>
  <si>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</si>
  <si>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</si>
  <si>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</si>
  <si>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</si>
  <si>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</si>
  <si>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</si>
  <si>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</si>
  <si>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</si>
  <si>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</si>
  <si>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</si>
  <si>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</si>
  <si>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</si>
  <si>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</si>
  <si>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</si>
  <si>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</si>
  <si>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</si>
  <si>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</si>
  <si>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</si>
  <si>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</si>
  <si>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</si>
  <si>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</si>
  <si>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</si>
  <si>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</si>
  <si>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</si>
  <si>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</si>
  <si>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</si>
  <si>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</si>
  <si>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</si>
  <si>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</si>
  <si>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</si>
  <si>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</si>
  <si>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</si>
  <si>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</si>
  <si>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</si>
  <si>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</si>
  <si>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</si>
  <si>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</si>
  <si>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</si>
  <si>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</si>
  <si>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</si>
  <si>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</si>
  <si>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</si>
  <si>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</si>
  <si>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</si>
  <si>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</si>
  <si>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</si>
  <si>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</si>
  <si>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</si>
  <si>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</si>
  <si>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</si>
  <si>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</si>
  <si>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</si>
  <si>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</si>
  <si>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</si>
  <si>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</si>
  <si>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</si>
  <si>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</si>
  <si>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</si>
  <si>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</si>
  <si>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</si>
  <si>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</si>
  <si>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</si>
  <si>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</si>
  <si>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</si>
  <si>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</si>
  <si>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</si>
  <si>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</si>
  <si>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</si>
  <si>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</si>
  <si>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</si>
  <si>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</si>
  <si>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</si>
  <si>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</si>
  <si>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</si>
  <si>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</si>
  <si>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</si>
  <si>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</si>
  <si>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</si>
  <si>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</si>
  <si>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</si>
  <si>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</si>
  <si>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</si>
  <si>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34022</t>
  </si>
  <si>
    <t>KORTRIJK</t>
  </si>
  <si>
    <t>Cultuurgrond (ha)</t>
  </si>
  <si>
    <t>Paarden&amp;pony's 200 - 600 kg</t>
  </si>
  <si>
    <t>Paarden&amp;pony's &lt; 200 kg</t>
  </si>
  <si>
    <t>Fluvius</t>
  </si>
  <si>
    <t>referentietaak LNE (2017); Jaarverslag De Lijn</t>
  </si>
  <si>
    <t>AZ Groeninge</t>
  </si>
  <si>
    <t>Reepkaai 4 , 8500 Kortrijk</t>
  </si>
  <si>
    <t>WKK-0217 AZ Groeninge</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</si>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</sst>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598098.35897742526</c:v>
                </c:pt>
                <c:pt idx="1">
                  <c:v>461729.77580407693</c:v>
                </c:pt>
                <c:pt idx="2">
                  <c:v>6640.3519999999999</c:v>
                </c:pt>
                <c:pt idx="3">
                  <c:v>13662.998765714518</c:v>
                </c:pt>
                <c:pt idx="4">
                  <c:v>340807.24741267081</c:v>
                </c:pt>
                <c:pt idx="5">
                  <c:v>685173.55161306995</c:v>
                </c:pt>
                <c:pt idx="6">
                  <c:v>11005.472284106729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598098.35897742526</c:v>
                </c:pt>
                <c:pt idx="1">
                  <c:v>461729.77580407693</c:v>
                </c:pt>
                <c:pt idx="2">
                  <c:v>6640.3519999999999</c:v>
                </c:pt>
                <c:pt idx="3">
                  <c:v>13662.998765714518</c:v>
                </c:pt>
                <c:pt idx="4">
                  <c:v>340807.24741267081</c:v>
                </c:pt>
                <c:pt idx="5">
                  <c:v>685173.55161306995</c:v>
                </c:pt>
                <c:pt idx="6">
                  <c:v>11005.472284106729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114764.31732810168</c:v>
                </c:pt>
                <c:pt idx="2">
                  <c:v>93582.748071466427</c:v>
                </c:pt>
                <c:pt idx="3">
                  <c:v>1369.6020407675724</c:v>
                </c:pt>
                <c:pt idx="4">
                  <c:v>3457.944195390558</c:v>
                </c:pt>
                <c:pt idx="5">
                  <c:v>70407.228283921591</c:v>
                </c:pt>
                <c:pt idx="6">
                  <c:v>173597.18487204364</c:v>
                </c:pt>
                <c:pt idx="7">
                  <c:v>2813.2413978649092</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114764.31732810168</c:v>
                </c:pt>
                <c:pt idx="2">
                  <c:v>93582.748071466427</c:v>
                </c:pt>
                <c:pt idx="3">
                  <c:v>1369.6020407675724</c:v>
                </c:pt>
                <c:pt idx="4">
                  <c:v>3457.944195390558</c:v>
                </c:pt>
                <c:pt idx="5">
                  <c:v>70407.228283921591</c:v>
                </c:pt>
                <c:pt idx="6">
                  <c:v>173597.18487204364</c:v>
                </c:pt>
                <c:pt idx="7">
                  <c:v>2813.2413978649092</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34022</v>
      </c>
      <c r="B6" s="395"/>
      <c r="C6" s="396"/>
    </row>
    <row r="7" spans="1:7" s="393" customFormat="1" ht="15.75" customHeight="1">
      <c r="A7" s="397" t="str">
        <f>txtMunicipality</f>
        <v>KORTRIJK</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0.20625443361550297</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0.20625443361550297</v>
      </c>
      <c r="C29" s="509">
        <f ca="1">'EF ele_warmte'!B22</f>
        <v>0.23764705882352943</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32652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3675</v>
      </c>
      <c r="C14" s="332"/>
      <c r="D14" s="332"/>
      <c r="E14" s="332"/>
      <c r="F14" s="332"/>
    </row>
    <row r="15" spans="1:6">
      <c r="A15" s="1306" t="s">
        <v>183</v>
      </c>
      <c r="B15" s="1307">
        <v>38</v>
      </c>
      <c r="C15" s="332"/>
      <c r="D15" s="332"/>
      <c r="E15" s="332"/>
      <c r="F15" s="332"/>
    </row>
    <row r="16" spans="1:6">
      <c r="A16" s="1306" t="s">
        <v>6</v>
      </c>
      <c r="B16" s="1307">
        <v>1011</v>
      </c>
      <c r="C16" s="332"/>
      <c r="D16" s="332"/>
      <c r="E16" s="332"/>
      <c r="F16" s="332"/>
    </row>
    <row r="17" spans="1:6">
      <c r="A17" s="1306" t="s">
        <v>7</v>
      </c>
      <c r="B17" s="1307">
        <v>942</v>
      </c>
      <c r="C17" s="332"/>
      <c r="D17" s="332"/>
      <c r="E17" s="332"/>
      <c r="F17" s="332"/>
    </row>
    <row r="18" spans="1:6">
      <c r="A18" s="1306" t="s">
        <v>8</v>
      </c>
      <c r="B18" s="1307">
        <v>1185</v>
      </c>
      <c r="C18" s="332"/>
      <c r="D18" s="332"/>
      <c r="E18" s="332"/>
      <c r="F18" s="332"/>
    </row>
    <row r="19" spans="1:6">
      <c r="A19" s="1306" t="s">
        <v>9</v>
      </c>
      <c r="B19" s="1307">
        <v>1126</v>
      </c>
      <c r="C19" s="332"/>
      <c r="D19" s="332"/>
      <c r="E19" s="332"/>
      <c r="F19" s="332"/>
    </row>
    <row r="20" spans="1:6">
      <c r="A20" s="1306" t="s">
        <v>10</v>
      </c>
      <c r="B20" s="1307">
        <v>1453</v>
      </c>
      <c r="C20" s="332"/>
      <c r="D20" s="332"/>
      <c r="E20" s="332"/>
      <c r="F20" s="332"/>
    </row>
    <row r="21" spans="1:6">
      <c r="A21" s="1306" t="s">
        <v>11</v>
      </c>
      <c r="B21" s="1307">
        <v>2799</v>
      </c>
      <c r="C21" s="332"/>
      <c r="D21" s="332"/>
      <c r="E21" s="332"/>
      <c r="F21" s="332"/>
    </row>
    <row r="22" spans="1:6">
      <c r="A22" s="1306" t="s">
        <v>12</v>
      </c>
      <c r="B22" s="1307">
        <v>10796</v>
      </c>
      <c r="C22" s="332"/>
      <c r="D22" s="332"/>
      <c r="E22" s="332"/>
      <c r="F22" s="332"/>
    </row>
    <row r="23" spans="1:6">
      <c r="A23" s="1306" t="s">
        <v>13</v>
      </c>
      <c r="B23" s="1307">
        <v>146</v>
      </c>
      <c r="C23" s="332"/>
      <c r="D23" s="332"/>
      <c r="E23" s="332"/>
      <c r="F23" s="332"/>
    </row>
    <row r="24" spans="1:6">
      <c r="A24" s="1306" t="s">
        <v>14</v>
      </c>
      <c r="B24" s="1307">
        <v>7</v>
      </c>
      <c r="C24" s="332"/>
      <c r="D24" s="332"/>
      <c r="E24" s="332"/>
      <c r="F24" s="332"/>
    </row>
    <row r="25" spans="1:6">
      <c r="A25" s="1306" t="s">
        <v>15</v>
      </c>
      <c r="B25" s="1307">
        <v>686</v>
      </c>
      <c r="C25" s="332"/>
      <c r="D25" s="332"/>
      <c r="E25" s="332"/>
      <c r="F25" s="332"/>
    </row>
    <row r="26" spans="1:6">
      <c r="A26" s="1306" t="s">
        <v>16</v>
      </c>
      <c r="B26" s="1307">
        <v>77</v>
      </c>
      <c r="C26" s="332"/>
      <c r="D26" s="332"/>
      <c r="E26" s="332"/>
      <c r="F26" s="332"/>
    </row>
    <row r="27" spans="1:6">
      <c r="A27" s="1306" t="s">
        <v>17</v>
      </c>
      <c r="B27" s="1307">
        <v>9</v>
      </c>
      <c r="C27" s="332"/>
      <c r="D27" s="332"/>
      <c r="E27" s="332"/>
      <c r="F27" s="332"/>
    </row>
    <row r="28" spans="1:6" s="43" customFormat="1">
      <c r="A28" s="1308" t="s">
        <v>18</v>
      </c>
      <c r="B28" s="1309">
        <v>149612</v>
      </c>
      <c r="C28" s="338"/>
      <c r="D28" s="338"/>
      <c r="E28" s="338"/>
      <c r="F28" s="338"/>
    </row>
    <row r="29" spans="1:6">
      <c r="A29" s="1308" t="s">
        <v>916</v>
      </c>
      <c r="B29" s="1309">
        <v>225</v>
      </c>
      <c r="C29" s="338"/>
      <c r="D29" s="338"/>
      <c r="E29" s="338"/>
      <c r="F29" s="338"/>
    </row>
    <row r="30" spans="1:6">
      <c r="A30" s="1301" t="s">
        <v>917</v>
      </c>
      <c r="B30" s="1310">
        <v>56</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8</v>
      </c>
      <c r="D36" s="1307">
        <v>1330027.90484039</v>
      </c>
      <c r="E36" s="1307">
        <v>20</v>
      </c>
      <c r="F36" s="1307">
        <v>1756719.0466914701</v>
      </c>
    </row>
    <row r="37" spans="1:6">
      <c r="A37" s="1306" t="s">
        <v>24</v>
      </c>
      <c r="B37" s="1306" t="s">
        <v>27</v>
      </c>
      <c r="C37" s="1307">
        <v>0</v>
      </c>
      <c r="D37" s="1307">
        <v>0</v>
      </c>
      <c r="E37" s="1307">
        <v>0</v>
      </c>
      <c r="F37" s="1307">
        <v>0</v>
      </c>
    </row>
    <row r="38" spans="1:6">
      <c r="A38" s="1306" t="s">
        <v>24</v>
      </c>
      <c r="B38" s="1306" t="s">
        <v>28</v>
      </c>
      <c r="C38" s="1307">
        <v>4</v>
      </c>
      <c r="D38" s="1307">
        <v>233350.05956487</v>
      </c>
      <c r="E38" s="1307">
        <v>7</v>
      </c>
      <c r="F38" s="1307">
        <v>43186.926944369297</v>
      </c>
    </row>
    <row r="39" spans="1:6">
      <c r="A39" s="1306" t="s">
        <v>29</v>
      </c>
      <c r="B39" s="1306" t="s">
        <v>30</v>
      </c>
      <c r="C39" s="1307">
        <v>24886</v>
      </c>
      <c r="D39" s="1307">
        <v>424544974.63076299</v>
      </c>
      <c r="E39" s="1307">
        <v>31666</v>
      </c>
      <c r="F39" s="1307">
        <v>115288969.91518299</v>
      </c>
    </row>
    <row r="40" spans="1:6">
      <c r="A40" s="1306" t="s">
        <v>29</v>
      </c>
      <c r="B40" s="1306" t="s">
        <v>28</v>
      </c>
      <c r="C40" s="1307">
        <v>1</v>
      </c>
      <c r="D40" s="1307">
        <v>36859.485088797403</v>
      </c>
      <c r="E40" s="1307">
        <v>4</v>
      </c>
      <c r="F40" s="1307">
        <v>36994.884853182797</v>
      </c>
    </row>
    <row r="41" spans="1:6">
      <c r="A41" s="1306" t="s">
        <v>31</v>
      </c>
      <c r="B41" s="1306" t="s">
        <v>32</v>
      </c>
      <c r="C41" s="1307">
        <v>377</v>
      </c>
      <c r="D41" s="1307">
        <v>11116335.438719301</v>
      </c>
      <c r="E41" s="1307">
        <v>757</v>
      </c>
      <c r="F41" s="1307">
        <v>15270479.122361399</v>
      </c>
    </row>
    <row r="42" spans="1:6">
      <c r="A42" s="1306" t="s">
        <v>31</v>
      </c>
      <c r="B42" s="1306" t="s">
        <v>33</v>
      </c>
      <c r="C42" s="1307">
        <v>0</v>
      </c>
      <c r="D42" s="1307">
        <v>0</v>
      </c>
      <c r="E42" s="1307">
        <v>0</v>
      </c>
      <c r="F42" s="1307">
        <v>0</v>
      </c>
    </row>
    <row r="43" spans="1:6">
      <c r="A43" s="1306" t="s">
        <v>31</v>
      </c>
      <c r="B43" s="1306" t="s">
        <v>34</v>
      </c>
      <c r="C43" s="1307">
        <v>0</v>
      </c>
      <c r="D43" s="1307">
        <v>0</v>
      </c>
      <c r="E43" s="1307">
        <v>3</v>
      </c>
      <c r="F43" s="1307">
        <v>193714.70609580999</v>
      </c>
    </row>
    <row r="44" spans="1:6">
      <c r="A44" s="1306" t="s">
        <v>31</v>
      </c>
      <c r="B44" s="1306" t="s">
        <v>35</v>
      </c>
      <c r="C44" s="1307">
        <v>9</v>
      </c>
      <c r="D44" s="1307">
        <v>1647092.18273831</v>
      </c>
      <c r="E44" s="1307">
        <v>79</v>
      </c>
      <c r="F44" s="1307">
        <v>12565523.5919553</v>
      </c>
    </row>
    <row r="45" spans="1:6">
      <c r="A45" s="1306" t="s">
        <v>31</v>
      </c>
      <c r="B45" s="1306" t="s">
        <v>36</v>
      </c>
      <c r="C45" s="1307">
        <v>8</v>
      </c>
      <c r="D45" s="1307">
        <v>401986.45729208598</v>
      </c>
      <c r="E45" s="1307">
        <v>14</v>
      </c>
      <c r="F45" s="1307">
        <v>73026.904809863307</v>
      </c>
    </row>
    <row r="46" spans="1:6">
      <c r="A46" s="1306" t="s">
        <v>31</v>
      </c>
      <c r="B46" s="1306" t="s">
        <v>37</v>
      </c>
      <c r="C46" s="1307">
        <v>0</v>
      </c>
      <c r="D46" s="1307">
        <v>0</v>
      </c>
      <c r="E46" s="1307">
        <v>3</v>
      </c>
      <c r="F46" s="1307">
        <v>38234.068586366797</v>
      </c>
    </row>
    <row r="47" spans="1:6">
      <c r="A47" s="1306" t="s">
        <v>31</v>
      </c>
      <c r="B47" s="1306" t="s">
        <v>38</v>
      </c>
      <c r="C47" s="1307">
        <v>32</v>
      </c>
      <c r="D47" s="1307">
        <v>12720129.651383899</v>
      </c>
      <c r="E47" s="1307">
        <v>33</v>
      </c>
      <c r="F47" s="1307">
        <v>10924024.972242899</v>
      </c>
    </row>
    <row r="48" spans="1:6">
      <c r="A48" s="1306" t="s">
        <v>31</v>
      </c>
      <c r="B48" s="1306" t="s">
        <v>28</v>
      </c>
      <c r="C48" s="1307">
        <v>116</v>
      </c>
      <c r="D48" s="1307">
        <v>148704696.23874599</v>
      </c>
      <c r="E48" s="1307">
        <v>137</v>
      </c>
      <c r="F48" s="1307">
        <v>60018588.466957301</v>
      </c>
    </row>
    <row r="49" spans="1:6">
      <c r="A49" s="1306" t="s">
        <v>31</v>
      </c>
      <c r="B49" s="1306" t="s">
        <v>39</v>
      </c>
      <c r="C49" s="1307">
        <v>14</v>
      </c>
      <c r="D49" s="1307">
        <v>938760.65544049605</v>
      </c>
      <c r="E49" s="1307">
        <v>46</v>
      </c>
      <c r="F49" s="1307">
        <v>3472857.7179424101</v>
      </c>
    </row>
    <row r="50" spans="1:6">
      <c r="A50" s="1306" t="s">
        <v>31</v>
      </c>
      <c r="B50" s="1306" t="s">
        <v>40</v>
      </c>
      <c r="C50" s="1307">
        <v>74</v>
      </c>
      <c r="D50" s="1307">
        <v>15167421.9364076</v>
      </c>
      <c r="E50" s="1307">
        <v>96</v>
      </c>
      <c r="F50" s="1307">
        <v>8088746.7201889502</v>
      </c>
    </row>
    <row r="51" spans="1:6">
      <c r="A51" s="1306" t="s">
        <v>41</v>
      </c>
      <c r="B51" s="1306" t="s">
        <v>42</v>
      </c>
      <c r="C51" s="1307">
        <v>11</v>
      </c>
      <c r="D51" s="1307">
        <v>284574.52625337697</v>
      </c>
      <c r="E51" s="1307">
        <v>119</v>
      </c>
      <c r="F51" s="1307">
        <v>1733629.82236567</v>
      </c>
    </row>
    <row r="52" spans="1:6">
      <c r="A52" s="1306" t="s">
        <v>41</v>
      </c>
      <c r="B52" s="1306" t="s">
        <v>28</v>
      </c>
      <c r="C52" s="1307">
        <v>10</v>
      </c>
      <c r="D52" s="1307">
        <v>679088.18487759505</v>
      </c>
      <c r="E52" s="1307">
        <v>21</v>
      </c>
      <c r="F52" s="1307">
        <v>1039643.1467727</v>
      </c>
    </row>
    <row r="53" spans="1:6">
      <c r="A53" s="1306" t="s">
        <v>43</v>
      </c>
      <c r="B53" s="1306" t="s">
        <v>44</v>
      </c>
      <c r="C53" s="1307">
        <v>898</v>
      </c>
      <c r="D53" s="1307">
        <v>44272450.099726498</v>
      </c>
      <c r="E53" s="1307">
        <v>1404</v>
      </c>
      <c r="F53" s="1307">
        <v>6734558.6168093299</v>
      </c>
    </row>
    <row r="54" spans="1:6">
      <c r="A54" s="1306" t="s">
        <v>45</v>
      </c>
      <c r="B54" s="1306" t="s">
        <v>46</v>
      </c>
      <c r="C54" s="1307">
        <v>0</v>
      </c>
      <c r="D54" s="1307">
        <v>0</v>
      </c>
      <c r="E54" s="1307">
        <v>3</v>
      </c>
      <c r="F54" s="1307">
        <v>6640352</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318</v>
      </c>
      <c r="D57" s="1307">
        <v>31233224.649699699</v>
      </c>
      <c r="E57" s="1307">
        <v>503</v>
      </c>
      <c r="F57" s="1307">
        <v>18069725.5082836</v>
      </c>
    </row>
    <row r="58" spans="1:6">
      <c r="A58" s="1306" t="s">
        <v>48</v>
      </c>
      <c r="B58" s="1306" t="s">
        <v>50</v>
      </c>
      <c r="C58" s="1307">
        <v>235</v>
      </c>
      <c r="D58" s="1307">
        <v>39313727.322940603</v>
      </c>
      <c r="E58" s="1307">
        <v>461</v>
      </c>
      <c r="F58" s="1307">
        <v>28046429.579051301</v>
      </c>
    </row>
    <row r="59" spans="1:6">
      <c r="A59" s="1306" t="s">
        <v>48</v>
      </c>
      <c r="B59" s="1306" t="s">
        <v>51</v>
      </c>
      <c r="C59" s="1307">
        <v>739</v>
      </c>
      <c r="D59" s="1307">
        <v>35473652.916255698</v>
      </c>
      <c r="E59" s="1307">
        <v>1393</v>
      </c>
      <c r="F59" s="1307">
        <v>45626228.635056302</v>
      </c>
    </row>
    <row r="60" spans="1:6">
      <c r="A60" s="1306" t="s">
        <v>48</v>
      </c>
      <c r="B60" s="1306" t="s">
        <v>52</v>
      </c>
      <c r="C60" s="1307">
        <v>406</v>
      </c>
      <c r="D60" s="1307">
        <v>29252269.594425902</v>
      </c>
      <c r="E60" s="1307">
        <v>485</v>
      </c>
      <c r="F60" s="1307">
        <v>18165142.1095821</v>
      </c>
    </row>
    <row r="61" spans="1:6">
      <c r="A61" s="1306" t="s">
        <v>48</v>
      </c>
      <c r="B61" s="1306" t="s">
        <v>53</v>
      </c>
      <c r="C61" s="1307">
        <v>1258</v>
      </c>
      <c r="D61" s="1307">
        <v>71291585.726414397</v>
      </c>
      <c r="E61" s="1307">
        <v>2607</v>
      </c>
      <c r="F61" s="1307">
        <v>49832479.065624699</v>
      </c>
    </row>
    <row r="62" spans="1:6">
      <c r="A62" s="1306" t="s">
        <v>48</v>
      </c>
      <c r="B62" s="1306" t="s">
        <v>54</v>
      </c>
      <c r="C62" s="1307">
        <v>96</v>
      </c>
      <c r="D62" s="1307">
        <v>18322099.952369101</v>
      </c>
      <c r="E62" s="1307">
        <v>114</v>
      </c>
      <c r="F62" s="1307">
        <v>6946134.3139706999</v>
      </c>
    </row>
    <row r="63" spans="1:6">
      <c r="A63" s="1306" t="s">
        <v>48</v>
      </c>
      <c r="B63" s="1306" t="s">
        <v>28</v>
      </c>
      <c r="C63" s="1307">
        <v>277</v>
      </c>
      <c r="D63" s="1307">
        <v>27467913.013545301</v>
      </c>
      <c r="E63" s="1307">
        <v>303</v>
      </c>
      <c r="F63" s="1307">
        <v>15020171.659402199</v>
      </c>
    </row>
    <row r="64" spans="1:6">
      <c r="A64" s="1306" t="s">
        <v>55</v>
      </c>
      <c r="B64" s="1306" t="s">
        <v>56</v>
      </c>
      <c r="C64" s="1307">
        <v>0</v>
      </c>
      <c r="D64" s="1307">
        <v>0</v>
      </c>
      <c r="E64" s="1307">
        <v>0</v>
      </c>
      <c r="F64" s="1307">
        <v>0</v>
      </c>
    </row>
    <row r="65" spans="1:6">
      <c r="A65" s="1306" t="s">
        <v>55</v>
      </c>
      <c r="B65" s="1306" t="s">
        <v>28</v>
      </c>
      <c r="C65" s="1307">
        <v>9</v>
      </c>
      <c r="D65" s="1307">
        <v>296791.44589180802</v>
      </c>
      <c r="E65" s="1307">
        <v>14</v>
      </c>
      <c r="F65" s="1307">
        <v>131807.10298403399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15</v>
      </c>
      <c r="D68" s="1310">
        <v>359831.11956511397</v>
      </c>
      <c r="E68" s="1310">
        <v>35</v>
      </c>
      <c r="F68" s="1310">
        <v>506554.35383315402</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234826338</v>
      </c>
      <c r="E73" s="456"/>
      <c r="F73" s="332"/>
    </row>
    <row r="74" spans="1:6">
      <c r="A74" s="1306" t="s">
        <v>63</v>
      </c>
      <c r="B74" s="1306" t="s">
        <v>724</v>
      </c>
      <c r="C74" s="1320" t="s">
        <v>725</v>
      </c>
      <c r="D74" s="1321">
        <v>29492483.651287839</v>
      </c>
      <c r="E74" s="456"/>
      <c r="F74" s="332"/>
    </row>
    <row r="75" spans="1:6">
      <c r="A75" s="1306" t="s">
        <v>64</v>
      </c>
      <c r="B75" s="1306" t="s">
        <v>722</v>
      </c>
      <c r="C75" s="1320" t="s">
        <v>726</v>
      </c>
      <c r="D75" s="1321">
        <v>90706666</v>
      </c>
      <c r="E75" s="456"/>
      <c r="F75" s="332"/>
    </row>
    <row r="76" spans="1:6">
      <c r="A76" s="1306" t="s">
        <v>64</v>
      </c>
      <c r="B76" s="1306" t="s">
        <v>724</v>
      </c>
      <c r="C76" s="1320" t="s">
        <v>727</v>
      </c>
      <c r="D76" s="1321">
        <v>2701956.6512878388</v>
      </c>
      <c r="E76" s="456"/>
      <c r="F76" s="332"/>
    </row>
    <row r="77" spans="1:6">
      <c r="A77" s="1306" t="s">
        <v>65</v>
      </c>
      <c r="B77" s="1306" t="s">
        <v>722</v>
      </c>
      <c r="C77" s="1320" t="s">
        <v>728</v>
      </c>
      <c r="D77" s="1321">
        <v>257745432</v>
      </c>
      <c r="E77" s="456"/>
      <c r="F77" s="332"/>
    </row>
    <row r="78" spans="1:6">
      <c r="A78" s="1301" t="s">
        <v>65</v>
      </c>
      <c r="B78" s="1301" t="s">
        <v>724</v>
      </c>
      <c r="C78" s="1301" t="s">
        <v>729</v>
      </c>
      <c r="D78" s="1322">
        <v>73306572</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2912122.6974243228</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11040.927320000001</v>
      </c>
      <c r="C90" s="332"/>
      <c r="D90" s="332"/>
      <c r="E90" s="332"/>
      <c r="F90" s="332"/>
    </row>
    <row r="91" spans="1:6">
      <c r="A91" s="1306" t="s">
        <v>67</v>
      </c>
      <c r="B91" s="1307">
        <v>8748.1725546437956</v>
      </c>
      <c r="C91" s="332"/>
      <c r="D91" s="332"/>
      <c r="E91" s="332"/>
      <c r="F91" s="332"/>
    </row>
    <row r="92" spans="1:6">
      <c r="A92" s="1301" t="s">
        <v>68</v>
      </c>
      <c r="B92" s="1302">
        <v>9165.86805780127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19024</v>
      </c>
      <c r="C97" s="332"/>
      <c r="D97" s="332"/>
      <c r="E97" s="332"/>
      <c r="F97" s="332"/>
    </row>
    <row r="98" spans="1:6">
      <c r="A98" s="1306" t="s">
        <v>71</v>
      </c>
      <c r="B98" s="1307">
        <v>7</v>
      </c>
      <c r="C98" s="332"/>
      <c r="D98" s="332"/>
      <c r="E98" s="332"/>
      <c r="F98" s="332"/>
    </row>
    <row r="99" spans="1:6">
      <c r="A99" s="1306" t="s">
        <v>72</v>
      </c>
      <c r="B99" s="1307">
        <v>196</v>
      </c>
      <c r="C99" s="332"/>
      <c r="D99" s="332"/>
      <c r="E99" s="332"/>
      <c r="F99" s="332"/>
    </row>
    <row r="100" spans="1:6">
      <c r="A100" s="1306" t="s">
        <v>73</v>
      </c>
      <c r="B100" s="1307">
        <v>2575</v>
      </c>
      <c r="C100" s="332"/>
      <c r="D100" s="332"/>
      <c r="E100" s="332"/>
      <c r="F100" s="332"/>
    </row>
    <row r="101" spans="1:6">
      <c r="A101" s="1306" t="s">
        <v>74</v>
      </c>
      <c r="B101" s="1307">
        <v>278</v>
      </c>
      <c r="C101" s="332"/>
      <c r="D101" s="332"/>
      <c r="E101" s="332"/>
      <c r="F101" s="332"/>
    </row>
    <row r="102" spans="1:6">
      <c r="A102" s="1306" t="s">
        <v>75</v>
      </c>
      <c r="B102" s="1307">
        <v>715</v>
      </c>
      <c r="C102" s="332"/>
      <c r="D102" s="332"/>
      <c r="E102" s="332"/>
      <c r="F102" s="332"/>
    </row>
    <row r="103" spans="1:6">
      <c r="A103" s="1306" t="s">
        <v>76</v>
      </c>
      <c r="B103" s="1307">
        <v>618</v>
      </c>
      <c r="C103" s="332"/>
      <c r="D103" s="332"/>
      <c r="E103" s="332"/>
      <c r="F103" s="332"/>
    </row>
    <row r="104" spans="1:6">
      <c r="A104" s="1306" t="s">
        <v>77</v>
      </c>
      <c r="B104" s="1307">
        <v>6763</v>
      </c>
      <c r="C104" s="332"/>
      <c r="D104" s="332"/>
      <c r="E104" s="332"/>
      <c r="F104" s="332"/>
    </row>
    <row r="105" spans="1:6">
      <c r="A105" s="1301" t="s">
        <v>78</v>
      </c>
      <c r="B105" s="1310">
        <v>22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2</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28</v>
      </c>
      <c r="C123" s="1307">
        <v>20</v>
      </c>
      <c r="D123" s="332"/>
      <c r="E123" s="332"/>
      <c r="F123" s="332"/>
    </row>
    <row r="124" spans="1:6" s="43" customFormat="1">
      <c r="A124" s="1308" t="s">
        <v>88</v>
      </c>
      <c r="B124" s="1329">
        <v>2</v>
      </c>
      <c r="C124" s="1329">
        <v>4</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349</v>
      </c>
      <c r="C129" s="332"/>
      <c r="D129" s="332"/>
      <c r="E129" s="332"/>
      <c r="F129" s="332"/>
    </row>
    <row r="130" spans="1:6">
      <c r="A130" s="1306" t="s">
        <v>294</v>
      </c>
      <c r="B130" s="1307">
        <v>6</v>
      </c>
      <c r="C130" s="332"/>
      <c r="D130" s="332"/>
      <c r="E130" s="332"/>
      <c r="F130" s="332"/>
    </row>
    <row r="131" spans="1:6">
      <c r="A131" s="1306" t="s">
        <v>295</v>
      </c>
      <c r="B131" s="1307">
        <v>6</v>
      </c>
      <c r="C131" s="332"/>
      <c r="D131" s="332"/>
      <c r="E131" s="332"/>
      <c r="F131" s="332"/>
    </row>
    <row r="132" spans="1:6">
      <c r="A132" s="1301" t="s">
        <v>296</v>
      </c>
      <c r="B132" s="1302">
        <v>13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433240.25812370901</v>
      </c>
      <c r="C3" s="43" t="s">
        <v>169</v>
      </c>
      <c r="D3" s="43"/>
      <c r="E3" s="156"/>
      <c r="F3" s="43"/>
      <c r="G3" s="43"/>
      <c r="H3" s="43"/>
      <c r="I3" s="43"/>
      <c r="J3" s="43"/>
      <c r="K3" s="96"/>
    </row>
    <row r="4" spans="1:11">
      <c r="A4" s="363" t="s">
        <v>170</v>
      </c>
      <c r="B4" s="49">
        <f>IF(ISERROR('SEAP template'!B78+'SEAP template'!C78),0,'SEAP template'!B78+'SEAP template'!C78)</f>
        <v>29596.21793244507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152.39117647058828</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0.20625443361550297</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217.70168067226894</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916.07142857142856</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0.23764705882352943</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6640.3519999999999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6640.3519999999999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0.20625443361550297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1369.6020407675724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115325.96480003618</v>
      </c>
      <c r="C5" s="17">
        <f>IF(ISERROR('Eigen informatie GS &amp; warmtenet'!B57),0,'Eigen informatie GS &amp; warmtenet'!B57)</f>
        <v>0</v>
      </c>
      <c r="D5" s="30">
        <f>(SUM(HH_hh_gas_kWh,HH_rest_gas_kWh)/1000)*0.902</f>
        <v>382972.81437249837</v>
      </c>
      <c r="E5" s="17">
        <f>B46*B57</f>
        <v>9145.3228524604274</v>
      </c>
      <c r="F5" s="17">
        <f>B51*B62</f>
        <v>34979.36572472789</v>
      </c>
      <c r="G5" s="18"/>
      <c r="H5" s="17"/>
      <c r="I5" s="17"/>
      <c r="J5" s="17">
        <f>B50*B61+C50*C61</f>
        <v>1122.8501763403519</v>
      </c>
      <c r="K5" s="17"/>
      <c r="L5" s="17"/>
      <c r="M5" s="17"/>
      <c r="N5" s="17">
        <f>B48*B59+C48*C59</f>
        <v>44400.878496718236</v>
      </c>
      <c r="O5" s="17">
        <f>B69*B70*B71</f>
        <v>583.12333333333345</v>
      </c>
      <c r="P5" s="17">
        <f>B77*B78*B79/1000-B77*B78*B79/1000/B80</f>
        <v>819.86666666666667</v>
      </c>
    </row>
    <row r="6" spans="1:16">
      <c r="A6" s="16" t="s">
        <v>633</v>
      </c>
      <c r="B6" s="779">
        <f>kWh_PV_kleiner_dan_10kW</f>
        <v>8748.1725546437956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124074.13735467997</v>
      </c>
      <c r="C8" s="21">
        <f>C5</f>
        <v>0</v>
      </c>
      <c r="D8" s="21">
        <f>D5</f>
        <v>382972.81437249837</v>
      </c>
      <c r="E8" s="21">
        <f>E5</f>
        <v>9145.3228524604274</v>
      </c>
      <c r="F8" s="21">
        <f>F5</f>
        <v>34979.36572472789</v>
      </c>
      <c r="G8" s="21"/>
      <c r="H8" s="21"/>
      <c r="I8" s="21"/>
      <c r="J8" s="21">
        <f>J5</f>
        <v>1122.8501763403519</v>
      </c>
      <c r="K8" s="21"/>
      <c r="L8" s="21">
        <f>L5</f>
        <v>0</v>
      </c>
      <c r="M8" s="21">
        <f>M5</f>
        <v>0</v>
      </c>
      <c r="N8" s="21">
        <f>N5</f>
        <v>44400.878496718236</v>
      </c>
      <c r="O8" s="21">
        <f>O5</f>
        <v>583.12333333333345</v>
      </c>
      <c r="P8" s="21">
        <f>P5</f>
        <v>819.86666666666667</v>
      </c>
    </row>
    <row r="9" spans="1:16">
      <c r="B9" s="19"/>
      <c r="C9" s="19"/>
      <c r="D9" s="261"/>
      <c r="E9" s="19"/>
      <c r="F9" s="19"/>
      <c r="G9" s="19"/>
      <c r="H9" s="19"/>
      <c r="I9" s="19"/>
      <c r="J9" s="19"/>
      <c r="K9" s="19"/>
      <c r="L9" s="19"/>
      <c r="M9" s="19"/>
      <c r="N9" s="19"/>
      <c r="O9" s="19"/>
      <c r="P9" s="19"/>
    </row>
    <row r="10" spans="1:16">
      <c r="A10" s="24" t="s">
        <v>213</v>
      </c>
      <c r="B10" s="25">
        <f ca="1">'EF ele_warmte'!B12</f>
        <v>0.20625443361550297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25590.840926421639</v>
      </c>
      <c r="C12" s="23">
        <f ca="1">C10*C8</f>
        <v>0</v>
      </c>
      <c r="D12" s="23">
        <f>D8*D10</f>
        <v>77360.50850324468</v>
      </c>
      <c r="E12" s="23">
        <f>E10*E8</f>
        <v>2075.9882875085173</v>
      </c>
      <c r="F12" s="23">
        <f>F10*F8</f>
        <v>9339.4906485023475</v>
      </c>
      <c r="G12" s="23"/>
      <c r="H12" s="23"/>
      <c r="I12" s="23"/>
      <c r="J12" s="23">
        <f>J10*J8</f>
        <v>397.48896242448455</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19024</v>
      </c>
      <c r="C18" s="168" t="s">
        <v>110</v>
      </c>
      <c r="D18" s="230"/>
      <c r="E18" s="15"/>
    </row>
    <row r="19" spans="1:7">
      <c r="A19" s="173" t="s">
        <v>71</v>
      </c>
      <c r="B19" s="37">
        <f>aantalw2001_ander</f>
        <v>7</v>
      </c>
      <c r="C19" s="168" t="s">
        <v>110</v>
      </c>
      <c r="D19" s="231"/>
      <c r="E19" s="15"/>
    </row>
    <row r="20" spans="1:7">
      <c r="A20" s="173" t="s">
        <v>72</v>
      </c>
      <c r="B20" s="37">
        <f>aantalw2001_propaan</f>
        <v>196</v>
      </c>
      <c r="C20" s="169">
        <f>IF(ISERROR(B20/SUM($B$20,$B$21,$B$22)*100),0,B20/SUM($B$20,$B$21,$B$22)*100)</f>
        <v>6.4283371597244994</v>
      </c>
      <c r="D20" s="231"/>
      <c r="E20" s="15"/>
    </row>
    <row r="21" spans="1:7">
      <c r="A21" s="173" t="s">
        <v>73</v>
      </c>
      <c r="B21" s="37">
        <f>aantalw2001_elektriciteit</f>
        <v>2575</v>
      </c>
      <c r="C21" s="169">
        <f>IF(ISERROR(B21/SUM($B$20,$B$21,$B$22)*100),0,B21/SUM($B$20,$B$21,$B$22)*100)</f>
        <v>84.453919317809124</v>
      </c>
      <c r="D21" s="231"/>
      <c r="E21" s="15"/>
    </row>
    <row r="22" spans="1:7">
      <c r="A22" s="173" t="s">
        <v>74</v>
      </c>
      <c r="B22" s="37">
        <f>aantalw2001_hout</f>
        <v>278</v>
      </c>
      <c r="C22" s="169">
        <f>IF(ISERROR(B22/SUM($B$20,$B$21,$B$22)*100),0,B22/SUM($B$20,$B$21,$B$22)*100)</f>
        <v>9.1177435224663839</v>
      </c>
      <c r="D22" s="231"/>
      <c r="E22" s="15"/>
    </row>
    <row r="23" spans="1:7">
      <c r="A23" s="173" t="s">
        <v>75</v>
      </c>
      <c r="B23" s="37">
        <f>aantalw2001_niet_gespec</f>
        <v>715</v>
      </c>
      <c r="C23" s="168" t="s">
        <v>110</v>
      </c>
      <c r="D23" s="230"/>
      <c r="E23" s="15"/>
    </row>
    <row r="24" spans="1:7">
      <c r="A24" s="173" t="s">
        <v>76</v>
      </c>
      <c r="B24" s="37">
        <f>aantalw2001_steenkool</f>
        <v>618</v>
      </c>
      <c r="C24" s="168" t="s">
        <v>110</v>
      </c>
      <c r="D24" s="231"/>
      <c r="E24" s="15"/>
    </row>
    <row r="25" spans="1:7">
      <c r="A25" s="173" t="s">
        <v>77</v>
      </c>
      <c r="B25" s="37">
        <f>aantalw2001_stookolie</f>
        <v>6763</v>
      </c>
      <c r="C25" s="168" t="s">
        <v>110</v>
      </c>
      <c r="D25" s="230"/>
      <c r="E25" s="52"/>
    </row>
    <row r="26" spans="1:7">
      <c r="A26" s="173" t="s">
        <v>78</v>
      </c>
      <c r="B26" s="37">
        <f>aantalw2001_WP</f>
        <v>22</v>
      </c>
      <c r="C26" s="168" t="s">
        <v>110</v>
      </c>
      <c r="D26" s="230"/>
      <c r="E26" s="15"/>
    </row>
    <row r="27" spans="1:7" s="15" customFormat="1">
      <c r="A27" s="173"/>
      <c r="B27" s="29"/>
      <c r="C27" s="36"/>
      <c r="D27" s="230"/>
    </row>
    <row r="28" spans="1:7" s="15" customFormat="1">
      <c r="A28" s="232" t="s">
        <v>742</v>
      </c>
      <c r="B28" s="37">
        <f>aantalHuishoudens</f>
        <v>32652</v>
      </c>
      <c r="C28" s="36"/>
      <c r="D28" s="230"/>
    </row>
    <row r="29" spans="1:7" s="15" customFormat="1">
      <c r="A29" s="232" t="s">
        <v>743</v>
      </c>
      <c r="B29" s="37">
        <f>SUM(HH_hh_gas_aantal,HH_rest_gas_aantal)</f>
        <v>24887</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24887</v>
      </c>
      <c r="C32" s="169">
        <f>IF(ISERROR(B32/SUM($B$32,$B$34,$B$35,$B$36,$B$38,$B$39)*100),0,B32/SUM($B$32,$B$34,$B$35,$B$36,$B$38,$B$39)*100)</f>
        <v>76.31942101873716</v>
      </c>
      <c r="D32" s="235"/>
      <c r="G32" s="15"/>
    </row>
    <row r="33" spans="1:7">
      <c r="A33" s="173" t="s">
        <v>71</v>
      </c>
      <c r="B33" s="34" t="s">
        <v>110</v>
      </c>
      <c r="C33" s="169"/>
      <c r="D33" s="235"/>
      <c r="G33" s="15"/>
    </row>
    <row r="34" spans="1:7">
      <c r="A34" s="173" t="s">
        <v>72</v>
      </c>
      <c r="B34" s="33">
        <f>IF((($B$28-$B$32-$B$39-$B$77-$B$38)*C20/100)&lt;0,0,($B$28-$B$32-$B$39-$B$77-$B$38)*C20/100)</f>
        <v>398.81403738930794</v>
      </c>
      <c r="C34" s="169">
        <f>IF(ISERROR(B34/SUM($B$32,$B$34,$B$35,$B$36,$B$38,$B$39)*100),0,B34/SUM($B$32,$B$34,$B$35,$B$36,$B$38,$B$39)*100)</f>
        <v>1.2230182998230794</v>
      </c>
      <c r="D34" s="235"/>
      <c r="G34" s="15"/>
    </row>
    <row r="35" spans="1:7">
      <c r="A35" s="173" t="s">
        <v>73</v>
      </c>
      <c r="B35" s="33">
        <f>IF((($B$28-$B$32-$B$39-$B$77-$B$38)*C21/100)&lt;0,0,($B$28-$B$32-$B$39-$B$77-$B$38)*C21/100)</f>
        <v>5239.5211544768781</v>
      </c>
      <c r="C35" s="169">
        <f>IF(ISERROR(B35/SUM($B$32,$B$34,$B$35,$B$36,$B$38,$B$39)*100),0,B35/SUM($B$32,$B$34,$B$35,$B$36,$B$38,$B$39)*100)</f>
        <v>16.067714908389949</v>
      </c>
      <c r="D35" s="235"/>
      <c r="G35" s="15"/>
    </row>
    <row r="36" spans="1:7">
      <c r="A36" s="173" t="s">
        <v>74</v>
      </c>
      <c r="B36" s="33">
        <f>IF((($B$28-$B$32-$B$39-$B$77-$B$38)*C22/100)&lt;0,0,($B$28-$B$32-$B$39-$B$77-$B$38)*C22/100)</f>
        <v>565.6648081338144</v>
      </c>
      <c r="C36" s="169">
        <f>IF(ISERROR(B36/SUM($B$32,$B$34,$B$35,$B$36,$B$38,$B$39)*100),0,B36/SUM($B$32,$B$34,$B$35,$B$36,$B$38,$B$39)*100)</f>
        <v>1.7346892211776332</v>
      </c>
      <c r="D36" s="235"/>
      <c r="G36" s="15"/>
    </row>
    <row r="37" spans="1:7">
      <c r="A37" s="173" t="s">
        <v>75</v>
      </c>
      <c r="B37" s="34" t="s">
        <v>110</v>
      </c>
      <c r="C37" s="169"/>
      <c r="D37" s="175"/>
      <c r="G37" s="15"/>
    </row>
    <row r="38" spans="1:7">
      <c r="A38" s="173" t="s">
        <v>76</v>
      </c>
      <c r="B38" s="33">
        <f>IF((B24-(B29-B18)*0.1)&lt;0,0,B24-(B29-B18)*0.1)</f>
        <v>31.699999999999932</v>
      </c>
      <c r="C38" s="169">
        <f>IF(ISERROR(B38/SUM($B$32,$B$34,$B$35,$B$36,$B$38,$B$39)*100),0,B38/SUM($B$32,$B$34,$B$35,$B$36,$B$38,$B$39)*100)</f>
        <v>9.7212426017356968E-2</v>
      </c>
      <c r="D38" s="236"/>
      <c r="G38" s="15"/>
    </row>
    <row r="39" spans="1:7">
      <c r="A39" s="173" t="s">
        <v>77</v>
      </c>
      <c r="B39" s="33">
        <f>IF((B25-(B29-B18))&lt;0,0,B25-(B29-B18)*0.9)</f>
        <v>1486.3000000000002</v>
      </c>
      <c r="C39" s="169">
        <f>IF(ISERROR(B39/SUM($B$32,$B$34,$B$35,$B$36,$B$38,$B$39)*100),0,B39/SUM($B$32,$B$34,$B$35,$B$36,$B$38,$B$39)*100)</f>
        <v>4.5579441258548261</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24887</v>
      </c>
      <c r="C44" s="34" t="s">
        <v>110</v>
      </c>
      <c r="D44" s="176"/>
    </row>
    <row r="45" spans="1:7">
      <c r="A45" s="173" t="s">
        <v>71</v>
      </c>
      <c r="B45" s="33" t="str">
        <f t="shared" si="0"/>
        <v>-</v>
      </c>
      <c r="C45" s="34" t="s">
        <v>110</v>
      </c>
      <c r="D45" s="176"/>
    </row>
    <row r="46" spans="1:7">
      <c r="A46" s="173" t="s">
        <v>72</v>
      </c>
      <c r="B46" s="33">
        <f t="shared" si="0"/>
        <v>398.81403738930794</v>
      </c>
      <c r="C46" s="34" t="s">
        <v>110</v>
      </c>
      <c r="D46" s="176"/>
    </row>
    <row r="47" spans="1:7">
      <c r="A47" s="173" t="s">
        <v>73</v>
      </c>
      <c r="B47" s="33">
        <f t="shared" si="0"/>
        <v>5239.5211544768781</v>
      </c>
      <c r="C47" s="34" t="s">
        <v>110</v>
      </c>
      <c r="D47" s="176"/>
    </row>
    <row r="48" spans="1:7">
      <c r="A48" s="173" t="s">
        <v>74</v>
      </c>
      <c r="B48" s="33">
        <f t="shared" si="0"/>
        <v>565.6648081338144</v>
      </c>
      <c r="C48" s="33">
        <f>B48*10</f>
        <v>5656.648081338144</v>
      </c>
      <c r="D48" s="236"/>
    </row>
    <row r="49" spans="1:6">
      <c r="A49" s="173" t="s">
        <v>75</v>
      </c>
      <c r="B49" s="33" t="str">
        <f t="shared" si="0"/>
        <v>-</v>
      </c>
      <c r="C49" s="34" t="s">
        <v>110</v>
      </c>
      <c r="D49" s="236"/>
    </row>
    <row r="50" spans="1:6">
      <c r="A50" s="173" t="s">
        <v>76</v>
      </c>
      <c r="B50" s="33">
        <f t="shared" si="0"/>
        <v>31.699999999999932</v>
      </c>
      <c r="C50" s="33">
        <f>B50*2</f>
        <v>63.399999999999864</v>
      </c>
      <c r="D50" s="236"/>
    </row>
    <row r="51" spans="1:6">
      <c r="A51" s="173" t="s">
        <v>77</v>
      </c>
      <c r="B51" s="33">
        <f t="shared" si="0"/>
        <v>1486.3000000000002</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373</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43</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181706.31087097086</v>
      </c>
      <c r="C5" s="17">
        <f>IF(ISERROR('Eigen informatie GS &amp; warmtenet'!B58),0,'Eigen informatie GS &amp; warmtenet'!B58)</f>
        <v>0</v>
      </c>
      <c r="D5" s="30">
        <f>SUM(D6:D12)</f>
        <v>227623.73480443691</v>
      </c>
      <c r="E5" s="17">
        <f>SUM(E6:E12)</f>
        <v>2176.1772351718528</v>
      </c>
      <c r="F5" s="17">
        <f>SUM(F6:F12)</f>
        <v>36146.665529761041</v>
      </c>
      <c r="G5" s="18"/>
      <c r="H5" s="17"/>
      <c r="I5" s="17"/>
      <c r="J5" s="17">
        <f>SUM(J6:J12)</f>
        <v>0</v>
      </c>
      <c r="K5" s="17"/>
      <c r="L5" s="17"/>
      <c r="M5" s="17"/>
      <c r="N5" s="17">
        <f>SUM(N6:N12)</f>
        <v>14227.928792307694</v>
      </c>
      <c r="O5" s="17">
        <f>B38*B39*B40</f>
        <v>9.3800000000000008</v>
      </c>
      <c r="P5" s="17">
        <f>B46*B47*B48/1000-B46*B47*B48/1000/B49</f>
        <v>114.4</v>
      </c>
      <c r="R5" s="32"/>
    </row>
    <row r="6" spans="1:18">
      <c r="A6" s="32" t="s">
        <v>53</v>
      </c>
      <c r="B6" s="37">
        <f>B26</f>
        <v>49832.479065624699</v>
      </c>
      <c r="C6" s="33"/>
      <c r="D6" s="37">
        <f>IF(ISERROR(TER_kantoor_gas_kWh/1000),0,TER_kantoor_gas_kWh/1000)*0.902</f>
        <v>64305.01032522579</v>
      </c>
      <c r="E6" s="33">
        <f>$C$26*'E Balans VL '!I12/100/3.6*1000000</f>
        <v>193.609731320473</v>
      </c>
      <c r="F6" s="33">
        <f>$C$26*('E Balans VL '!L12+'E Balans VL '!N12)/100/3.6*1000000</f>
        <v>7579.0666264733463</v>
      </c>
      <c r="G6" s="34"/>
      <c r="H6" s="33"/>
      <c r="I6" s="33"/>
      <c r="J6" s="33">
        <f>$C$26*('E Balans VL '!D12+'E Balans VL '!E12)/100/3.6*1000000</f>
        <v>0</v>
      </c>
      <c r="K6" s="33"/>
      <c r="L6" s="33"/>
      <c r="M6" s="33"/>
      <c r="N6" s="33">
        <f>$C$26*'E Balans VL '!Y12/100/3.6*1000000</f>
        <v>27.463665749133735</v>
      </c>
      <c r="O6" s="33"/>
      <c r="P6" s="33"/>
      <c r="R6" s="32"/>
    </row>
    <row r="7" spans="1:18">
      <c r="A7" s="32" t="s">
        <v>52</v>
      </c>
      <c r="B7" s="37">
        <f t="shared" ref="B7:B12" si="0">B27</f>
        <v>18165.142109582099</v>
      </c>
      <c r="C7" s="33"/>
      <c r="D7" s="37">
        <f>IF(ISERROR(TER_horeca_gas_kWh/1000),0,TER_horeca_gas_kWh/1000)*0.902</f>
        <v>26385.547174172167</v>
      </c>
      <c r="E7" s="33">
        <f>$C$27*'E Balans VL '!I9/100/3.6*1000000</f>
        <v>1023.2473115871137</v>
      </c>
      <c r="F7" s="33">
        <f>$C$27*('E Balans VL '!L9+'E Balans VL '!N9)/100/3.6*1000000</f>
        <v>5237.7394595461055</v>
      </c>
      <c r="G7" s="34"/>
      <c r="H7" s="33"/>
      <c r="I7" s="33"/>
      <c r="J7" s="33">
        <f>$C$27*('E Balans VL '!D9+'E Balans VL '!E9)/100/3.6*1000000</f>
        <v>0</v>
      </c>
      <c r="K7" s="33"/>
      <c r="L7" s="33"/>
      <c r="M7" s="33"/>
      <c r="N7" s="33">
        <f>$C$27*'E Balans VL '!Y9/100/3.6*1000000</f>
        <v>5.015301341495884</v>
      </c>
      <c r="O7" s="33"/>
      <c r="P7" s="33"/>
      <c r="R7" s="32"/>
    </row>
    <row r="8" spans="1:18">
      <c r="A8" s="6" t="s">
        <v>51</v>
      </c>
      <c r="B8" s="37">
        <f t="shared" si="0"/>
        <v>45626.228635056301</v>
      </c>
      <c r="C8" s="33"/>
      <c r="D8" s="37">
        <f>IF(ISERROR(TER_handel_gas_kWh/1000),0,TER_handel_gas_kWh/1000)*0.902</f>
        <v>31997.23493046264</v>
      </c>
      <c r="E8" s="33">
        <f>$C$28*'E Balans VL '!I13/100/3.6*1000000</f>
        <v>657.62874902664282</v>
      </c>
      <c r="F8" s="33">
        <f>$C$28*('E Balans VL '!L13+'E Balans VL '!N13)/100/3.6*1000000</f>
        <v>7926.3384770736475</v>
      </c>
      <c r="G8" s="34"/>
      <c r="H8" s="33"/>
      <c r="I8" s="33"/>
      <c r="J8" s="33">
        <f>$C$28*('E Balans VL '!D13+'E Balans VL '!E13)/100/3.6*1000000</f>
        <v>0</v>
      </c>
      <c r="K8" s="33"/>
      <c r="L8" s="33"/>
      <c r="M8" s="33"/>
      <c r="N8" s="33">
        <f>$C$28*'E Balans VL '!Y13/100/3.6*1000000</f>
        <v>136.70126020703296</v>
      </c>
      <c r="O8" s="33"/>
      <c r="P8" s="33"/>
      <c r="R8" s="32"/>
    </row>
    <row r="9" spans="1:18">
      <c r="A9" s="32" t="s">
        <v>50</v>
      </c>
      <c r="B9" s="37">
        <f t="shared" si="0"/>
        <v>28046.429579051302</v>
      </c>
      <c r="C9" s="33"/>
      <c r="D9" s="37">
        <f>IF(ISERROR(TER_gezond_gas_kWh/1000),0,TER_gezond_gas_kWh/1000)*0.902</f>
        <v>35460.982045292425</v>
      </c>
      <c r="E9" s="33">
        <f>$C$29*'E Balans VL '!I10/100/3.6*1000000</f>
        <v>29.960856158014622</v>
      </c>
      <c r="F9" s="33">
        <f>$C$29*('E Balans VL '!L10+'E Balans VL '!N10)/100/3.6*1000000</f>
        <v>4575.2250273233003</v>
      </c>
      <c r="G9" s="34"/>
      <c r="H9" s="33"/>
      <c r="I9" s="33"/>
      <c r="J9" s="33">
        <f>$C$29*('E Balans VL '!D10+'E Balans VL '!E10)/100/3.6*1000000</f>
        <v>0</v>
      </c>
      <c r="K9" s="33"/>
      <c r="L9" s="33"/>
      <c r="M9" s="33"/>
      <c r="N9" s="33">
        <f>$C$29*'E Balans VL '!Y10/100/3.6*1000000</f>
        <v>288.72198954287956</v>
      </c>
      <c r="O9" s="33"/>
      <c r="P9" s="33"/>
      <c r="R9" s="32"/>
    </row>
    <row r="10" spans="1:18">
      <c r="A10" s="32" t="s">
        <v>49</v>
      </c>
      <c r="B10" s="37">
        <f t="shared" si="0"/>
        <v>18069.725508283602</v>
      </c>
      <c r="C10" s="33"/>
      <c r="D10" s="37">
        <f>IF(ISERROR(TER_ander_gas_kWh/1000),0,TER_ander_gas_kWh/1000)*0.902</f>
        <v>28172.368634029131</v>
      </c>
      <c r="E10" s="33">
        <f>$C$30*'E Balans VL '!I14/100/3.6*1000000</f>
        <v>83.099919003307207</v>
      </c>
      <c r="F10" s="33">
        <f>$C$30*('E Balans VL '!L14+'E Balans VL '!N14)/100/3.6*1000000</f>
        <v>5416.066705203094</v>
      </c>
      <c r="G10" s="34"/>
      <c r="H10" s="33"/>
      <c r="I10" s="33"/>
      <c r="J10" s="33">
        <f>$C$30*('E Balans VL '!D14+'E Balans VL '!E14)/100/3.6*1000000</f>
        <v>0</v>
      </c>
      <c r="K10" s="33"/>
      <c r="L10" s="33"/>
      <c r="M10" s="33"/>
      <c r="N10" s="33">
        <f>$C$30*'E Balans VL '!Y14/100/3.6*1000000</f>
        <v>12577.721750236127</v>
      </c>
      <c r="O10" s="33"/>
      <c r="P10" s="33"/>
      <c r="R10" s="32"/>
    </row>
    <row r="11" spans="1:18">
      <c r="A11" s="32" t="s">
        <v>54</v>
      </c>
      <c r="B11" s="37">
        <f t="shared" si="0"/>
        <v>6946.1343139706996</v>
      </c>
      <c r="C11" s="33"/>
      <c r="D11" s="37">
        <f>IF(ISERROR(TER_onderwijs_gas_kWh/1000),0,TER_onderwijs_gas_kWh/1000)*0.902</f>
        <v>16526.534157036931</v>
      </c>
      <c r="E11" s="33">
        <f>$C$31*'E Balans VL '!I11/100/3.6*1000000</f>
        <v>6.4434530538448307</v>
      </c>
      <c r="F11" s="33">
        <f>$C$31*('E Balans VL '!L11+'E Balans VL '!N11)/100/3.6*1000000</f>
        <v>2440.0173390786008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15020.171659402198</v>
      </c>
      <c r="C12" s="33"/>
      <c r="D12" s="37">
        <f>IF(ISERROR(TER_rest_gas_kWh/1000),0,TER_rest_gas_kWh/1000)*0.902</f>
        <v>24776.057538217861</v>
      </c>
      <c r="E12" s="33">
        <f>$C$32*'E Balans VL '!I8/100/3.6*1000000</f>
        <v>182.18721502245668</v>
      </c>
      <c r="F12" s="33">
        <f>$C$32*('E Balans VL '!L8+'E Balans VL '!N8)/100/3.6*1000000</f>
        <v>2972.2118950629447</v>
      </c>
      <c r="G12" s="34"/>
      <c r="H12" s="33"/>
      <c r="I12" s="33"/>
      <c r="J12" s="33">
        <f>$C$32*('E Balans VL '!D8+'E Balans VL '!E8)/100/3.6*1000000</f>
        <v>0</v>
      </c>
      <c r="K12" s="33"/>
      <c r="L12" s="33"/>
      <c r="M12" s="33"/>
      <c r="N12" s="33">
        <f>$C$32*'E Balans VL '!Y8/100/3.6*1000000</f>
        <v>1192.3048252310236</v>
      </c>
      <c r="O12" s="33"/>
      <c r="P12" s="33"/>
      <c r="R12" s="32"/>
    </row>
    <row r="13" spans="1:18">
      <c r="A13" s="16" t="s">
        <v>496</v>
      </c>
      <c r="B13" s="249">
        <f ca="1">'lokale energieproductie'!N38+'lokale energieproductie'!N31</f>
        <v>641.25</v>
      </c>
      <c r="C13" s="249">
        <f ca="1">'lokale energieproductie'!O38+'lokale energieproductie'!O31</f>
        <v>916.07142857142856</v>
      </c>
      <c r="D13" s="310">
        <f ca="1">('lokale energieproductie'!P31+'lokale energieproductie'!P38)*(-1)</f>
        <v>-1832.1428571428573</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182347.56087097086</v>
      </c>
      <c r="C16" s="21">
        <f t="shared" ca="1" si="1"/>
        <v>916.07142857142856</v>
      </c>
      <c r="D16" s="21">
        <f t="shared" ca="1" si="1"/>
        <v>225791.59194729404</v>
      </c>
      <c r="E16" s="21">
        <f t="shared" si="1"/>
        <v>2176.1772351718528</v>
      </c>
      <c r="F16" s="21">
        <f t="shared" ca="1" si="1"/>
        <v>36146.665529761041</v>
      </c>
      <c r="G16" s="21">
        <f t="shared" si="1"/>
        <v>0</v>
      </c>
      <c r="H16" s="21">
        <f t="shared" si="1"/>
        <v>0</v>
      </c>
      <c r="I16" s="21">
        <f t="shared" si="1"/>
        <v>0</v>
      </c>
      <c r="J16" s="21">
        <f t="shared" si="1"/>
        <v>0</v>
      </c>
      <c r="K16" s="21">
        <f t="shared" si="1"/>
        <v>0</v>
      </c>
      <c r="L16" s="21">
        <f t="shared" ca="1" si="1"/>
        <v>0</v>
      </c>
      <c r="M16" s="21">
        <f t="shared" si="1"/>
        <v>0</v>
      </c>
      <c r="N16" s="21">
        <f t="shared" ca="1" si="1"/>
        <v>14227.928792307694</v>
      </c>
      <c r="O16" s="21">
        <f>O5</f>
        <v>9.3800000000000008</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0.20625443361550297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37609.992888610548</v>
      </c>
      <c r="C20" s="23">
        <f t="shared" ref="C20:P20" ca="1" si="2">C16*C18</f>
        <v>217.70168067226894</v>
      </c>
      <c r="D20" s="23">
        <f t="shared" ca="1" si="2"/>
        <v>45609.901573353403</v>
      </c>
      <c r="E20" s="23">
        <f t="shared" si="2"/>
        <v>493.99223238401061</v>
      </c>
      <c r="F20" s="23">
        <f t="shared" ca="1" si="2"/>
        <v>9651.1596964461987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49832.479065624699</v>
      </c>
      <c r="C26" s="39">
        <f>IF(ISERROR(B26*3.6/1000000/'E Balans VL '!Z12*100),0,B26*3.6/1000000/'E Balans VL '!Z12*100)</f>
        <v>1.0584665391551473</v>
      </c>
      <c r="D26" s="239" t="s">
        <v>689</v>
      </c>
      <c r="F26" s="6"/>
    </row>
    <row r="27" spans="1:18">
      <c r="A27" s="233" t="s">
        <v>52</v>
      </c>
      <c r="B27" s="33">
        <f>IF(ISERROR(TER_horeca_ele_kWh/1000),0,TER_horeca_ele_kWh/1000)</f>
        <v>18165.142109582099</v>
      </c>
      <c r="C27" s="39">
        <f>IF(ISERROR(B27*3.6/1000000/'E Balans VL '!Z9*100),0,B27*3.6/1000000/'E Balans VL '!Z9*100)</f>
        <v>1.4124504261577095</v>
      </c>
      <c r="D27" s="239" t="s">
        <v>689</v>
      </c>
      <c r="F27" s="6"/>
    </row>
    <row r="28" spans="1:18">
      <c r="A28" s="173" t="s">
        <v>51</v>
      </c>
      <c r="B28" s="33">
        <f>IF(ISERROR(TER_handel_ele_kWh/1000),0,TER_handel_ele_kWh/1000)</f>
        <v>45626.228635056301</v>
      </c>
      <c r="C28" s="39">
        <f>IF(ISERROR(B28*3.6/1000000/'E Balans VL '!Z13*100),0,B28*3.6/1000000/'E Balans VL '!Z13*100)</f>
        <v>1.3054200979485104</v>
      </c>
      <c r="D28" s="239" t="s">
        <v>689</v>
      </c>
      <c r="F28" s="6"/>
    </row>
    <row r="29" spans="1:18">
      <c r="A29" s="233" t="s">
        <v>50</v>
      </c>
      <c r="B29" s="33">
        <f>IF(ISERROR(TER_gezond_ele_kWh/1000),0,TER_gezond_ele_kWh/1000)</f>
        <v>28046.429579051302</v>
      </c>
      <c r="C29" s="39">
        <f>IF(ISERROR(B29*3.6/1000000/'E Balans VL '!Z10*100),0,B29*3.6/1000000/'E Balans VL '!Z10*100)</f>
        <v>3.0577125449779365</v>
      </c>
      <c r="D29" s="239" t="s">
        <v>689</v>
      </c>
      <c r="F29" s="6"/>
    </row>
    <row r="30" spans="1:18">
      <c r="A30" s="233" t="s">
        <v>49</v>
      </c>
      <c r="B30" s="33">
        <f>IF(ISERROR(TER_ander_ele_kWh/1000),0,TER_ander_ele_kWh/1000)</f>
        <v>18069.725508283602</v>
      </c>
      <c r="C30" s="39">
        <f>IF(ISERROR(B30*3.6/1000000/'E Balans VL '!Z14*100),0,B30*3.6/1000000/'E Balans VL '!Z14*100)</f>
        <v>1.3223015224955694</v>
      </c>
      <c r="D30" s="239" t="s">
        <v>689</v>
      </c>
      <c r="F30" s="6"/>
    </row>
    <row r="31" spans="1:18">
      <c r="A31" s="233" t="s">
        <v>54</v>
      </c>
      <c r="B31" s="33">
        <f>IF(ISERROR(TER_onderwijs_ele_kWh/1000),0,TER_onderwijs_ele_kWh/1000)</f>
        <v>6946.1343139706996</v>
      </c>
      <c r="C31" s="39">
        <f>IF(ISERROR(B31*3.6/1000000/'E Balans VL '!Z11*100),0,B31*3.6/1000000/'E Balans VL '!Z11*100)</f>
        <v>1.3951362350181236</v>
      </c>
      <c r="D31" s="239" t="s">
        <v>689</v>
      </c>
    </row>
    <row r="32" spans="1:18">
      <c r="A32" s="233" t="s">
        <v>259</v>
      </c>
      <c r="B32" s="33">
        <f>IF(ISERROR(TER_rest_ele_kWh/1000),0,TER_rest_ele_kWh/1000)</f>
        <v>15020.171659402198</v>
      </c>
      <c r="C32" s="39">
        <f>IF(ISERROR(B32*3.6/1000000/'E Balans VL '!Z8*100),0,B32*3.6/1000000/'E Balans VL '!Z8*100)</f>
        <v>0.12240528374508777</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6</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6</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110645.1962711403</v>
      </c>
      <c r="C5" s="17">
        <f>IF(ISERROR('Eigen informatie GS &amp; warmtenet'!B59),0,'Eigen informatie GS &amp; warmtenet'!B59)</f>
        <v>0</v>
      </c>
      <c r="D5" s="30">
        <f>SUM(D6:D15)</f>
        <v>172008.17314977638</v>
      </c>
      <c r="E5" s="17">
        <f>SUM(E6:E15)</f>
        <v>8618.0512881426494</v>
      </c>
      <c r="F5" s="17">
        <f>SUM(F6:F15)</f>
        <v>40544.063914110651</v>
      </c>
      <c r="G5" s="18"/>
      <c r="H5" s="17"/>
      <c r="I5" s="17"/>
      <c r="J5" s="17">
        <f>SUM(J6:J15)</f>
        <v>166.53195200742917</v>
      </c>
      <c r="K5" s="17"/>
      <c r="L5" s="17"/>
      <c r="M5" s="17"/>
      <c r="N5" s="17">
        <f>SUM(N6:N15)</f>
        <v>8825.2308374934419</v>
      </c>
      <c r="O5" s="17">
        <f>B43*B44*B45</f>
        <v>0</v>
      </c>
      <c r="P5" s="17">
        <f>B51*B52*B53/1000-B51*B52*B53/1000/B54</f>
        <v>0</v>
      </c>
      <c r="R5" s="32"/>
    </row>
    <row r="6" spans="1:18">
      <c r="A6" s="6" t="s">
        <v>34</v>
      </c>
      <c r="B6" s="37">
        <f>IF( ISERROR(IND_ijzer_ele_kWh/1000),0,IND_ijzer_ele_kWh/1000)</f>
        <v>193.71470609580999</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38.234068586366796</v>
      </c>
      <c r="C7" s="33"/>
      <c r="D7" s="37">
        <f>IF( ISERROR(IND_nonf_gas_kWhh/1000),0,IND_nonf_gas_kWh/1000)*0.902</f>
        <v>0</v>
      </c>
      <c r="E7" s="33">
        <f>C29*'E Balans VL '!I17/100/3.6*1000000</f>
        <v>9.0369668896022604E-3</v>
      </c>
      <c r="F7" s="33">
        <f>C29*'E Balans VL '!L17/100/3.6*1000000+C29*'E Balans VL '!N17/100/3.6*1000000</f>
        <v>8.6878673999348166</v>
      </c>
      <c r="G7" s="34"/>
      <c r="H7" s="33"/>
      <c r="I7" s="33"/>
      <c r="J7" s="40">
        <f>C29*'E Balans VL '!D17/100/3.6*1000000+C29*'E Balans VL '!E17/100/3.6*1000000</f>
        <v>12.191889531767886</v>
      </c>
      <c r="K7" s="33"/>
      <c r="L7" s="33"/>
      <c r="M7" s="33"/>
      <c r="N7" s="33">
        <f>C29*'E Balans VL '!Y17/100/3.6*1000000</f>
        <v>0</v>
      </c>
      <c r="O7" s="33"/>
      <c r="P7" s="33"/>
      <c r="R7" s="32"/>
    </row>
    <row r="8" spans="1:18">
      <c r="A8" s="6" t="s">
        <v>35</v>
      </c>
      <c r="B8" s="37">
        <f t="shared" si="0"/>
        <v>12565.5235919553</v>
      </c>
      <c r="C8" s="33"/>
      <c r="D8" s="37">
        <f>IF( ISERROR(IND_metaal_Gas_kWH/1000),0,IND_metaal_Gas_kWH/1000)*0.902</f>
        <v>1485.6771488299555</v>
      </c>
      <c r="E8" s="33">
        <f>C30*'E Balans VL '!I18/100/3.6*1000000</f>
        <v>360.92900275036305</v>
      </c>
      <c r="F8" s="33">
        <f>C30*'E Balans VL '!L18/100/3.6*1000000+C30*'E Balans VL '!N18/100/3.6*1000000</f>
        <v>3222.815131587191</v>
      </c>
      <c r="G8" s="34"/>
      <c r="H8" s="33"/>
      <c r="I8" s="33"/>
      <c r="J8" s="40">
        <f>C30*'E Balans VL '!D18/100/3.6*1000000+C30*'E Balans VL '!E18/100/3.6*1000000</f>
        <v>0</v>
      </c>
      <c r="K8" s="33"/>
      <c r="L8" s="33"/>
      <c r="M8" s="33"/>
      <c r="N8" s="33">
        <f>C30*'E Balans VL '!Y18/100/3.6*1000000</f>
        <v>341.17961538925238</v>
      </c>
      <c r="O8" s="33"/>
      <c r="P8" s="33"/>
      <c r="R8" s="32"/>
    </row>
    <row r="9" spans="1:18">
      <c r="A9" s="6" t="s">
        <v>32</v>
      </c>
      <c r="B9" s="37">
        <f t="shared" si="0"/>
        <v>15270.479122361399</v>
      </c>
      <c r="C9" s="33"/>
      <c r="D9" s="37">
        <f>IF( ISERROR(IND_andere_gas_kWh/1000),0,IND_andere_gas_kWh/1000)*0.902</f>
        <v>10026.93456572481</v>
      </c>
      <c r="E9" s="33">
        <f>C31*'E Balans VL '!I19/100/3.6*1000000</f>
        <v>4133.3432425354222</v>
      </c>
      <c r="F9" s="33">
        <f>C31*'E Balans VL '!L19/100/3.6*1000000+C31*'E Balans VL '!N19/100/3.6*1000000</f>
        <v>10171.755049740927</v>
      </c>
      <c r="G9" s="34"/>
      <c r="H9" s="33"/>
      <c r="I9" s="33"/>
      <c r="J9" s="40">
        <f>C31*'E Balans VL '!D19/100/3.6*1000000+C31*'E Balans VL '!E19/100/3.6*1000000</f>
        <v>0</v>
      </c>
      <c r="K9" s="33"/>
      <c r="L9" s="33"/>
      <c r="M9" s="33"/>
      <c r="N9" s="33">
        <f>C31*'E Balans VL '!Y19/100/3.6*1000000</f>
        <v>1291.0178544227845</v>
      </c>
      <c r="O9" s="33"/>
      <c r="P9" s="33"/>
      <c r="R9" s="32"/>
    </row>
    <row r="10" spans="1:18">
      <c r="A10" s="6" t="s">
        <v>40</v>
      </c>
      <c r="B10" s="37">
        <f t="shared" si="0"/>
        <v>8088.7467201889503</v>
      </c>
      <c r="C10" s="33"/>
      <c r="D10" s="37">
        <f>IF( ISERROR(IND_voed_gas_kWh/1000),0,IND_voed_gas_kWh/1000)*0.902</f>
        <v>13681.014586639656</v>
      </c>
      <c r="E10" s="33">
        <f>C32*'E Balans VL '!I20/100/3.6*1000000</f>
        <v>659.73676591063486</v>
      </c>
      <c r="F10" s="33">
        <f>C32*'E Balans VL '!L20/100/3.6*1000000+C32*'E Balans VL '!N20/100/3.6*1000000</f>
        <v>12061.05523520729</v>
      </c>
      <c r="G10" s="34"/>
      <c r="H10" s="33"/>
      <c r="I10" s="33"/>
      <c r="J10" s="40">
        <f>C32*'E Balans VL '!D20/100/3.6*1000000+C32*'E Balans VL '!E20/100/3.6*1000000</f>
        <v>0.10700430068672873</v>
      </c>
      <c r="K10" s="33"/>
      <c r="L10" s="33"/>
      <c r="M10" s="33"/>
      <c r="N10" s="33">
        <f>C32*'E Balans VL '!Y20/100/3.6*1000000</f>
        <v>2376.1883652961042</v>
      </c>
      <c r="O10" s="33"/>
      <c r="P10" s="33"/>
      <c r="R10" s="32"/>
    </row>
    <row r="11" spans="1:18">
      <c r="A11" s="6" t="s">
        <v>39</v>
      </c>
      <c r="B11" s="37">
        <f t="shared" si="0"/>
        <v>3472.8577179424101</v>
      </c>
      <c r="C11" s="33"/>
      <c r="D11" s="37">
        <f>IF( ISERROR(IND_textiel_gas_kWh/1000),0,IND_textiel_gas_kWh/1000)*0.902</f>
        <v>846.76211120732751</v>
      </c>
      <c r="E11" s="33">
        <f>C33*'E Balans VL '!I21/100/3.6*1000000</f>
        <v>0.68839145335708674</v>
      </c>
      <c r="F11" s="33">
        <f>C33*'E Balans VL '!L21/100/3.6*1000000+C33*'E Balans VL '!N21/100/3.6*1000000</f>
        <v>127.90953976803152</v>
      </c>
      <c r="G11" s="34"/>
      <c r="H11" s="33"/>
      <c r="I11" s="33"/>
      <c r="J11" s="40">
        <f>C33*'E Balans VL '!D21/100/3.6*1000000+C33*'E Balans VL '!E21/100/3.6*1000000</f>
        <v>0</v>
      </c>
      <c r="K11" s="33"/>
      <c r="L11" s="33"/>
      <c r="M11" s="33"/>
      <c r="N11" s="33">
        <f>C33*'E Balans VL '!Y21/100/3.6*1000000</f>
        <v>16.147911693816692</v>
      </c>
      <c r="O11" s="33"/>
      <c r="P11" s="33"/>
      <c r="R11" s="32"/>
    </row>
    <row r="12" spans="1:18">
      <c r="A12" s="6" t="s">
        <v>36</v>
      </c>
      <c r="B12" s="37">
        <f t="shared" si="0"/>
        <v>73.026904809863311</v>
      </c>
      <c r="C12" s="33"/>
      <c r="D12" s="37">
        <f>IF( ISERROR(IND_min_gas_kWh/1000),0,IND_min_gas_kWh/1000)*0.902</f>
        <v>362.59178447746154</v>
      </c>
      <c r="E12" s="33">
        <f>C34*'E Balans VL '!I22/100/3.6*1000000</f>
        <v>0.56886367658357517</v>
      </c>
      <c r="F12" s="33">
        <f>C34*'E Balans VL '!L22/100/3.6*1000000+C34*'E Balans VL '!N22/100/3.6*1000000</f>
        <v>27.541260853917269</v>
      </c>
      <c r="G12" s="34"/>
      <c r="H12" s="33"/>
      <c r="I12" s="33"/>
      <c r="J12" s="40">
        <f>C34*'E Balans VL '!D22/100/3.6*1000000+C34*'E Balans VL '!E22/100/3.6*1000000</f>
        <v>0.40164159149817913</v>
      </c>
      <c r="K12" s="33"/>
      <c r="L12" s="33"/>
      <c r="M12" s="33"/>
      <c r="N12" s="33">
        <f>C34*'E Balans VL '!Y22/100/3.6*1000000</f>
        <v>0</v>
      </c>
      <c r="O12" s="33"/>
      <c r="P12" s="33"/>
      <c r="R12" s="32"/>
    </row>
    <row r="13" spans="1:18">
      <c r="A13" s="6" t="s">
        <v>38</v>
      </c>
      <c r="B13" s="37">
        <f t="shared" si="0"/>
        <v>10924.0249722429</v>
      </c>
      <c r="C13" s="33"/>
      <c r="D13" s="37">
        <f>IF( ISERROR(IND_papier_gas_kWh/1000),0,IND_papier_gas_kWh/1000)*0.902</f>
        <v>11473.556945548276</v>
      </c>
      <c r="E13" s="33">
        <f>C35*'E Balans VL '!I23/100/3.6*1000000</f>
        <v>114.44906272900305</v>
      </c>
      <c r="F13" s="33">
        <f>C35*'E Balans VL '!L23/100/3.6*1000000+C35*'E Balans VL '!N23/100/3.6*1000000</f>
        <v>815.15267966885585</v>
      </c>
      <c r="G13" s="34"/>
      <c r="H13" s="33"/>
      <c r="I13" s="33"/>
      <c r="J13" s="40">
        <f>C35*'E Balans VL '!D23/100/3.6*1000000+C35*'E Balans VL '!E23/100/3.6*1000000</f>
        <v>0</v>
      </c>
      <c r="K13" s="33"/>
      <c r="L13" s="33"/>
      <c r="M13" s="33"/>
      <c r="N13" s="33">
        <f>C35*'E Balans VL '!Y23/100/3.6*1000000</f>
        <v>2015.2464028514132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60018.588466957299</v>
      </c>
      <c r="C15" s="33"/>
      <c r="D15" s="37">
        <f>IF( ISERROR(IND_rest_gas_kWh/1000),0,IND_rest_gas_kWh/1000)*0.902</f>
        <v>134131.63600734889</v>
      </c>
      <c r="E15" s="33">
        <f>C37*'E Balans VL '!I15/100/3.6*1000000</f>
        <v>3348.326922120395</v>
      </c>
      <c r="F15" s="33">
        <f>C37*'E Balans VL '!L15/100/3.6*1000000+C37*'E Balans VL '!N15/100/3.6*1000000</f>
        <v>14109.147149884502</v>
      </c>
      <c r="G15" s="34"/>
      <c r="H15" s="33"/>
      <c r="I15" s="33"/>
      <c r="J15" s="40">
        <f>C37*'E Balans VL '!D15/100/3.6*1000000+C37*'E Balans VL '!E15/100/3.6*1000000</f>
        <v>153.83141658347637</v>
      </c>
      <c r="K15" s="33"/>
      <c r="L15" s="33"/>
      <c r="M15" s="33"/>
      <c r="N15" s="33">
        <f>C37*'E Balans VL '!Y15/100/3.6*1000000</f>
        <v>2785.4506878400712</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110645.1962711403</v>
      </c>
      <c r="C18" s="21">
        <f>C5+C16</f>
        <v>0</v>
      </c>
      <c r="D18" s="21">
        <f>MAX((D5+D16),0)</f>
        <v>172008.17314977638</v>
      </c>
      <c r="E18" s="21">
        <f>MAX((E5+E16),0)</f>
        <v>8618.0512881426494</v>
      </c>
      <c r="F18" s="21">
        <f>MAX((F5+F16),0)</f>
        <v>40544.063914110651</v>
      </c>
      <c r="G18" s="21"/>
      <c r="H18" s="21"/>
      <c r="I18" s="21"/>
      <c r="J18" s="21">
        <f>MAX((J5+J16),0)</f>
        <v>166.53195200742917</v>
      </c>
      <c r="K18" s="21"/>
      <c r="L18" s="21">
        <f>MAX((L5+L16),0)</f>
        <v>0</v>
      </c>
      <c r="M18" s="21"/>
      <c r="N18" s="21">
        <f>MAX((N5+N16),0)</f>
        <v>8825.2308374934419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0.20625443361550297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22821.062289180205</v>
      </c>
      <c r="C22" s="23">
        <f ca="1">C18*C20</f>
        <v>0</v>
      </c>
      <c r="D22" s="23">
        <f>D18*D20</f>
        <v>34745.65097625483</v>
      </c>
      <c r="E22" s="23">
        <f>E18*E20</f>
        <v>1956.2976424083815</v>
      </c>
      <c r="F22" s="23">
        <f>F18*F20</f>
        <v>10825.265065067544</v>
      </c>
      <c r="G22" s="23"/>
      <c r="H22" s="23"/>
      <c r="I22" s="23"/>
      <c r="J22" s="23">
        <f>J18*J20</f>
        <v>58.95231101062992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38.234068586366796</v>
      </c>
      <c r="C29" s="39">
        <f>IF(ISERROR(B29*3.6/1000000/'E Balans VL '!Z17*100),0,B29*3.6/1000000/'E Balans VL '!Z17*100)</f>
        <v>4.1552128636794465E-2</v>
      </c>
      <c r="D29" s="239" t="s">
        <v>689</v>
      </c>
    </row>
    <row r="30" spans="1:18">
      <c r="A30" s="173" t="s">
        <v>35</v>
      </c>
      <c r="B30" s="37">
        <f>IF( ISERROR(IND_metaal_ele_kWh/1000),0,IND_metaal_ele_kWh/1000)</f>
        <v>12565.5235919553</v>
      </c>
      <c r="C30" s="39">
        <f>IF(ISERROR(B30*3.6/1000000/'E Balans VL '!Z18*100),0,B30*3.6/1000000/'E Balans VL '!Z18*100)</f>
        <v>1.2364154450836078</v>
      </c>
      <c r="D30" s="239" t="s">
        <v>689</v>
      </c>
    </row>
    <row r="31" spans="1:18">
      <c r="A31" s="6" t="s">
        <v>32</v>
      </c>
      <c r="B31" s="37">
        <f>IF( ISERROR(IND_ander_ele_kWh/1000),0,IND_ander_ele_kWh/1000)</f>
        <v>15270.479122361399</v>
      </c>
      <c r="C31" s="39">
        <f>IF(ISERROR(B31*3.6/1000000/'E Balans VL '!Z19*100),0,B31*3.6/1000000/'E Balans VL '!Z19*100)</f>
        <v>0.66501718463763515</v>
      </c>
      <c r="D31" s="239" t="s">
        <v>689</v>
      </c>
    </row>
    <row r="32" spans="1:18">
      <c r="A32" s="173" t="s">
        <v>40</v>
      </c>
      <c r="B32" s="37">
        <f>IF( ISERROR(IND_voed_ele_kWh/1000),0,IND_voed_ele_kWh/1000)</f>
        <v>8088.7467201889503</v>
      </c>
      <c r="C32" s="39">
        <f>IF(ISERROR(B32*3.6/1000000/'E Balans VL '!Z20*100),0,B32*3.6/1000000/'E Balans VL '!Z20*100)</f>
        <v>1.5347230377378815</v>
      </c>
      <c r="D32" s="239" t="s">
        <v>689</v>
      </c>
    </row>
    <row r="33" spans="1:5">
      <c r="A33" s="173" t="s">
        <v>39</v>
      </c>
      <c r="B33" s="37">
        <f>IF( ISERROR(IND_textiel_ele_kWh/1000),0,IND_textiel_ele_kWh/1000)</f>
        <v>3472.8577179424101</v>
      </c>
      <c r="C33" s="39">
        <f>IF(ISERROR(B33*3.6/1000000/'E Balans VL '!Z21*100),0,B33*3.6/1000000/'E Balans VL '!Z21*100)</f>
        <v>0.19828256394617674</v>
      </c>
      <c r="D33" s="239" t="s">
        <v>689</v>
      </c>
    </row>
    <row r="34" spans="1:5">
      <c r="A34" s="173" t="s">
        <v>36</v>
      </c>
      <c r="B34" s="37">
        <f>IF( ISERROR(IND_min_ele_kWh/1000),0,IND_min_ele_kWh/1000)</f>
        <v>73.026904809863311</v>
      </c>
      <c r="C34" s="39">
        <f>IF(ISERROR(B34*3.6/1000000/'E Balans VL '!Z22*100),0,B34*3.6/1000000/'E Balans VL '!Z22*100)</f>
        <v>1.0268316129587776E-2</v>
      </c>
      <c r="D34" s="239" t="s">
        <v>689</v>
      </c>
    </row>
    <row r="35" spans="1:5">
      <c r="A35" s="173" t="s">
        <v>38</v>
      </c>
      <c r="B35" s="37">
        <f>IF( ISERROR(IND_papier_ele_kWh/1000),0,IND_papier_ele_kWh/1000)</f>
        <v>10924.0249722429</v>
      </c>
      <c r="C35" s="39">
        <f>IF(ISERROR(B35*3.6/1000000/'E Balans VL '!Z22*100),0,B35*3.6/1000000/'E Balans VL '!Z22*100)</f>
        <v>1.5360276067369503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60018.588466957299</v>
      </c>
      <c r="C37" s="39">
        <f>IF(ISERROR(B37*3.6/1000000/'E Balans VL '!Z15*100),0,B37*3.6/1000000/'E Balans VL '!Z15*100)</f>
        <v>0.46251694215993217</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2773.2729691383697</v>
      </c>
      <c r="C5" s="17">
        <f>'Eigen informatie GS &amp; warmtenet'!B60</f>
        <v>0</v>
      </c>
      <c r="D5" s="30">
        <f>IF(ISERROR(SUM(LB_lb_gas_kWh,LB_rest_gas_kWh)/1000),0,SUM(LB_lb_gas_kWh,LB_rest_gas_kWh)/1000)*0.902</f>
        <v>869.22376544013684</v>
      </c>
      <c r="E5" s="17">
        <f>B17*'E Balans VL '!I25/3.6*1000000/100</f>
        <v>34.946812113131536</v>
      </c>
      <c r="F5" s="17">
        <f>B17*('E Balans VL '!L25/3.6*1000000+'E Balans VL '!N25/3.6*1000000)/100</f>
        <v>9568.4864899189452</v>
      </c>
      <c r="G5" s="18"/>
      <c r="H5" s="17"/>
      <c r="I5" s="17"/>
      <c r="J5" s="17">
        <f>('E Balans VL '!D25+'E Balans VL '!E25)/3.6*1000000*landbouw!B17/100</f>
        <v>417.06872910393446</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2773.2729691383697</v>
      </c>
      <c r="C8" s="21">
        <f>C5+C6</f>
        <v>0</v>
      </c>
      <c r="D8" s="21">
        <f>MAX((D5+D6),0)</f>
        <v>869.22376544013684</v>
      </c>
      <c r="E8" s="21">
        <f>MAX((E5+E6),0)</f>
        <v>34.946812113131536</v>
      </c>
      <c r="F8" s="21">
        <f>MAX((F5+F6),0)</f>
        <v>9568.4864899189452</v>
      </c>
      <c r="G8" s="21"/>
      <c r="H8" s="21"/>
      <c r="I8" s="21"/>
      <c r="J8" s="21">
        <f>MAX((J5+J6),0)</f>
        <v>417.06872910393446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0.20625443361550297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571.99984551081866</v>
      </c>
      <c r="C12" s="23">
        <f ca="1">C8*C10</f>
        <v>0</v>
      </c>
      <c r="D12" s="23">
        <f>D8*D10</f>
        <v>175.58320061890765</v>
      </c>
      <c r="E12" s="23">
        <f>E8*E10</f>
        <v>7.9329263496808586</v>
      </c>
      <c r="F12" s="23">
        <f>F8*F10</f>
        <v>2554.7858928083583</v>
      </c>
      <c r="G12" s="23"/>
      <c r="H12" s="23"/>
      <c r="I12" s="23"/>
      <c r="J12" s="23">
        <f>J8*J10</f>
        <v>147.64233010279278</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0.38678417070455479</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419.75849173140585</v>
      </c>
      <c r="C26" s="249">
        <f>B26*'GWP N2O_CH4'!B5</f>
        <v>8814.9283263595225</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127.38772680342223</v>
      </c>
      <c r="C27" s="249">
        <f>B27*'GWP N2O_CH4'!B5</f>
        <v>2675.1422628718669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5.9183138180648669</v>
      </c>
      <c r="C28" s="249">
        <f>B28*'GWP N2O_CH4'!B4</f>
        <v>1834.6772836001087</v>
      </c>
      <c r="D28" s="50"/>
    </row>
    <row r="29" spans="1:4">
      <c r="A29" s="41" t="s">
        <v>276</v>
      </c>
      <c r="B29" s="249">
        <f>B34*'ha_N2O bodem landbouw'!B4</f>
        <v>21.890593772118443</v>
      </c>
      <c r="C29" s="249">
        <f>B29*'GWP N2O_CH4'!B4</f>
        <v>6786.084069356717</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5.4658625279800106E-3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9.0648147492492195E-5</v>
      </c>
      <c r="C5" s="444" t="s">
        <v>210</v>
      </c>
      <c r="D5" s="429">
        <f>SUM(D6:D11)</f>
        <v>1.4879135034773019E-4</v>
      </c>
      <c r="E5" s="429">
        <f>SUM(E6:E11)</f>
        <v>5.7871796735023875E-3</v>
      </c>
      <c r="F5" s="442" t="s">
        <v>210</v>
      </c>
      <c r="G5" s="429">
        <f>SUM(G6:G11)</f>
        <v>2.0775252023450599</v>
      </c>
      <c r="H5" s="429">
        <f>SUM(H6:H11)</f>
        <v>0.27665941482831946</v>
      </c>
      <c r="I5" s="444" t="s">
        <v>210</v>
      </c>
      <c r="J5" s="444" t="s">
        <v>210</v>
      </c>
      <c r="K5" s="444" t="s">
        <v>210</v>
      </c>
      <c r="L5" s="444" t="s">
        <v>210</v>
      </c>
      <c r="M5" s="429">
        <f>SUM(M6:M11)</f>
        <v>0.10641354946232987</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3.6494701686770103E-5</v>
      </c>
      <c r="C6" s="883"/>
      <c r="D6" s="883">
        <f>vkm_GW_PW*SUMIFS(TableVerdeelsleutelVkm[CNG],TableVerdeelsleutelVkm[Voertuigtype],"Lichte voertuigen")*SUMIFS(TableECFTransport[EnergieConsumptieFactor (PJ per km)],TableECFTransport[Index],CONCATENATE($A6,"_CNG_CNG"))</f>
        <v>5.4084060882334377E-5</v>
      </c>
      <c r="E6" s="883">
        <f>vkm_GW_PW*SUMIFS(TableVerdeelsleutelVkm[LPG],TableVerdeelsleutelVkm[Voertuigtype],"Lichte voertuigen")*SUMIFS(TableECFTransport[EnergieConsumptieFactor (PJ per km)],TableECFTransport[Index],CONCATENATE($A6,"_LPG_LPG"))</f>
        <v>1.9370934355944266E-3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0.38984588122887881</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9.9591702604666169E-2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2.2141885829993806E-2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0.27924057635173305</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6.4879719585326572E-6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1.2608147880728201E-2</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1.4096854487725699E-5</v>
      </c>
      <c r="C8" s="883"/>
      <c r="D8" s="432">
        <f>vkm_NGW_PW*SUMIFS(TableVerdeelsleutelVkm[CNG],TableVerdeelsleutelVkm[Voertuigtype],"Lichte voertuigen")*SUMIFS(TableECFTransport[EnergieConsumptieFactor (PJ per km)],TableECFTransport[Index],CONCATENATE($A8,"_CNG_CNG"))</f>
        <v>3.5452753187492585E-5</v>
      </c>
      <c r="E8" s="432">
        <f>vkm_NGW_PW*SUMIFS(TableVerdeelsleutelVkm[LPG],TableVerdeelsleutelVkm[Voertuigtype],"Lichte voertuigen")*SUMIFS(TableECFTransport[EnergieConsumptieFactor (PJ per km)],TableECFTransport[Index],CONCATENATE($A8,"_LPG_LPG"))</f>
        <v>1.2006650275756586E-3</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0.22953601401939397</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6.2731715699319082E-2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1.3223455817287958E-2</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3.3044555542691229E-2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8.8991362753996077E-7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1.4920188293332355E-3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4.0056591317996396E-5</v>
      </c>
      <c r="C10" s="883"/>
      <c r="D10" s="432">
        <f>vkm_SW_PW*SUMIFS(TableVerdeelsleutelVkm[CNG],TableVerdeelsleutelVkm[Voertuigtype],"Lichte voertuigen")*SUMIFS(TableECFTransport[EnergieConsumptieFactor (PJ per km)],TableECFTransport[Index],CONCATENATE($A10,"_CNG_CNG"))</f>
        <v>5.9254536277903221E-5</v>
      </c>
      <c r="E10" s="432">
        <f>vkm_SW_PW*SUMIFS(TableVerdeelsleutelVkm[LPG],TableVerdeelsleutelVkm[Voertuigtype],"Lichte voertuigen")*SUMIFS(TableECFTransport[EnergieConsumptieFactor (PJ per km)],TableECFTransport[Index],CONCATENATE($A10,"_LPG_LPG"))</f>
        <v>2.6494212103323018E-3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0.48336639107973017</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0.11431219976299119</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2.7035456200639123E-2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0.66249178412263254</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1.6418875756924117E-5</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2.991258490434753E-2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25.180040970136719</v>
      </c>
      <c r="C14" s="21"/>
      <c r="D14" s="21">
        <f t="shared" ref="D14:M14" si="0">((D5)*10^9/3600)+D12</f>
        <v>41.330930652147273</v>
      </c>
      <c r="E14" s="21">
        <f t="shared" si="0"/>
        <v>1607.5499093062188</v>
      </c>
      <c r="F14" s="21"/>
      <c r="G14" s="21">
        <f t="shared" si="0"/>
        <v>577090.3339847388</v>
      </c>
      <c r="H14" s="21">
        <f t="shared" si="0"/>
        <v>76849.837452310967</v>
      </c>
      <c r="I14" s="21"/>
      <c r="J14" s="21"/>
      <c r="K14" s="21"/>
      <c r="L14" s="21"/>
      <c r="M14" s="21">
        <f t="shared" si="0"/>
        <v>29559.319295091627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0.20625443361550297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5.1934950887107085</v>
      </c>
      <c r="C18" s="23"/>
      <c r="D18" s="23">
        <f t="shared" ref="D18:M18" si="1">D14*D16</f>
        <v>8.3488479917337504</v>
      </c>
      <c r="E18" s="23">
        <f t="shared" si="1"/>
        <v>364.91382941251169</v>
      </c>
      <c r="F18" s="23"/>
      <c r="G18" s="23">
        <f t="shared" si="1"/>
        <v>154083.11917392525</v>
      </c>
      <c r="H18" s="23">
        <f t="shared" si="1"/>
        <v>19135.60952562543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3.7931344690313382E-2</v>
      </c>
      <c r="H50" s="321">
        <f t="shared" si="2"/>
        <v>0</v>
      </c>
      <c r="I50" s="321">
        <f t="shared" si="2"/>
        <v>0</v>
      </c>
      <c r="J50" s="321">
        <f t="shared" si="2"/>
        <v>0</v>
      </c>
      <c r="K50" s="321">
        <f t="shared" si="2"/>
        <v>0</v>
      </c>
      <c r="L50" s="321">
        <f t="shared" si="2"/>
        <v>0</v>
      </c>
      <c r="M50" s="321">
        <f t="shared" si="2"/>
        <v>1.6883555324708405E-3</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3.7931344690313382E-2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1.6883555324708405E-3</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10536.484636198162</v>
      </c>
      <c r="H54" s="21">
        <f t="shared" si="3"/>
        <v>0</v>
      </c>
      <c r="I54" s="21">
        <f t="shared" si="3"/>
        <v>0</v>
      </c>
      <c r="J54" s="21">
        <f t="shared" si="3"/>
        <v>0</v>
      </c>
      <c r="K54" s="21">
        <f t="shared" si="3"/>
        <v>0</v>
      </c>
      <c r="L54" s="21">
        <f t="shared" si="3"/>
        <v>0</v>
      </c>
      <c r="M54" s="21">
        <f t="shared" si="3"/>
        <v>468.98764790856683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0.20625443361550297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2813.2413978649092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188987.91287097087</v>
      </c>
      <c r="D10" s="686">
        <f ca="1">tertiair!C16</f>
        <v>916.07142857142856</v>
      </c>
      <c r="E10" s="686">
        <f ca="1">tertiair!D16</f>
        <v>225791.59194729404</v>
      </c>
      <c r="F10" s="686">
        <f>tertiair!E16</f>
        <v>2176.1772351718528</v>
      </c>
      <c r="G10" s="686">
        <f ca="1">tertiair!F16</f>
        <v>36146.665529761041</v>
      </c>
      <c r="H10" s="686">
        <f>tertiair!G16</f>
        <v>0</v>
      </c>
      <c r="I10" s="686">
        <f>tertiair!H16</f>
        <v>0</v>
      </c>
      <c r="J10" s="686">
        <f>tertiair!I16</f>
        <v>0</v>
      </c>
      <c r="K10" s="686">
        <f>tertiair!J16</f>
        <v>0</v>
      </c>
      <c r="L10" s="686">
        <f>tertiair!K16</f>
        <v>0</v>
      </c>
      <c r="M10" s="686">
        <f ca="1">tertiair!L16</f>
        <v>0</v>
      </c>
      <c r="N10" s="686">
        <f>tertiair!M16</f>
        <v>0</v>
      </c>
      <c r="O10" s="686">
        <f ca="1">tertiair!N16</f>
        <v>14227.928792307694</v>
      </c>
      <c r="P10" s="686">
        <f>tertiair!O16</f>
        <v>9.3800000000000008</v>
      </c>
      <c r="Q10" s="687">
        <f>tertiair!P16</f>
        <v>114.4</v>
      </c>
      <c r="R10" s="689">
        <f ca="1">SUM(C10:Q10)</f>
        <v>468370.12780407694</v>
      </c>
      <c r="S10" s="67"/>
    </row>
    <row r="11" spans="1:19" s="454" customFormat="1">
      <c r="A11" s="801" t="s">
        <v>224</v>
      </c>
      <c r="B11" s="806"/>
      <c r="C11" s="686">
        <f>huishoudens!B8</f>
        <v>124074.13735467997</v>
      </c>
      <c r="D11" s="686">
        <f>huishoudens!C8</f>
        <v>0</v>
      </c>
      <c r="E11" s="686">
        <f>huishoudens!D8</f>
        <v>382972.81437249837</v>
      </c>
      <c r="F11" s="686">
        <f>huishoudens!E8</f>
        <v>9145.3228524604274</v>
      </c>
      <c r="G11" s="686">
        <f>huishoudens!F8</f>
        <v>34979.36572472789</v>
      </c>
      <c r="H11" s="686">
        <f>huishoudens!G8</f>
        <v>0</v>
      </c>
      <c r="I11" s="686">
        <f>huishoudens!H8</f>
        <v>0</v>
      </c>
      <c r="J11" s="686">
        <f>huishoudens!I8</f>
        <v>0</v>
      </c>
      <c r="K11" s="686">
        <f>huishoudens!J8</f>
        <v>1122.8501763403519</v>
      </c>
      <c r="L11" s="686">
        <f>huishoudens!K8</f>
        <v>0</v>
      </c>
      <c r="M11" s="686">
        <f>huishoudens!L8</f>
        <v>0</v>
      </c>
      <c r="N11" s="686">
        <f>huishoudens!M8</f>
        <v>0</v>
      </c>
      <c r="O11" s="686">
        <f>huishoudens!N8</f>
        <v>44400.878496718236</v>
      </c>
      <c r="P11" s="686">
        <f>huishoudens!O8</f>
        <v>583.12333333333345</v>
      </c>
      <c r="Q11" s="687">
        <f>huishoudens!P8</f>
        <v>819.86666666666667</v>
      </c>
      <c r="R11" s="689">
        <f>SUM(C11:Q11)</f>
        <v>598098.35897742526</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110645.1962711403</v>
      </c>
      <c r="D13" s="686">
        <f>industrie!C18</f>
        <v>0</v>
      </c>
      <c r="E13" s="686">
        <f>industrie!D18</f>
        <v>172008.17314977638</v>
      </c>
      <c r="F13" s="686">
        <f>industrie!E18</f>
        <v>8618.0512881426494</v>
      </c>
      <c r="G13" s="686">
        <f>industrie!F18</f>
        <v>40544.063914110651</v>
      </c>
      <c r="H13" s="686">
        <f>industrie!G18</f>
        <v>0</v>
      </c>
      <c r="I13" s="686">
        <f>industrie!H18</f>
        <v>0</v>
      </c>
      <c r="J13" s="686">
        <f>industrie!I18</f>
        <v>0</v>
      </c>
      <c r="K13" s="686">
        <f>industrie!J18</f>
        <v>166.53195200742917</v>
      </c>
      <c r="L13" s="686">
        <f>industrie!K18</f>
        <v>0</v>
      </c>
      <c r="M13" s="686">
        <f>industrie!L18</f>
        <v>0</v>
      </c>
      <c r="N13" s="686">
        <f>industrie!M18</f>
        <v>0</v>
      </c>
      <c r="O13" s="686">
        <f>industrie!N18</f>
        <v>8825.2308374934419</v>
      </c>
      <c r="P13" s="686">
        <f>industrie!O18</f>
        <v>0</v>
      </c>
      <c r="Q13" s="687">
        <f>industrie!P18</f>
        <v>0</v>
      </c>
      <c r="R13" s="689">
        <f>SUM(C13:Q13)</f>
        <v>340807.24741267081</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423707.24649679114</v>
      </c>
      <c r="D16" s="721">
        <f t="shared" ref="D16:R16" ca="1" si="0">SUM(D9:D15)</f>
        <v>916.07142857142856</v>
      </c>
      <c r="E16" s="721">
        <f t="shared" ca="1" si="0"/>
        <v>780772.57946956879</v>
      </c>
      <c r="F16" s="721">
        <f t="shared" si="0"/>
        <v>19939.551375774929</v>
      </c>
      <c r="G16" s="721">
        <f t="shared" ca="1" si="0"/>
        <v>111670.09516859958</v>
      </c>
      <c r="H16" s="721">
        <f t="shared" si="0"/>
        <v>0</v>
      </c>
      <c r="I16" s="721">
        <f t="shared" si="0"/>
        <v>0</v>
      </c>
      <c r="J16" s="721">
        <f t="shared" si="0"/>
        <v>0</v>
      </c>
      <c r="K16" s="721">
        <f t="shared" si="0"/>
        <v>1289.3821283477812</v>
      </c>
      <c r="L16" s="721">
        <f t="shared" si="0"/>
        <v>0</v>
      </c>
      <c r="M16" s="721">
        <f t="shared" ca="1" si="0"/>
        <v>0</v>
      </c>
      <c r="N16" s="721">
        <f t="shared" si="0"/>
        <v>0</v>
      </c>
      <c r="O16" s="721">
        <f t="shared" ca="1" si="0"/>
        <v>67454.038126519372</v>
      </c>
      <c r="P16" s="721">
        <f t="shared" si="0"/>
        <v>592.50333333333344</v>
      </c>
      <c r="Q16" s="721">
        <f t="shared" si="0"/>
        <v>934.26666666666665</v>
      </c>
      <c r="R16" s="721">
        <f t="shared" ca="1" si="0"/>
        <v>1407275.734194173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10536.484636198162</v>
      </c>
      <c r="I19" s="686">
        <f>transport!H54</f>
        <v>0</v>
      </c>
      <c r="J19" s="686">
        <f>transport!I54</f>
        <v>0</v>
      </c>
      <c r="K19" s="686">
        <f>transport!J54</f>
        <v>0</v>
      </c>
      <c r="L19" s="686">
        <f>transport!K54</f>
        <v>0</v>
      </c>
      <c r="M19" s="686">
        <f>transport!L54</f>
        <v>0</v>
      </c>
      <c r="N19" s="686">
        <f>transport!M54</f>
        <v>468.98764790856683</v>
      </c>
      <c r="O19" s="686">
        <f>transport!N54</f>
        <v>0</v>
      </c>
      <c r="P19" s="686">
        <f>transport!O54</f>
        <v>0</v>
      </c>
      <c r="Q19" s="687">
        <f>transport!P54</f>
        <v>0</v>
      </c>
      <c r="R19" s="689">
        <f>SUM(C19:Q19)</f>
        <v>11005.472284106729</v>
      </c>
      <c r="S19" s="67"/>
    </row>
    <row r="20" spans="1:19" s="454" customFormat="1">
      <c r="A20" s="801" t="s">
        <v>306</v>
      </c>
      <c r="B20" s="806"/>
      <c r="C20" s="686">
        <f>transport!B14</f>
        <v>25.180040970136719</v>
      </c>
      <c r="D20" s="686">
        <f>transport!C14</f>
        <v>0</v>
      </c>
      <c r="E20" s="686">
        <f>transport!D14</f>
        <v>41.330930652147273</v>
      </c>
      <c r="F20" s="686">
        <f>transport!E14</f>
        <v>1607.5499093062188</v>
      </c>
      <c r="G20" s="686">
        <f>transport!F14</f>
        <v>0</v>
      </c>
      <c r="H20" s="686">
        <f>transport!G14</f>
        <v>577090.3339847388</v>
      </c>
      <c r="I20" s="686">
        <f>transport!H14</f>
        <v>76849.837452310967</v>
      </c>
      <c r="J20" s="686">
        <f>transport!I14</f>
        <v>0</v>
      </c>
      <c r="K20" s="686">
        <f>transport!J14</f>
        <v>0</v>
      </c>
      <c r="L20" s="686">
        <f>transport!K14</f>
        <v>0</v>
      </c>
      <c r="M20" s="686">
        <f>transport!L14</f>
        <v>0</v>
      </c>
      <c r="N20" s="686">
        <f>transport!M14</f>
        <v>29559.319295091627</v>
      </c>
      <c r="O20" s="686">
        <f>transport!N14</f>
        <v>0</v>
      </c>
      <c r="P20" s="686">
        <f>transport!O14</f>
        <v>0</v>
      </c>
      <c r="Q20" s="687">
        <f>transport!P14</f>
        <v>0</v>
      </c>
      <c r="R20" s="689">
        <f>SUM(C20:Q20)</f>
        <v>685173.55161306995</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25.180040970136719</v>
      </c>
      <c r="D22" s="804">
        <f t="shared" ref="D22:R22" si="1">SUM(D18:D21)</f>
        <v>0</v>
      </c>
      <c r="E22" s="804">
        <f t="shared" si="1"/>
        <v>41.330930652147273</v>
      </c>
      <c r="F22" s="804">
        <f t="shared" si="1"/>
        <v>1607.5499093062188</v>
      </c>
      <c r="G22" s="804">
        <f t="shared" si="1"/>
        <v>0</v>
      </c>
      <c r="H22" s="804">
        <f t="shared" si="1"/>
        <v>587626.81862093695</v>
      </c>
      <c r="I22" s="804">
        <f t="shared" si="1"/>
        <v>76849.837452310967</v>
      </c>
      <c r="J22" s="804">
        <f t="shared" si="1"/>
        <v>0</v>
      </c>
      <c r="K22" s="804">
        <f t="shared" si="1"/>
        <v>0</v>
      </c>
      <c r="L22" s="804">
        <f t="shared" si="1"/>
        <v>0</v>
      </c>
      <c r="M22" s="804">
        <f t="shared" si="1"/>
        <v>0</v>
      </c>
      <c r="N22" s="804">
        <f t="shared" si="1"/>
        <v>30028.306943000192</v>
      </c>
      <c r="O22" s="804">
        <f t="shared" si="1"/>
        <v>0</v>
      </c>
      <c r="P22" s="804">
        <f t="shared" si="1"/>
        <v>0</v>
      </c>
      <c r="Q22" s="804">
        <f t="shared" si="1"/>
        <v>0</v>
      </c>
      <c r="R22" s="804">
        <f t="shared" si="1"/>
        <v>696179.02389717672</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2773.2729691383697</v>
      </c>
      <c r="D24" s="686">
        <f>+landbouw!C8</f>
        <v>0</v>
      </c>
      <c r="E24" s="686">
        <f>+landbouw!D8</f>
        <v>869.22376544013684</v>
      </c>
      <c r="F24" s="686">
        <f>+landbouw!E8</f>
        <v>34.946812113131536</v>
      </c>
      <c r="G24" s="686">
        <f>+landbouw!F8</f>
        <v>9568.4864899189452</v>
      </c>
      <c r="H24" s="686">
        <f>+landbouw!G8</f>
        <v>0</v>
      </c>
      <c r="I24" s="686">
        <f>+landbouw!H8</f>
        <v>0</v>
      </c>
      <c r="J24" s="686">
        <f>+landbouw!I8</f>
        <v>0</v>
      </c>
      <c r="K24" s="686">
        <f>+landbouw!J8</f>
        <v>417.06872910393446</v>
      </c>
      <c r="L24" s="686">
        <f>+landbouw!K8</f>
        <v>0</v>
      </c>
      <c r="M24" s="686">
        <f>+landbouw!L8</f>
        <v>0</v>
      </c>
      <c r="N24" s="686">
        <f>+landbouw!M8</f>
        <v>0</v>
      </c>
      <c r="O24" s="686">
        <f>+landbouw!N8</f>
        <v>0</v>
      </c>
      <c r="P24" s="686">
        <f>+landbouw!O8</f>
        <v>0</v>
      </c>
      <c r="Q24" s="687">
        <f>+landbouw!P8</f>
        <v>0</v>
      </c>
      <c r="R24" s="689">
        <f>SUM(C24:Q24)</f>
        <v>13662.998765714518</v>
      </c>
      <c r="S24" s="67"/>
    </row>
    <row r="25" spans="1:19" s="454" customFormat="1" ht="15" thickBot="1">
      <c r="A25" s="823" t="s">
        <v>856</v>
      </c>
      <c r="B25" s="991"/>
      <c r="C25" s="992">
        <f>IF(Onbekend_ele_kWh="---",0,Onbekend_ele_kWh)/1000+IF(REST_rest_ele_kWh="---",0,REST_rest_ele_kWh)/1000</f>
        <v>6734.5586168093296</v>
      </c>
      <c r="D25" s="992"/>
      <c r="E25" s="992">
        <f>IF(onbekend_gas_kWh="---",0,onbekend_gas_kWh)/1000+IF(REST_rest_gas_kWh="---",0,REST_rest_gas_kWh)/1000</f>
        <v>44272.450099726499</v>
      </c>
      <c r="F25" s="992"/>
      <c r="G25" s="992"/>
      <c r="H25" s="992"/>
      <c r="I25" s="992"/>
      <c r="J25" s="992"/>
      <c r="K25" s="992"/>
      <c r="L25" s="992"/>
      <c r="M25" s="992"/>
      <c r="N25" s="992"/>
      <c r="O25" s="992"/>
      <c r="P25" s="992"/>
      <c r="Q25" s="993"/>
      <c r="R25" s="689">
        <f>SUM(C25:Q25)</f>
        <v>51007.008716535827</v>
      </c>
      <c r="S25" s="67"/>
    </row>
    <row r="26" spans="1:19" s="454" customFormat="1" ht="15.75" thickBot="1">
      <c r="A26" s="694" t="s">
        <v>857</v>
      </c>
      <c r="B26" s="809"/>
      <c r="C26" s="804">
        <f>SUM(C24:C25)</f>
        <v>9507.8315859476988</v>
      </c>
      <c r="D26" s="804">
        <f t="shared" ref="D26:R26" si="2">SUM(D24:D25)</f>
        <v>0</v>
      </c>
      <c r="E26" s="804">
        <f t="shared" si="2"/>
        <v>45141.673865166638</v>
      </c>
      <c r="F26" s="804">
        <f t="shared" si="2"/>
        <v>34.946812113131536</v>
      </c>
      <c r="G26" s="804">
        <f t="shared" si="2"/>
        <v>9568.4864899189452</v>
      </c>
      <c r="H26" s="804">
        <f t="shared" si="2"/>
        <v>0</v>
      </c>
      <c r="I26" s="804">
        <f t="shared" si="2"/>
        <v>0</v>
      </c>
      <c r="J26" s="804">
        <f t="shared" si="2"/>
        <v>0</v>
      </c>
      <c r="K26" s="804">
        <f t="shared" si="2"/>
        <v>417.06872910393446</v>
      </c>
      <c r="L26" s="804">
        <f t="shared" si="2"/>
        <v>0</v>
      </c>
      <c r="M26" s="804">
        <f t="shared" si="2"/>
        <v>0</v>
      </c>
      <c r="N26" s="804">
        <f t="shared" si="2"/>
        <v>0</v>
      </c>
      <c r="O26" s="804">
        <f t="shared" si="2"/>
        <v>0</v>
      </c>
      <c r="P26" s="804">
        <f t="shared" si="2"/>
        <v>0</v>
      </c>
      <c r="Q26" s="804">
        <f t="shared" si="2"/>
        <v>0</v>
      </c>
      <c r="R26" s="804">
        <f t="shared" si="2"/>
        <v>64670.007482250345</v>
      </c>
      <c r="S26" s="67"/>
    </row>
    <row r="27" spans="1:19" s="454" customFormat="1" ht="17.25" thickTop="1" thickBot="1">
      <c r="A27" s="695" t="s">
        <v>115</v>
      </c>
      <c r="B27" s="796"/>
      <c r="C27" s="696">
        <f ca="1">C22+C16+C26</f>
        <v>433240.25812370901</v>
      </c>
      <c r="D27" s="696">
        <f t="shared" ref="D27:R27" ca="1" si="3">D22+D16+D26</f>
        <v>916.07142857142856</v>
      </c>
      <c r="E27" s="696">
        <f t="shared" ca="1" si="3"/>
        <v>825955.5842653875</v>
      </c>
      <c r="F27" s="696">
        <f t="shared" si="3"/>
        <v>21582.048097194278</v>
      </c>
      <c r="G27" s="696">
        <f t="shared" ca="1" si="3"/>
        <v>121238.58165851852</v>
      </c>
      <c r="H27" s="696">
        <f t="shared" si="3"/>
        <v>587626.81862093695</v>
      </c>
      <c r="I27" s="696">
        <f t="shared" si="3"/>
        <v>76849.837452310967</v>
      </c>
      <c r="J27" s="696">
        <f t="shared" si="3"/>
        <v>0</v>
      </c>
      <c r="K27" s="696">
        <f t="shared" si="3"/>
        <v>1706.4508574517156</v>
      </c>
      <c r="L27" s="696">
        <f t="shared" si="3"/>
        <v>0</v>
      </c>
      <c r="M27" s="696">
        <f t="shared" ca="1" si="3"/>
        <v>0</v>
      </c>
      <c r="N27" s="696">
        <f t="shared" si="3"/>
        <v>30028.306943000192</v>
      </c>
      <c r="O27" s="696">
        <f t="shared" ca="1" si="3"/>
        <v>67454.038126519372</v>
      </c>
      <c r="P27" s="696">
        <f t="shared" si="3"/>
        <v>592.50333333333344</v>
      </c>
      <c r="Q27" s="696">
        <f t="shared" si="3"/>
        <v>934.26666666666665</v>
      </c>
      <c r="R27" s="696">
        <f t="shared" ca="1" si="3"/>
        <v>2168124.7655735998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38979.594929378123</v>
      </c>
      <c r="D40" s="686">
        <f ca="1">tertiair!C20</f>
        <v>217.70168067226894</v>
      </c>
      <c r="E40" s="686">
        <f ca="1">tertiair!D20</f>
        <v>45609.901573353403</v>
      </c>
      <c r="F40" s="686">
        <f>tertiair!E20</f>
        <v>493.99223238401061</v>
      </c>
      <c r="G40" s="686">
        <f ca="1">tertiair!F20</f>
        <v>9651.1596964461987</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94952.350112233995</v>
      </c>
    </row>
    <row r="41" spans="1:18">
      <c r="A41" s="814" t="s">
        <v>224</v>
      </c>
      <c r="B41" s="821"/>
      <c r="C41" s="686">
        <f ca="1">huishoudens!B12</f>
        <v>25590.840926421639</v>
      </c>
      <c r="D41" s="686">
        <f ca="1">huishoudens!C12</f>
        <v>0</v>
      </c>
      <c r="E41" s="686">
        <f>huishoudens!D12</f>
        <v>77360.50850324468</v>
      </c>
      <c r="F41" s="686">
        <f>huishoudens!E12</f>
        <v>2075.9882875085173</v>
      </c>
      <c r="G41" s="686">
        <f>huishoudens!F12</f>
        <v>9339.4906485023475</v>
      </c>
      <c r="H41" s="686">
        <f>huishoudens!G12</f>
        <v>0</v>
      </c>
      <c r="I41" s="686">
        <f>huishoudens!H12</f>
        <v>0</v>
      </c>
      <c r="J41" s="686">
        <f>huishoudens!I12</f>
        <v>0</v>
      </c>
      <c r="K41" s="686">
        <f>huishoudens!J12</f>
        <v>397.48896242448455</v>
      </c>
      <c r="L41" s="686">
        <f>huishoudens!K12</f>
        <v>0</v>
      </c>
      <c r="M41" s="686">
        <f>huishoudens!L12</f>
        <v>0</v>
      </c>
      <c r="N41" s="686">
        <f>huishoudens!M12</f>
        <v>0</v>
      </c>
      <c r="O41" s="686">
        <f>huishoudens!N12</f>
        <v>0</v>
      </c>
      <c r="P41" s="686">
        <f>huishoudens!O12</f>
        <v>0</v>
      </c>
      <c r="Q41" s="763">
        <f>huishoudens!P12</f>
        <v>0</v>
      </c>
      <c r="R41" s="842">
        <f t="shared" ca="1" si="4"/>
        <v>114764.31732810168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22821.062289180205</v>
      </c>
      <c r="D43" s="686">
        <f ca="1">industrie!C22</f>
        <v>0</v>
      </c>
      <c r="E43" s="686">
        <f>industrie!D22</f>
        <v>34745.65097625483</v>
      </c>
      <c r="F43" s="686">
        <f>industrie!E22</f>
        <v>1956.2976424083815</v>
      </c>
      <c r="G43" s="686">
        <f>industrie!F22</f>
        <v>10825.265065067544</v>
      </c>
      <c r="H43" s="686">
        <f>industrie!G22</f>
        <v>0</v>
      </c>
      <c r="I43" s="686">
        <f>industrie!H22</f>
        <v>0</v>
      </c>
      <c r="J43" s="686">
        <f>industrie!I22</f>
        <v>0</v>
      </c>
      <c r="K43" s="686">
        <f>industrie!J22</f>
        <v>58.95231101062992</v>
      </c>
      <c r="L43" s="686">
        <f>industrie!K22</f>
        <v>0</v>
      </c>
      <c r="M43" s="686">
        <f>industrie!L22</f>
        <v>0</v>
      </c>
      <c r="N43" s="686">
        <f>industrie!M22</f>
        <v>0</v>
      </c>
      <c r="O43" s="686">
        <f>industrie!N22</f>
        <v>0</v>
      </c>
      <c r="P43" s="686">
        <f>industrie!O22</f>
        <v>0</v>
      </c>
      <c r="Q43" s="763">
        <f>industrie!P22</f>
        <v>0</v>
      </c>
      <c r="R43" s="841">
        <f t="shared" ca="1" si="4"/>
        <v>70407.228283921591</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87391.498144979967</v>
      </c>
      <c r="D46" s="721">
        <f t="shared" ref="D46:Q46" ca="1" si="5">SUM(D39:D45)</f>
        <v>217.70168067226894</v>
      </c>
      <c r="E46" s="721">
        <f t="shared" ca="1" si="5"/>
        <v>157716.06105285292</v>
      </c>
      <c r="F46" s="721">
        <f t="shared" si="5"/>
        <v>4526.2781623009096</v>
      </c>
      <c r="G46" s="721">
        <f t="shared" ca="1" si="5"/>
        <v>29815.915410016089</v>
      </c>
      <c r="H46" s="721">
        <f t="shared" si="5"/>
        <v>0</v>
      </c>
      <c r="I46" s="721">
        <f t="shared" si="5"/>
        <v>0</v>
      </c>
      <c r="J46" s="721">
        <f t="shared" si="5"/>
        <v>0</v>
      </c>
      <c r="K46" s="721">
        <f t="shared" si="5"/>
        <v>456.44127343511445</v>
      </c>
      <c r="L46" s="721">
        <f t="shared" si="5"/>
        <v>0</v>
      </c>
      <c r="M46" s="721">
        <f t="shared" ca="1" si="5"/>
        <v>0</v>
      </c>
      <c r="N46" s="721">
        <f t="shared" si="5"/>
        <v>0</v>
      </c>
      <c r="O46" s="721">
        <f t="shared" ca="1" si="5"/>
        <v>0</v>
      </c>
      <c r="P46" s="721">
        <f t="shared" si="5"/>
        <v>0</v>
      </c>
      <c r="Q46" s="721">
        <f t="shared" si="5"/>
        <v>0</v>
      </c>
      <c r="R46" s="721">
        <f ca="1">SUM(R39:R45)</f>
        <v>280123.89572425728</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2813.2413978649092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2813.2413978649092</v>
      </c>
    </row>
    <row r="50" spans="1:18">
      <c r="A50" s="817" t="s">
        <v>306</v>
      </c>
      <c r="B50" s="827"/>
      <c r="C50" s="692">
        <f ca="1">transport!B18</f>
        <v>5.1934950887107085</v>
      </c>
      <c r="D50" s="692">
        <f>transport!C18</f>
        <v>0</v>
      </c>
      <c r="E50" s="692">
        <f>transport!D18</f>
        <v>8.3488479917337504</v>
      </c>
      <c r="F50" s="692">
        <f>transport!E18</f>
        <v>364.91382941251169</v>
      </c>
      <c r="G50" s="692">
        <f>transport!F18</f>
        <v>0</v>
      </c>
      <c r="H50" s="692">
        <f>transport!G18</f>
        <v>154083.11917392525</v>
      </c>
      <c r="I50" s="692">
        <f>transport!H18</f>
        <v>19135.60952562543</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173597.18487204364</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5.1934950887107085</v>
      </c>
      <c r="D52" s="721">
        <f t="shared" ref="D52:Q52" ca="1" si="6">SUM(D48:D51)</f>
        <v>0</v>
      </c>
      <c r="E52" s="721">
        <f t="shared" si="6"/>
        <v>8.3488479917337504</v>
      </c>
      <c r="F52" s="721">
        <f t="shared" si="6"/>
        <v>364.91382941251169</v>
      </c>
      <c r="G52" s="721">
        <f t="shared" si="6"/>
        <v>0</v>
      </c>
      <c r="H52" s="721">
        <f t="shared" si="6"/>
        <v>156896.36057179017</v>
      </c>
      <c r="I52" s="721">
        <f t="shared" si="6"/>
        <v>19135.60952562543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176410.42626990855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571.99984551081866</v>
      </c>
      <c r="D54" s="692">
        <f ca="1">+landbouw!C12</f>
        <v>0</v>
      </c>
      <c r="E54" s="692">
        <f>+landbouw!D12</f>
        <v>175.58320061890765</v>
      </c>
      <c r="F54" s="692">
        <f>+landbouw!E12</f>
        <v>7.9329263496808586</v>
      </c>
      <c r="G54" s="692">
        <f>+landbouw!F12</f>
        <v>2554.7858928083583</v>
      </c>
      <c r="H54" s="692">
        <f>+landbouw!G12</f>
        <v>0</v>
      </c>
      <c r="I54" s="692">
        <f>+landbouw!H12</f>
        <v>0</v>
      </c>
      <c r="J54" s="692">
        <f>+landbouw!I12</f>
        <v>0</v>
      </c>
      <c r="K54" s="692">
        <f>+landbouw!J12</f>
        <v>147.64233010279278</v>
      </c>
      <c r="L54" s="692">
        <f>+landbouw!K12</f>
        <v>0</v>
      </c>
      <c r="M54" s="692">
        <f>+landbouw!L12</f>
        <v>0</v>
      </c>
      <c r="N54" s="692">
        <f>+landbouw!M12</f>
        <v>0</v>
      </c>
      <c r="O54" s="692">
        <f>+landbouw!N12</f>
        <v>0</v>
      </c>
      <c r="P54" s="692">
        <f>+landbouw!O12</f>
        <v>0</v>
      </c>
      <c r="Q54" s="693">
        <f>+landbouw!P12</f>
        <v>0</v>
      </c>
      <c r="R54" s="720">
        <f ca="1">SUM(C54:Q54)</f>
        <v>3457.944195390558</v>
      </c>
    </row>
    <row r="55" spans="1:18" ht="15" thickBot="1">
      <c r="A55" s="817" t="s">
        <v>856</v>
      </c>
      <c r="B55" s="827"/>
      <c r="C55" s="692">
        <f ca="1">C25*'EF ele_warmte'!B12</f>
        <v>1389.0325731604134</v>
      </c>
      <c r="D55" s="692"/>
      <c r="E55" s="692">
        <f>E25*EF_CO2_aardgas</f>
        <v>8943.0349201447534</v>
      </c>
      <c r="F55" s="692"/>
      <c r="G55" s="692"/>
      <c r="H55" s="692"/>
      <c r="I55" s="692"/>
      <c r="J55" s="692"/>
      <c r="K55" s="692"/>
      <c r="L55" s="692"/>
      <c r="M55" s="692"/>
      <c r="N55" s="692"/>
      <c r="O55" s="692"/>
      <c r="P55" s="692"/>
      <c r="Q55" s="693"/>
      <c r="R55" s="720">
        <f ca="1">SUM(C55:Q55)</f>
        <v>10332.067493305167</v>
      </c>
    </row>
    <row r="56" spans="1:18" ht="15.75" thickBot="1">
      <c r="A56" s="815" t="s">
        <v>857</v>
      </c>
      <c r="B56" s="828"/>
      <c r="C56" s="721">
        <f ca="1">SUM(C54:C55)</f>
        <v>1961.0324186712321</v>
      </c>
      <c r="D56" s="721">
        <f t="shared" ref="D56:Q56" ca="1" si="7">SUM(D54:D55)</f>
        <v>0</v>
      </c>
      <c r="E56" s="721">
        <f t="shared" si="7"/>
        <v>9118.6181207636619</v>
      </c>
      <c r="F56" s="721">
        <f t="shared" si="7"/>
        <v>7.9329263496808586</v>
      </c>
      <c r="G56" s="721">
        <f t="shared" si="7"/>
        <v>2554.7858928083583</v>
      </c>
      <c r="H56" s="721">
        <f t="shared" si="7"/>
        <v>0</v>
      </c>
      <c r="I56" s="721">
        <f t="shared" si="7"/>
        <v>0</v>
      </c>
      <c r="J56" s="721">
        <f t="shared" si="7"/>
        <v>0</v>
      </c>
      <c r="K56" s="721">
        <f t="shared" si="7"/>
        <v>147.64233010279278</v>
      </c>
      <c r="L56" s="721">
        <f t="shared" si="7"/>
        <v>0</v>
      </c>
      <c r="M56" s="721">
        <f t="shared" si="7"/>
        <v>0</v>
      </c>
      <c r="N56" s="721">
        <f t="shared" si="7"/>
        <v>0</v>
      </c>
      <c r="O56" s="721">
        <f t="shared" si="7"/>
        <v>0</v>
      </c>
      <c r="P56" s="721">
        <f t="shared" si="7"/>
        <v>0</v>
      </c>
      <c r="Q56" s="722">
        <f t="shared" si="7"/>
        <v>0</v>
      </c>
      <c r="R56" s="723">
        <f ca="1">SUM(R54:R55)</f>
        <v>13790.011688695726</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89357.724058739914</v>
      </c>
      <c r="D61" s="729">
        <f t="shared" ref="D61:Q61" ca="1" si="8">D46+D52+D56</f>
        <v>217.70168067226894</v>
      </c>
      <c r="E61" s="729">
        <f t="shared" ca="1" si="8"/>
        <v>166843.0280216083</v>
      </c>
      <c r="F61" s="729">
        <f t="shared" si="8"/>
        <v>4899.1249180631021</v>
      </c>
      <c r="G61" s="729">
        <f t="shared" ca="1" si="8"/>
        <v>32370.701302824447</v>
      </c>
      <c r="H61" s="729">
        <f t="shared" si="8"/>
        <v>156896.36057179017</v>
      </c>
      <c r="I61" s="729">
        <f t="shared" si="8"/>
        <v>19135.60952562543</v>
      </c>
      <c r="J61" s="729">
        <f t="shared" si="8"/>
        <v>0</v>
      </c>
      <c r="K61" s="729">
        <f t="shared" si="8"/>
        <v>604.08360353790727</v>
      </c>
      <c r="L61" s="729">
        <f t="shared" si="8"/>
        <v>0</v>
      </c>
      <c r="M61" s="729">
        <f t="shared" ca="1" si="8"/>
        <v>0</v>
      </c>
      <c r="N61" s="729">
        <f t="shared" si="8"/>
        <v>0</v>
      </c>
      <c r="O61" s="729">
        <f t="shared" ca="1" si="8"/>
        <v>0</v>
      </c>
      <c r="P61" s="729">
        <f t="shared" si="8"/>
        <v>0</v>
      </c>
      <c r="Q61" s="729">
        <f t="shared" si="8"/>
        <v>0</v>
      </c>
      <c r="R61" s="729">
        <f ca="1">R46+R52+R56</f>
        <v>470324.33368286153</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0.20625443361550297</v>
      </c>
      <c r="D63" s="772">
        <f t="shared" ca="1" si="9"/>
        <v>0.23764705882352943</v>
      </c>
      <c r="E63" s="998">
        <f t="shared" ca="1" si="9"/>
        <v>0.20200000000000004</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11040.927320000001</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17914.040612445067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641.25</v>
      </c>
      <c r="D76" s="1008">
        <f>'lokale energieproductie'!C8</f>
        <v>754.41176470588255</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152.39117647058828</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28954.96793244507</v>
      </c>
      <c r="C78" s="744">
        <f>SUM(C72:C77)</f>
        <v>641.25</v>
      </c>
      <c r="D78" s="745">
        <f t="shared" ref="D78:H78" si="10">SUM(D76:D77)</f>
        <v>754.41176470588255</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152.39117647058828</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916.07142857142856</v>
      </c>
      <c r="D87" s="766">
        <f>'lokale energieproductie'!C17</f>
        <v>1077.7310924369749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217.70168067226894</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916.07142857142856</v>
      </c>
      <c r="D90" s="744">
        <f t="shared" ref="D90:H90" si="12">SUM(D87:D89)</f>
        <v>1077.7310924369749</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217.70168067226894</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11040.927320000001</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17914.040612445067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641.25</v>
      </c>
      <c r="C8" s="556">
        <f>B48</f>
        <v>754.41176470588255</v>
      </c>
      <c r="D8" s="1015"/>
      <c r="E8" s="1015">
        <f>E48</f>
        <v>0</v>
      </c>
      <c r="F8" s="1016"/>
      <c r="G8" s="557"/>
      <c r="H8" s="1015">
        <f>I48</f>
        <v>0</v>
      </c>
      <c r="I8" s="1015">
        <f>G48+F48</f>
        <v>0</v>
      </c>
      <c r="J8" s="1015">
        <f>H48+D48+C48</f>
        <v>0</v>
      </c>
      <c r="K8" s="1015"/>
      <c r="L8" s="1015"/>
      <c r="M8" s="1015"/>
      <c r="N8" s="558"/>
      <c r="O8" s="559">
        <f>C8*$C$12+D8*$D$12+E8*$E$12+F8*$F$12+G8*$G$12+H8*$H$12+I8*$I$12+J8*$J$12</f>
        <v>152.39117647058828</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29596.21793244507</v>
      </c>
      <c r="C10" s="569">
        <f t="shared" ref="C10:L10" si="0">SUM(C8:C9)</f>
        <v>754.41176470588255</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152.39117647058828</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916.07142857142856</v>
      </c>
      <c r="C17" s="581">
        <f>B49</f>
        <v>1077.7310924369749</v>
      </c>
      <c r="D17" s="582"/>
      <c r="E17" s="582">
        <f>E49</f>
        <v>0</v>
      </c>
      <c r="F17" s="1021"/>
      <c r="G17" s="583"/>
      <c r="H17" s="581">
        <f>I49</f>
        <v>0</v>
      </c>
      <c r="I17" s="582">
        <f>G49+F49</f>
        <v>0</v>
      </c>
      <c r="J17" s="582">
        <f>H49+D49+C49</f>
        <v>0</v>
      </c>
      <c r="K17" s="582"/>
      <c r="L17" s="582"/>
      <c r="M17" s="582"/>
      <c r="N17" s="1022"/>
      <c r="O17" s="584">
        <f>C17*$C$22+E17*$E$22+H17*$H$22+I17*$I$22+J17*$J$22+D17*$D$22+F17*$F$22+G17*$G$22+K17*$K$22+L17*$L$22</f>
        <v>217.70168067226894</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916.07142857142856</v>
      </c>
      <c r="C20" s="568">
        <f>SUM(C17:C19)</f>
        <v>1077.7310924369749</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217.70168067226894</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51">
      <c r="A28" s="592"/>
      <c r="B28" s="787">
        <v>34022</v>
      </c>
      <c r="C28" s="787">
        <v>8500</v>
      </c>
      <c r="D28" s="640" t="s">
        <v>920</v>
      </c>
      <c r="E28" s="639" t="s">
        <v>921</v>
      </c>
      <c r="F28" s="639" t="s">
        <v>922</v>
      </c>
      <c r="G28" s="639" t="s">
        <v>923</v>
      </c>
      <c r="H28" s="639" t="s">
        <v>924</v>
      </c>
      <c r="I28" s="639" t="s">
        <v>921</v>
      </c>
      <c r="J28" s="786">
        <v>39953</v>
      </c>
      <c r="K28" s="786">
        <v>40179</v>
      </c>
      <c r="L28" s="639" t="s">
        <v>925</v>
      </c>
      <c r="M28" s="639">
        <v>142.5</v>
      </c>
      <c r="N28" s="639">
        <v>641.25</v>
      </c>
      <c r="O28" s="639">
        <v>916.07142857142856</v>
      </c>
      <c r="P28" s="639">
        <v>1832.1428571428573</v>
      </c>
      <c r="Q28" s="639">
        <v>0</v>
      </c>
      <c r="R28" s="639">
        <v>0</v>
      </c>
      <c r="S28" s="639">
        <v>0</v>
      </c>
      <c r="T28" s="639">
        <v>0</v>
      </c>
      <c r="U28" s="639">
        <v>0</v>
      </c>
      <c r="V28" s="639">
        <v>0</v>
      </c>
      <c r="W28" s="639">
        <v>0</v>
      </c>
      <c r="X28" s="639">
        <v>1500</v>
      </c>
      <c r="Y28" s="639" t="s">
        <v>50</v>
      </c>
      <c r="Z28" s="641" t="s">
        <v>155</v>
      </c>
    </row>
    <row r="29" spans="1:26" s="576" customFormat="1">
      <c r="A29" s="595" t="s">
        <v>279</v>
      </c>
      <c r="B29" s="596"/>
      <c r="C29" s="596"/>
      <c r="D29" s="596"/>
      <c r="E29" s="596"/>
      <c r="F29" s="596"/>
      <c r="G29" s="596"/>
      <c r="H29" s="596"/>
      <c r="I29" s="596"/>
      <c r="J29" s="596"/>
      <c r="K29" s="596"/>
      <c r="L29" s="597"/>
      <c r="M29" s="597">
        <f>SUM(M28:M28)</f>
        <v>142.5</v>
      </c>
      <c r="N29" s="597">
        <f>SUM(N28:N28)</f>
        <v>641.25</v>
      </c>
      <c r="O29" s="597">
        <f>SUM(O28:O28)</f>
        <v>916.07142857142856</v>
      </c>
      <c r="P29" s="597">
        <f>SUM(P28:P28)</f>
        <v>1832.1428571428573</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142.5</v>
      </c>
      <c r="N31" s="597">
        <f ca="1">SUMIF($Z$28:AD28,"tertiair",N28:N28)</f>
        <v>641.25</v>
      </c>
      <c r="O31" s="597">
        <f ca="1">SUMIF($Z$28:AE28,"tertiair",O28:O28)</f>
        <v>916.07142857142856</v>
      </c>
      <c r="P31" s="597">
        <f ca="1">SUMIF($Z$28:AF28,"tertiair",P28:P28)</f>
        <v>1832.1428571428573</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0.41176470588235298</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754.41176470588255</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1077.7310924369749</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124074.13735467997</v>
      </c>
      <c r="C4" s="458">
        <f>huishoudens!C8</f>
        <v>0</v>
      </c>
      <c r="D4" s="458">
        <f>huishoudens!D8</f>
        <v>382972.81437249837</v>
      </c>
      <c r="E4" s="458">
        <f>huishoudens!E8</f>
        <v>9145.3228524604274</v>
      </c>
      <c r="F4" s="458">
        <f>huishoudens!F8</f>
        <v>34979.36572472789</v>
      </c>
      <c r="G4" s="458">
        <f>huishoudens!G8</f>
        <v>0</v>
      </c>
      <c r="H4" s="458">
        <f>huishoudens!H8</f>
        <v>0</v>
      </c>
      <c r="I4" s="458">
        <f>huishoudens!I8</f>
        <v>0</v>
      </c>
      <c r="J4" s="458">
        <f>huishoudens!J8</f>
        <v>1122.8501763403519</v>
      </c>
      <c r="K4" s="458">
        <f>huishoudens!K8</f>
        <v>0</v>
      </c>
      <c r="L4" s="458">
        <f>huishoudens!L8</f>
        <v>0</v>
      </c>
      <c r="M4" s="458">
        <f>huishoudens!M8</f>
        <v>0</v>
      </c>
      <c r="N4" s="458">
        <f>huishoudens!N8</f>
        <v>44400.878496718236</v>
      </c>
      <c r="O4" s="458">
        <f>huishoudens!O8</f>
        <v>583.12333333333345</v>
      </c>
      <c r="P4" s="459">
        <f>huishoudens!P8</f>
        <v>819.86666666666667</v>
      </c>
      <c r="Q4" s="460">
        <f>SUM(B4:P4)</f>
        <v>598098.35897742526</v>
      </c>
    </row>
    <row r="5" spans="1:17">
      <c r="A5" s="457" t="s">
        <v>155</v>
      </c>
      <c r="B5" s="458">
        <f ca="1">tertiair!B16</f>
        <v>182347.56087097086</v>
      </c>
      <c r="C5" s="458">
        <f ca="1">tertiair!C16</f>
        <v>916.07142857142856</v>
      </c>
      <c r="D5" s="458">
        <f ca="1">tertiair!D16</f>
        <v>225791.59194729404</v>
      </c>
      <c r="E5" s="458">
        <f>tertiair!E16</f>
        <v>2176.1772351718528</v>
      </c>
      <c r="F5" s="458">
        <f ca="1">tertiair!F16</f>
        <v>36146.665529761041</v>
      </c>
      <c r="G5" s="458">
        <f>tertiair!G16</f>
        <v>0</v>
      </c>
      <c r="H5" s="458">
        <f>tertiair!H16</f>
        <v>0</v>
      </c>
      <c r="I5" s="458">
        <f>tertiair!I16</f>
        <v>0</v>
      </c>
      <c r="J5" s="458">
        <f>tertiair!J16</f>
        <v>0</v>
      </c>
      <c r="K5" s="458">
        <f>tertiair!K16</f>
        <v>0</v>
      </c>
      <c r="L5" s="458">
        <f ca="1">tertiair!L16</f>
        <v>0</v>
      </c>
      <c r="M5" s="458">
        <f>tertiair!M16</f>
        <v>0</v>
      </c>
      <c r="N5" s="458">
        <f ca="1">tertiair!N16</f>
        <v>14227.928792307694</v>
      </c>
      <c r="O5" s="458">
        <f>tertiair!O16</f>
        <v>9.3800000000000008</v>
      </c>
      <c r="P5" s="459">
        <f>tertiair!P16</f>
        <v>114.4</v>
      </c>
      <c r="Q5" s="457">
        <f t="shared" ref="Q5:Q14" ca="1" si="0">SUM(B5:P5)</f>
        <v>461729.77580407693</v>
      </c>
    </row>
    <row r="6" spans="1:17">
      <c r="A6" s="457" t="s">
        <v>193</v>
      </c>
      <c r="B6" s="458">
        <f>'openbare verlichting'!B8</f>
        <v>6640.3519999999999</v>
      </c>
      <c r="C6" s="458"/>
      <c r="D6" s="458"/>
      <c r="E6" s="458"/>
      <c r="F6" s="458"/>
      <c r="G6" s="458"/>
      <c r="H6" s="458"/>
      <c r="I6" s="458"/>
      <c r="J6" s="458"/>
      <c r="K6" s="458"/>
      <c r="L6" s="458"/>
      <c r="M6" s="458"/>
      <c r="N6" s="458"/>
      <c r="O6" s="458"/>
      <c r="P6" s="459"/>
      <c r="Q6" s="457">
        <f t="shared" si="0"/>
        <v>6640.3519999999999</v>
      </c>
    </row>
    <row r="7" spans="1:17">
      <c r="A7" s="457" t="s">
        <v>111</v>
      </c>
      <c r="B7" s="458">
        <f>landbouw!B8</f>
        <v>2773.2729691383697</v>
      </c>
      <c r="C7" s="458">
        <f>landbouw!C8</f>
        <v>0</v>
      </c>
      <c r="D7" s="458">
        <f>landbouw!D8</f>
        <v>869.22376544013684</v>
      </c>
      <c r="E7" s="458">
        <f>landbouw!E8</f>
        <v>34.946812113131536</v>
      </c>
      <c r="F7" s="458">
        <f>landbouw!F8</f>
        <v>9568.4864899189452</v>
      </c>
      <c r="G7" s="458">
        <f>landbouw!G8</f>
        <v>0</v>
      </c>
      <c r="H7" s="458">
        <f>landbouw!H8</f>
        <v>0</v>
      </c>
      <c r="I7" s="458">
        <f>landbouw!I8</f>
        <v>0</v>
      </c>
      <c r="J7" s="458">
        <f>landbouw!J8</f>
        <v>417.06872910393446</v>
      </c>
      <c r="K7" s="458">
        <f>landbouw!K8</f>
        <v>0</v>
      </c>
      <c r="L7" s="458">
        <f>landbouw!L8</f>
        <v>0</v>
      </c>
      <c r="M7" s="458">
        <f>landbouw!M8</f>
        <v>0</v>
      </c>
      <c r="N7" s="458">
        <f>landbouw!N8</f>
        <v>0</v>
      </c>
      <c r="O7" s="458">
        <f>landbouw!O8</f>
        <v>0</v>
      </c>
      <c r="P7" s="459">
        <f>landbouw!P8</f>
        <v>0</v>
      </c>
      <c r="Q7" s="457">
        <f t="shared" si="0"/>
        <v>13662.998765714518</v>
      </c>
    </row>
    <row r="8" spans="1:17">
      <c r="A8" s="457" t="s">
        <v>655</v>
      </c>
      <c r="B8" s="458">
        <f>industrie!B18</f>
        <v>110645.1962711403</v>
      </c>
      <c r="C8" s="458">
        <f>industrie!C18</f>
        <v>0</v>
      </c>
      <c r="D8" s="458">
        <f>industrie!D18</f>
        <v>172008.17314977638</v>
      </c>
      <c r="E8" s="458">
        <f>industrie!E18</f>
        <v>8618.0512881426494</v>
      </c>
      <c r="F8" s="458">
        <f>industrie!F18</f>
        <v>40544.063914110651</v>
      </c>
      <c r="G8" s="458">
        <f>industrie!G18</f>
        <v>0</v>
      </c>
      <c r="H8" s="458">
        <f>industrie!H18</f>
        <v>0</v>
      </c>
      <c r="I8" s="458">
        <f>industrie!I18</f>
        <v>0</v>
      </c>
      <c r="J8" s="458">
        <f>industrie!J18</f>
        <v>166.53195200742917</v>
      </c>
      <c r="K8" s="458">
        <f>industrie!K18</f>
        <v>0</v>
      </c>
      <c r="L8" s="458">
        <f>industrie!L18</f>
        <v>0</v>
      </c>
      <c r="M8" s="458">
        <f>industrie!M18</f>
        <v>0</v>
      </c>
      <c r="N8" s="458">
        <f>industrie!N18</f>
        <v>8825.2308374934419</v>
      </c>
      <c r="O8" s="458">
        <f>industrie!O18</f>
        <v>0</v>
      </c>
      <c r="P8" s="459">
        <f>industrie!P18</f>
        <v>0</v>
      </c>
      <c r="Q8" s="457">
        <f t="shared" si="0"/>
        <v>340807.24741267081</v>
      </c>
    </row>
    <row r="9" spans="1:17" s="463" customFormat="1">
      <c r="A9" s="461" t="s">
        <v>573</v>
      </c>
      <c r="B9" s="462">
        <f>transport!B14</f>
        <v>25.180040970136719</v>
      </c>
      <c r="C9" s="462">
        <f>transport!C14</f>
        <v>0</v>
      </c>
      <c r="D9" s="462">
        <f>transport!D14</f>
        <v>41.330930652147273</v>
      </c>
      <c r="E9" s="462">
        <f>transport!E14</f>
        <v>1607.5499093062188</v>
      </c>
      <c r="F9" s="462">
        <f>transport!F14</f>
        <v>0</v>
      </c>
      <c r="G9" s="462">
        <f>transport!G14</f>
        <v>577090.3339847388</v>
      </c>
      <c r="H9" s="462">
        <f>transport!H14</f>
        <v>76849.837452310967</v>
      </c>
      <c r="I9" s="462">
        <f>transport!I14</f>
        <v>0</v>
      </c>
      <c r="J9" s="462">
        <f>transport!J14</f>
        <v>0</v>
      </c>
      <c r="K9" s="462">
        <f>transport!K14</f>
        <v>0</v>
      </c>
      <c r="L9" s="462">
        <f>transport!L14</f>
        <v>0</v>
      </c>
      <c r="M9" s="462">
        <f>transport!M14</f>
        <v>29559.319295091627</v>
      </c>
      <c r="N9" s="462">
        <f>transport!N14</f>
        <v>0</v>
      </c>
      <c r="O9" s="462">
        <f>transport!O14</f>
        <v>0</v>
      </c>
      <c r="P9" s="462">
        <f>transport!P14</f>
        <v>0</v>
      </c>
      <c r="Q9" s="461">
        <f>SUM(B9:P9)</f>
        <v>685173.55161306995</v>
      </c>
    </row>
    <row r="10" spans="1:17">
      <c r="A10" s="457" t="s">
        <v>563</v>
      </c>
      <c r="B10" s="458">
        <f>transport!B54</f>
        <v>0</v>
      </c>
      <c r="C10" s="458">
        <f>transport!C54</f>
        <v>0</v>
      </c>
      <c r="D10" s="458">
        <f>transport!D54</f>
        <v>0</v>
      </c>
      <c r="E10" s="458">
        <f>transport!E54</f>
        <v>0</v>
      </c>
      <c r="F10" s="458">
        <f>transport!F54</f>
        <v>0</v>
      </c>
      <c r="G10" s="458">
        <f>transport!G54</f>
        <v>10536.484636198162</v>
      </c>
      <c r="H10" s="458">
        <f>transport!H54</f>
        <v>0</v>
      </c>
      <c r="I10" s="458">
        <f>transport!I54</f>
        <v>0</v>
      </c>
      <c r="J10" s="458">
        <f>transport!J54</f>
        <v>0</v>
      </c>
      <c r="K10" s="458">
        <f>transport!K54</f>
        <v>0</v>
      </c>
      <c r="L10" s="458">
        <f>transport!L54</f>
        <v>0</v>
      </c>
      <c r="M10" s="458">
        <f>transport!M54</f>
        <v>468.98764790856683</v>
      </c>
      <c r="N10" s="458">
        <f>transport!N54</f>
        <v>0</v>
      </c>
      <c r="O10" s="458">
        <f>transport!O54</f>
        <v>0</v>
      </c>
      <c r="P10" s="459">
        <f>transport!P54</f>
        <v>0</v>
      </c>
      <c r="Q10" s="457">
        <f t="shared" si="0"/>
        <v>11005.472284106729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6734.5586168093296</v>
      </c>
      <c r="C14" s="465"/>
      <c r="D14" s="465">
        <f>'SEAP template'!E25</f>
        <v>44272.450099726499</v>
      </c>
      <c r="E14" s="465"/>
      <c r="F14" s="465"/>
      <c r="G14" s="465"/>
      <c r="H14" s="465"/>
      <c r="I14" s="465"/>
      <c r="J14" s="465"/>
      <c r="K14" s="465"/>
      <c r="L14" s="465"/>
      <c r="M14" s="465"/>
      <c r="N14" s="465"/>
      <c r="O14" s="465"/>
      <c r="P14" s="466"/>
      <c r="Q14" s="457">
        <f t="shared" si="0"/>
        <v>51007.008716535827</v>
      </c>
    </row>
    <row r="15" spans="1:17" s="470" customFormat="1">
      <c r="A15" s="467" t="s">
        <v>567</v>
      </c>
      <c r="B15" s="468">
        <f ca="1">SUM(B4:B14)</f>
        <v>433240.25812370895</v>
      </c>
      <c r="C15" s="468">
        <f t="shared" ref="C15:Q15" ca="1" si="1">SUM(C4:C14)</f>
        <v>916.07142857142856</v>
      </c>
      <c r="D15" s="468">
        <f t="shared" ca="1" si="1"/>
        <v>825955.58426538762</v>
      </c>
      <c r="E15" s="468">
        <f t="shared" si="1"/>
        <v>21582.048097194282</v>
      </c>
      <c r="F15" s="468">
        <f t="shared" ca="1" si="1"/>
        <v>121238.58165851852</v>
      </c>
      <c r="G15" s="468">
        <f t="shared" si="1"/>
        <v>587626.81862093695</v>
      </c>
      <c r="H15" s="468">
        <f t="shared" si="1"/>
        <v>76849.837452310967</v>
      </c>
      <c r="I15" s="468">
        <f t="shared" si="1"/>
        <v>0</v>
      </c>
      <c r="J15" s="468">
        <f t="shared" si="1"/>
        <v>1706.4508574517156</v>
      </c>
      <c r="K15" s="468">
        <f t="shared" si="1"/>
        <v>0</v>
      </c>
      <c r="L15" s="468">
        <f t="shared" ca="1" si="1"/>
        <v>0</v>
      </c>
      <c r="M15" s="468">
        <f t="shared" si="1"/>
        <v>30028.306943000192</v>
      </c>
      <c r="N15" s="468">
        <f t="shared" ca="1" si="1"/>
        <v>67454.038126519372</v>
      </c>
      <c r="O15" s="468">
        <f t="shared" si="1"/>
        <v>592.50333333333344</v>
      </c>
      <c r="P15" s="468">
        <f t="shared" si="1"/>
        <v>934.26666666666665</v>
      </c>
      <c r="Q15" s="468">
        <f t="shared" ca="1" si="1"/>
        <v>2168124.7655735998</v>
      </c>
    </row>
    <row r="17" spans="1:17">
      <c r="A17" s="471" t="s">
        <v>568</v>
      </c>
      <c r="B17" s="777">
        <f ca="1">huishoudens!B10</f>
        <v>0.20625443361550297</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25590.840926421639</v>
      </c>
      <c r="C22" s="458">
        <f t="shared" ref="C22:C32" ca="1" si="3">C4*$C$17</f>
        <v>0</v>
      </c>
      <c r="D22" s="458">
        <f t="shared" ref="D22:D32" si="4">D4*$D$17</f>
        <v>77360.50850324468</v>
      </c>
      <c r="E22" s="458">
        <f t="shared" ref="E22:E32" si="5">E4*$E$17</f>
        <v>2075.9882875085173</v>
      </c>
      <c r="F22" s="458">
        <f t="shared" ref="F22:F32" si="6">F4*$F$17</f>
        <v>9339.4906485023475</v>
      </c>
      <c r="G22" s="458">
        <f t="shared" ref="G22:G32" si="7">G4*$G$17</f>
        <v>0</v>
      </c>
      <c r="H22" s="458">
        <f t="shared" ref="H22:H32" si="8">H4*$H$17</f>
        <v>0</v>
      </c>
      <c r="I22" s="458">
        <f t="shared" ref="I22:I32" si="9">I4*$I$17</f>
        <v>0</v>
      </c>
      <c r="J22" s="458">
        <f t="shared" ref="J22:J32" si="10">J4*$J$17</f>
        <v>397.48896242448455</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114764.31732810168</v>
      </c>
    </row>
    <row r="23" spans="1:17">
      <c r="A23" s="457" t="s">
        <v>155</v>
      </c>
      <c r="B23" s="458">
        <f t="shared" ca="1" si="2"/>
        <v>37609.992888610548</v>
      </c>
      <c r="C23" s="458">
        <f t="shared" ca="1" si="3"/>
        <v>217.70168067226894</v>
      </c>
      <c r="D23" s="458">
        <f t="shared" ca="1" si="4"/>
        <v>45609.901573353403</v>
      </c>
      <c r="E23" s="458">
        <f t="shared" si="5"/>
        <v>493.99223238401061</v>
      </c>
      <c r="F23" s="458">
        <f t="shared" ca="1" si="6"/>
        <v>9651.1596964461987</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93582.748071466427</v>
      </c>
    </row>
    <row r="24" spans="1:17">
      <c r="A24" s="457" t="s">
        <v>193</v>
      </c>
      <c r="B24" s="458">
        <f t="shared" ca="1" si="2"/>
        <v>1369.6020407675724</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1369.6020407675724</v>
      </c>
    </row>
    <row r="25" spans="1:17">
      <c r="A25" s="457" t="s">
        <v>111</v>
      </c>
      <c r="B25" s="458">
        <f t="shared" ca="1" si="2"/>
        <v>571.99984551081866</v>
      </c>
      <c r="C25" s="458">
        <f t="shared" ca="1" si="3"/>
        <v>0</v>
      </c>
      <c r="D25" s="458">
        <f t="shared" si="4"/>
        <v>175.58320061890765</v>
      </c>
      <c r="E25" s="458">
        <f t="shared" si="5"/>
        <v>7.9329263496808586</v>
      </c>
      <c r="F25" s="458">
        <f t="shared" si="6"/>
        <v>2554.7858928083583</v>
      </c>
      <c r="G25" s="458">
        <f t="shared" si="7"/>
        <v>0</v>
      </c>
      <c r="H25" s="458">
        <f t="shared" si="8"/>
        <v>0</v>
      </c>
      <c r="I25" s="458">
        <f t="shared" si="9"/>
        <v>0</v>
      </c>
      <c r="J25" s="458">
        <f t="shared" si="10"/>
        <v>147.64233010279278</v>
      </c>
      <c r="K25" s="458">
        <f t="shared" si="11"/>
        <v>0</v>
      </c>
      <c r="L25" s="458">
        <f t="shared" si="12"/>
        <v>0</v>
      </c>
      <c r="M25" s="458">
        <f t="shared" si="13"/>
        <v>0</v>
      </c>
      <c r="N25" s="458">
        <f t="shared" si="14"/>
        <v>0</v>
      </c>
      <c r="O25" s="458">
        <f t="shared" si="15"/>
        <v>0</v>
      </c>
      <c r="P25" s="459">
        <f t="shared" si="16"/>
        <v>0</v>
      </c>
      <c r="Q25" s="457">
        <f t="shared" ca="1" si="17"/>
        <v>3457.944195390558</v>
      </c>
    </row>
    <row r="26" spans="1:17">
      <c r="A26" s="457" t="s">
        <v>655</v>
      </c>
      <c r="B26" s="458">
        <f t="shared" ca="1" si="2"/>
        <v>22821.062289180205</v>
      </c>
      <c r="C26" s="458">
        <f t="shared" ca="1" si="3"/>
        <v>0</v>
      </c>
      <c r="D26" s="458">
        <f t="shared" si="4"/>
        <v>34745.65097625483</v>
      </c>
      <c r="E26" s="458">
        <f t="shared" si="5"/>
        <v>1956.2976424083815</v>
      </c>
      <c r="F26" s="458">
        <f t="shared" si="6"/>
        <v>10825.265065067544</v>
      </c>
      <c r="G26" s="458">
        <f t="shared" si="7"/>
        <v>0</v>
      </c>
      <c r="H26" s="458">
        <f t="shared" si="8"/>
        <v>0</v>
      </c>
      <c r="I26" s="458">
        <f t="shared" si="9"/>
        <v>0</v>
      </c>
      <c r="J26" s="458">
        <f t="shared" si="10"/>
        <v>58.95231101062992</v>
      </c>
      <c r="K26" s="458">
        <f t="shared" si="11"/>
        <v>0</v>
      </c>
      <c r="L26" s="458">
        <f t="shared" si="12"/>
        <v>0</v>
      </c>
      <c r="M26" s="458">
        <f t="shared" si="13"/>
        <v>0</v>
      </c>
      <c r="N26" s="458">
        <f t="shared" si="14"/>
        <v>0</v>
      </c>
      <c r="O26" s="458">
        <f t="shared" si="15"/>
        <v>0</v>
      </c>
      <c r="P26" s="459">
        <f t="shared" si="16"/>
        <v>0</v>
      </c>
      <c r="Q26" s="457">
        <f t="shared" ca="1" si="17"/>
        <v>70407.228283921591</v>
      </c>
    </row>
    <row r="27" spans="1:17" s="463" customFormat="1">
      <c r="A27" s="461" t="s">
        <v>573</v>
      </c>
      <c r="B27" s="771">
        <f t="shared" ca="1" si="2"/>
        <v>5.1934950887107085</v>
      </c>
      <c r="C27" s="462">
        <f t="shared" ca="1" si="3"/>
        <v>0</v>
      </c>
      <c r="D27" s="462">
        <f t="shared" si="4"/>
        <v>8.3488479917337504</v>
      </c>
      <c r="E27" s="462">
        <f t="shared" si="5"/>
        <v>364.91382941251169</v>
      </c>
      <c r="F27" s="462">
        <f t="shared" si="6"/>
        <v>0</v>
      </c>
      <c r="G27" s="462">
        <f t="shared" si="7"/>
        <v>154083.11917392525</v>
      </c>
      <c r="H27" s="462">
        <f t="shared" si="8"/>
        <v>19135.60952562543</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173597.18487204364</v>
      </c>
    </row>
    <row r="28" spans="1:17">
      <c r="A28" s="457" t="s">
        <v>563</v>
      </c>
      <c r="B28" s="458">
        <f t="shared" ca="1" si="2"/>
        <v>0</v>
      </c>
      <c r="C28" s="458">
        <f t="shared" ca="1" si="3"/>
        <v>0</v>
      </c>
      <c r="D28" s="458">
        <f t="shared" si="4"/>
        <v>0</v>
      </c>
      <c r="E28" s="458">
        <f t="shared" si="5"/>
        <v>0</v>
      </c>
      <c r="F28" s="458">
        <f t="shared" si="6"/>
        <v>0</v>
      </c>
      <c r="G28" s="458">
        <f t="shared" si="7"/>
        <v>2813.2413978649092</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2813.2413978649092</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1389.0325731604134</v>
      </c>
      <c r="C32" s="458">
        <f t="shared" ca="1" si="3"/>
        <v>0</v>
      </c>
      <c r="D32" s="458">
        <f t="shared" si="4"/>
        <v>8943.0349201447534</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10332.067493305167</v>
      </c>
    </row>
    <row r="33" spans="1:17" s="470" customFormat="1">
      <c r="A33" s="467" t="s">
        <v>567</v>
      </c>
      <c r="B33" s="468">
        <f ca="1">SUM(B22:B32)</f>
        <v>89357.724058739899</v>
      </c>
      <c r="C33" s="468">
        <f t="shared" ref="C33:Q33" ca="1" si="18">SUM(C22:C32)</f>
        <v>217.70168067226894</v>
      </c>
      <c r="D33" s="468">
        <f t="shared" ca="1" si="18"/>
        <v>166843.0280216083</v>
      </c>
      <c r="E33" s="468">
        <f t="shared" si="18"/>
        <v>4899.1249180631012</v>
      </c>
      <c r="F33" s="468">
        <f t="shared" ca="1" si="18"/>
        <v>32370.701302824447</v>
      </c>
      <c r="G33" s="468">
        <f t="shared" si="18"/>
        <v>156896.36057179017</v>
      </c>
      <c r="H33" s="468">
        <f t="shared" si="18"/>
        <v>19135.60952562543</v>
      </c>
      <c r="I33" s="468">
        <f t="shared" si="18"/>
        <v>0</v>
      </c>
      <c r="J33" s="468">
        <f t="shared" si="18"/>
        <v>604.08360353790727</v>
      </c>
      <c r="K33" s="468">
        <f t="shared" si="18"/>
        <v>0</v>
      </c>
      <c r="L33" s="468">
        <f t="shared" ca="1" si="18"/>
        <v>0</v>
      </c>
      <c r="M33" s="468">
        <f t="shared" si="18"/>
        <v>0</v>
      </c>
      <c r="N33" s="468">
        <f t="shared" ca="1" si="18"/>
        <v>0</v>
      </c>
      <c r="O33" s="468">
        <f t="shared" si="18"/>
        <v>0</v>
      </c>
      <c r="P33" s="468">
        <f t="shared" si="18"/>
        <v>0</v>
      </c>
      <c r="Q33" s="468">
        <f t="shared" ca="1" si="18"/>
        <v>470324.33368286153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11040.927320000001</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17914.040612445067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641.25</v>
      </c>
      <c r="D8" s="1034">
        <f>'SEAP template'!D76</f>
        <v>754.41176470588255</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152.39117647058828</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28954.96793244507</v>
      </c>
      <c r="C10" s="1038">
        <f>SUM(C4:C9)</f>
        <v>641.25</v>
      </c>
      <c r="D10" s="1038">
        <f t="shared" ref="D10:H10" si="0">SUM(D8:D9)</f>
        <v>754.41176470588255</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152.39117647058828</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0.20625443361550297</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916.07142857142856</v>
      </c>
      <c r="D17" s="1035">
        <f>'SEAP template'!D87</f>
        <v>1077.7310924369749</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217.70168067226894</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916.07142857142856</v>
      </c>
      <c r="D20" s="1038">
        <f t="shared" ref="D20:H20" si="2">SUM(D17:D19)</f>
        <v>1077.7310924369749</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217.70168067226894</v>
      </c>
    </row>
    <row r="22" spans="1:16">
      <c r="A22" s="471" t="s">
        <v>879</v>
      </c>
      <c r="B22" s="777" t="s">
        <v>873</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0.20625443361550297</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2</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3.1266666666666669</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2020-06-20T16:19:00Z</dcterms:modified>
</cp:coreProperties>
</file>