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H9" i="18"/>
  <c r="G9" i="18"/>
  <c r="F9" i="18"/>
  <c r="F10" i="18" s="1"/>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J9" i="18" s="1"/>
  <c r="U39" i="18"/>
  <c r="T39" i="18"/>
  <c r="I9" i="18" s="1"/>
  <c r="S39" i="18"/>
  <c r="E9" i="18" s="1"/>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48" i="18" s="1"/>
  <c r="N32" i="18"/>
  <c r="B8" i="18" s="1"/>
  <c r="M32" i="18"/>
  <c r="G22" i="18"/>
  <c r="F22" i="18"/>
  <c r="E22" i="18"/>
  <c r="D22" i="18"/>
  <c r="C22" i="18"/>
  <c r="D20" i="18"/>
  <c r="B17" i="18"/>
  <c r="G12" i="18"/>
  <c r="F12" i="18"/>
  <c r="E12" i="18"/>
  <c r="D12" i="18"/>
  <c r="C12" i="18"/>
  <c r="L10" i="18"/>
  <c r="K10" i="18"/>
  <c r="G10" i="18"/>
  <c r="D10" i="18"/>
  <c r="B6" i="18"/>
  <c r="B5" i="18"/>
  <c r="B4" i="18"/>
  <c r="I52" i="18" l="1"/>
  <c r="H17" i="18" s="1"/>
  <c r="F52" i="18"/>
  <c r="C52" i="18"/>
  <c r="G52" i="18"/>
  <c r="I17" i="18" s="1"/>
  <c r="I20" i="18" s="1"/>
  <c r="B52" i="18"/>
  <c r="C17" i="18" s="1"/>
  <c r="C20" i="18" s="1"/>
  <c r="B20" i="18"/>
  <c r="F20" i="18"/>
  <c r="C48" i="18"/>
  <c r="O18" i="18"/>
  <c r="H20" i="18"/>
  <c r="G20" i="18"/>
  <c r="K20" i="18"/>
  <c r="B10" i="18"/>
  <c r="O19" i="18"/>
  <c r="O9" i="18"/>
  <c r="D52" i="18"/>
  <c r="H52" i="18"/>
  <c r="E52" i="18"/>
  <c r="E17" i="18" s="1"/>
  <c r="E20" i="18" s="1"/>
  <c r="N6" i="17"/>
  <c r="I51" i="18" l="1"/>
  <c r="H8" i="18" s="1"/>
  <c r="H10" i="18" s="1"/>
  <c r="G51" i="18"/>
  <c r="B51" i="18"/>
  <c r="C8" i="18" s="1"/>
  <c r="C10" i="18" s="1"/>
  <c r="F51" i="18"/>
  <c r="D51" i="18"/>
  <c r="C51" i="18"/>
  <c r="H51" i="18"/>
  <c r="J8" i="18" s="1"/>
  <c r="J10" i="18" s="1"/>
  <c r="E51" i="18"/>
  <c r="E8" i="18" s="1"/>
  <c r="E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N52" i="14"/>
  <c r="N61" i="14" s="1"/>
  <c r="E20" i="15"/>
  <c r="F40" i="14" s="1"/>
  <c r="F10" i="14"/>
  <c r="E5" i="48"/>
  <c r="E23" i="48"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33" i="48" l="1"/>
  <c r="F13" i="14"/>
  <c r="F16" i="14" s="1"/>
  <c r="F27" i="14" s="1"/>
  <c r="E8" i="48"/>
  <c r="E26" i="48" s="1"/>
  <c r="N63" i="14"/>
  <c r="E22" i="16"/>
  <c r="F43" i="14" s="1"/>
  <c r="F46" i="14" s="1"/>
  <c r="F61" i="14" s="1"/>
  <c r="E15" i="48"/>
  <c r="J22" i="16"/>
  <c r="K43" i="14" s="1"/>
  <c r="K46" i="14" s="1"/>
  <c r="K61" i="14" s="1"/>
  <c r="K63"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<sst xmlns="http://schemas.openxmlformats.org/spreadsheetml/2006/main" count="2492" uniqueCount="944">
  <si>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</si>
  <si>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</si>
  <si>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</si>
  <si>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</si>
  <si>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</si>
  <si>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</si>
  <si>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</si>
  <si>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</si>
  <si>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</si>
  <si>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</si>
  <si>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</si>
  <si>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</si>
  <si>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</si>
  <si>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</si>
  <si>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</si>
  <si>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</si>
  <si>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</si>
  <si>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</si>
  <si>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</si>
  <si>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</si>
  <si>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</si>
  <si>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</si>
  <si>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</si>
  <si>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</si>
  <si>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</si>
  <si>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</si>
  <si>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</si>
  <si>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</si>
  <si>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</si>
  <si>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</si>
  <si>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</si>
  <si>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</si>
  <si>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</si>
  <si>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</si>
  <si>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</si>
  <si>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</si>
  <si>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</si>
  <si>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</si>
  <si>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</si>
  <si>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</si>
  <si>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</si>
  <si>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</si>
  <si>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</si>
  <si>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</si>
  <si>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</si>
  <si>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</si>
  <si>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</si>
  <si>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</si>
  <si>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</si>
  <si>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</si>
  <si>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</si>
  <si>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</si>
  <si>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</si>
  <si>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</si>
  <si>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</si>
  <si>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</si>
  <si>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</si>
  <si>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</si>
  <si>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</si>
  <si>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</si>
  <si>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</si>
  <si>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</si>
  <si>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</si>
  <si>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</si>
  <si>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</si>
  <si>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</si>
  <si>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</si>
  <si>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</si>
  <si>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</si>
  <si>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</si>
  <si>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</si>
  <si>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</si>
  <si>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</si>
  <si>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</si>
  <si>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</si>
  <si>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</si>
  <si>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</si>
  <si>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</si>
  <si>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</si>
  <si>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</si>
  <si>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</si>
  <si>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</si>
  <si>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</si>
  <si>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</si>
  <si>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</si>
  <si>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</si>
  <si>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</si>
  <si>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</si>
  <si>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</si>
  <si>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</si>
  <si>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</si>
  <si>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</si>
  <si>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</si>
  <si>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</si>
  <si>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</si>
  <si>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</si>
  <si>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</si>
  <si>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</si>
  <si>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</si>
  <si>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</si>
  <si>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</si>
  <si>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</si>
  <si>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</si>
  <si>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</si>
  <si>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</si>
  <si>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</si>
  <si>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</si>
  <si>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</si>
  <si>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</si>
  <si>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</si>
  <si>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</si>
  <si>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</si>
  <si>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</si>
  <si>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</si>
  <si>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</si>
  <si>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</si>
  <si>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</si>
  <si>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</si>
  <si>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</si>
  <si>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</si>
  <si>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</si>
  <si>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</si>
  <si>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</si>
  <si>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</si>
  <si>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</si>
  <si>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</si>
  <si>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</si>
  <si>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</si>
  <si>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</si>
  <si>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</si>
  <si>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</si>
  <si>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</si>
  <si>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</si>
  <si>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</si>
  <si>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</si>
  <si>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</si>
  <si>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</si>
  <si>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</si>
  <si>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</si>
  <si>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</si>
  <si>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</si>
  <si>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</si>
  <si>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</si>
  <si>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</si>
  <si>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</si>
  <si>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</si>
  <si>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</si>
  <si>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</si>
  <si>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</si>
  <si>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</si>
  <si>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</si>
  <si>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</si>
  <si>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</si>
  <si>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</si>
  <si>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</si>
  <si>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</si>
  <si>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</si>
  <si>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</si>
  <si>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</si>
  <si>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</si>
  <si>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</si>
  <si>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</si>
  <si>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</si>
  <si>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</si>
  <si>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</si>
  <si>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</si>
  <si>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</si>
  <si>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</si>
  <si>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</si>
  <si>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</si>
  <si>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</si>
  <si>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</si>
  <si>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</si>
  <si>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</si>
  <si>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</si>
  <si>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</si>
  <si>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</si>
  <si>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</si>
  <si>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</si>
  <si>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</si>
  <si>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</si>
  <si>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</si>
  <si>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</si>
  <si>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</si>
  <si>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</si>
  <si>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</si>
  <si>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</si>
  <si>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</si>
  <si>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</si>
  <si>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</si>
  <si>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</si>
  <si>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</si>
  <si>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</si>
  <si>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</si>
  <si>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</si>
  <si>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</si>
  <si>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</si>
  <si>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</si>
  <si>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</si>
  <si>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</si>
  <si>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</si>
  <si>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</si>
  <si>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</si>
  <si>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</si>
  <si>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</si>
  <si>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</si>
  <si>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</si>
  <si>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</si>
  <si>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</si>
  <si>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</si>
  <si>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</si>
  <si>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</si>
  <si>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</si>
  <si>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</si>
  <si>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</si>
  <si>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</si>
  <si>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</si>
  <si>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</si>
  <si>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</si>
  <si>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</si>
  <si>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</si>
  <si>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</si>
  <si>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</si>
  <si>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</si>
  <si>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</si>
  <si>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</si>
  <si>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</si>
  <si>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</si>
  <si>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</si>
  <si>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</si>
  <si>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</si>
  <si>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</si>
  <si>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</si>
  <si>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</si>
  <si>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</si>
  <si>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</si>
  <si>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</si>
  <si>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</si>
  <si>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</si>
  <si>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</si>
  <si>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</si>
  <si>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</si>
  <si>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</si>
  <si>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</si>
  <si>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</si>
  <si>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</si>
  <si>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</si>
  <si>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</si>
  <si>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</si>
  <si>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</si>
  <si>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</si>
  <si>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</si>
  <si>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</si>
  <si>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</si>
  <si>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</si>
  <si>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</si>
  <si>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</si>
  <si>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</si>
  <si>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</si>
  <si>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</si>
  <si>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</si>
  <si>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</si>
  <si>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</si>
  <si>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</si>
  <si>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</si>
  <si>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</si>
  <si>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</si>
  <si>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</si>
  <si>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</si>
  <si>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</si>
  <si>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</si>
  <si>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</si>
  <si>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</si>
  <si>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</si>
  <si>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</si>
  <si>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</si>
  <si>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</si>
  <si>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</si>
  <si>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</si>
  <si>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</si>
  <si>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</si>
  <si>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</si>
  <si>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</si>
  <si>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</si>
  <si>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</si>
  <si>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</si>
  <si>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</si>
  <si>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</si>
  <si>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</si>
  <si>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</si>
  <si>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</si>
  <si>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</si>
  <si>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</si>
  <si>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</si>
  <si>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</si>
  <si>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</si>
  <si>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</si>
  <si>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</si>
  <si>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</si>
  <si>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</si>
  <si>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</si>
  <si>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</si>
  <si>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</si>
  <si>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</si>
  <si>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</si>
  <si>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</si>
  <si>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</si>
  <si>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</si>
  <si>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</si>
  <si>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</si>
  <si>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</si>
  <si>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</si>
  <si>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</si>
  <si>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</si>
  <si>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</si>
  <si>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</si>
  <si>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</si>
  <si>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</si>
  <si>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</si>
  <si>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</si>
  <si>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</si>
  <si>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</si>
  <si>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</si>
  <si>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</si>
  <si>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</si>
  <si>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</si>
  <si>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</si>
  <si>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</si>
  <si>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</si>
  <si>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</si>
  <si>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</si>
  <si>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</si>
  <si>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</si>
  <si>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</si>
  <si>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</si>
  <si>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</si>
  <si>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</si>
  <si>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</si>
  <si>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</si>
  <si>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</si>
  <si>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</si>
  <si>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</si>
  <si>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</si>
  <si>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</si>
  <si>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</si>
  <si>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</si>
  <si>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</si>
  <si>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</si>
  <si>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</si>
  <si>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</si>
  <si>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</si>
  <si>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</si>
  <si>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</si>
  <si>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</si>
  <si>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</si>
  <si>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</si>
  <si>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</si>
  <si>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</si>
  <si>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</si>
  <si>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</si>
  <si>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</si>
  <si>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</si>
  <si>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</si>
  <si>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</si>
  <si>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</si>
  <si>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</si>
  <si>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</si>
  <si>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</si>
  <si>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</si>
  <si>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</si>
  <si>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</si>
  <si>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</si>
  <si>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</si>
  <si>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</si>
  <si>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</si>
  <si>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</si>
  <si>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</si>
  <si>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</si>
  <si>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</si>
  <si>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</si>
  <si>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</si>
  <si>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</si>
  <si>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</si>
  <si>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</si>
  <si>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</si>
  <si>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</si>
  <si>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</si>
  <si>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</si>
  <si>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</si>
  <si>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</si>
  <si>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</si>
  <si>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</si>
  <si>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</si>
  <si>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</si>
  <si>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</si>
  <si>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</si>
  <si>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</si>
  <si>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</si>
  <si>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</si>
  <si>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</si>
  <si>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</si>
  <si>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</si>
  <si>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</si>
  <si>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</si>
  <si>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</si>
  <si>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</si>
  <si>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</si>
  <si>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</si>
  <si>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</si>
  <si>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</si>
  <si>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</si>
  <si>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</si>
  <si>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</si>
  <si>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</si>
  <si>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</si>
  <si>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</si>
  <si>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</si>
  <si>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</si>
  <si>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</si>
  <si>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</si>
  <si>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</si>
  <si>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</si>
  <si>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</si>
  <si>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</si>
  <si>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</si>
  <si>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</si>
  <si>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</si>
  <si>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</si>
  <si>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</si>
  <si>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</si>
  <si>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</si>
  <si>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</si>
  <si>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</si>
  <si>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</si>
  <si>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</si>
  <si>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</si>
  <si>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</si>
  <si>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</si>
  <si>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</si>
  <si>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</si>
  <si>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</si>
  <si>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</si>
  <si>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</si>
  <si>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</si>
  <si>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</si>
  <si>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</si>
  <si>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</si>
  <si>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</si>
  <si>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</si>
  <si>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</si>
  <si>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</si>
  <si>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</si>
  <si>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</si>
  <si>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</si>
  <si>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</si>
  <si>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</si>
  <si>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</si>
  <si>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</si>
  <si>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</si>
  <si>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</si>
  <si>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</si>
  <si>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</si>
  <si>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</si>
  <si>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</si>
  <si>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</si>
  <si>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</si>
  <si>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</si>
  <si>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</si>
  <si>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</si>
  <si>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</si>
  <si>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</si>
  <si>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</si>
  <si>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</si>
  <si>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</si>
  <si>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</si>
  <si>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</si>
  <si>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</si>
  <si>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</si>
  <si>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</si>
  <si>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</si>
  <si>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</si>
  <si>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</si>
  <si>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</si>
  <si>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</si>
  <si>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</si>
  <si>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</si>
  <si>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</si>
  <si>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</si>
  <si>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</si>
  <si>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</si>
  <si>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</si>
  <si>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</si>
  <si>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</si>
  <si>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</si>
  <si>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</si>
  <si>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</si>
  <si>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</si>
  <si>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</si>
  <si>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</si>
  <si>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</si>
  <si>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</si>
  <si>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</si>
  <si>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</si>
  <si>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</si>
  <si>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</si>
  <si>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</si>
  <si>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</si>
  <si>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</si>
  <si>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</si>
  <si>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</si>
  <si>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</si>
  <si>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</si>
  <si>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</si>
  <si>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</si>
  <si>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</si>
  <si>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</si>
  <si>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</si>
  <si>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</si>
  <si>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</si>
  <si>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</si>
  <si>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</si>
  <si>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</si>
  <si>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</si>
  <si>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</si>
  <si>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</si>
  <si>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</si>
  <si>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</si>
  <si>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</si>
  <si>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</si>
  <si>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</si>
  <si>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</si>
  <si>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</si>
  <si>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</si>
  <si>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</si>
  <si>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</si>
  <si>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</si>
  <si>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</si>
  <si>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</si>
  <si>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</si>
  <si>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</si>
  <si>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</si>
  <si>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</si>
  <si>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</si>
  <si>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</si>
  <si>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</si>
  <si>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</si>
  <si>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</si>
  <si>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</si>
  <si>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</si>
  <si>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</si>
  <si>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</si>
  <si>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</si>
  <si>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</si>
  <si>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</si>
  <si>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</si>
  <si>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</si>
  <si>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</si>
  <si>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</si>
  <si>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</si>
  <si>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</si>
  <si>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</si>
  <si>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</si>
  <si>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</si>
  <si>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</si>
  <si>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</si>
  <si>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</si>
  <si>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</si>
  <si>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</si>
  <si>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</si>
  <si>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</si>
  <si>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</si>
  <si>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</si>
  <si>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</si>
  <si>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</si>
  <si>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</si>
  <si>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</si>
  <si>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</si>
  <si>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</si>
  <si>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</si>
  <si>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</si>
  <si>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</si>
  <si>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</si>
  <si>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</si>
  <si>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</si>
  <si>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</si>
  <si>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</si>
  <si>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</si>
  <si>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</si>
  <si>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</si>
  <si>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</si>
  <si>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</si>
  <si>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</si>
  <si>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</si>
  <si>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</si>
  <si>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</si>
  <si>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</si>
  <si>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</si>
  <si>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</si>
  <si>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</si>
  <si>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</si>
  <si>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</si>
  <si>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</si>
  <si>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</si>
  <si>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</si>
  <si>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</si>
  <si>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</si>
  <si>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</si>
  <si>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</si>
  <si>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</si>
  <si>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</si>
  <si>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</si>
  <si>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</si>
  <si>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</si>
  <si>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</si>
  <si>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</si>
  <si>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</si>
  <si>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</si>
  <si>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</si>
  <si>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</si>
  <si>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</si>
  <si>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</si>
  <si>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</si>
  <si>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</si>
  <si>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</si>
  <si>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</si>
  <si>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</si>
  <si>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</si>
  <si>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</si>
  <si>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</si>
  <si>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</si>
  <si>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</si>
  <si>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</si>
  <si>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</si>
  <si>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</si>
  <si>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</si>
  <si>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</si>
  <si>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</si>
  <si>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</si>
  <si>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</si>
  <si>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</si>
  <si>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</si>
  <si>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</si>
  <si>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</si>
  <si>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</si>
  <si>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</si>
  <si>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</si>
  <si>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</si>
  <si>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</si>
  <si>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</si>
  <si>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</si>
  <si>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</si>
  <si>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</si>
  <si>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</si>
  <si>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</si>
  <si>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</si>
  <si>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</si>
  <si>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</si>
  <si>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</si>
  <si>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</si>
  <si>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</si>
  <si>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</si>
  <si>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</si>
  <si>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</si>
  <si>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</si>
  <si>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</si>
  <si>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</si>
  <si>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</si>
  <si>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</si>
  <si>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</si>
  <si>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</si>
  <si>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</si>
  <si>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</si>
  <si>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</si>
  <si>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</si>
  <si>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</si>
  <si>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</si>
  <si>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</si>
  <si>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</si>
  <si>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</si>
  <si>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</si>
  <si>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</si>
  <si>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</si>
  <si>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</si>
  <si>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</si>
  <si>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</si>
  <si>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</si>
  <si>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</si>
  <si>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</si>
  <si>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</si>
  <si>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</si>
  <si>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</si>
  <si>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</si>
  <si>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</si>
  <si>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</si>
  <si>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</si>
  <si>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</si>
  <si>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</si>
  <si>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</si>
  <si>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</si>
  <si>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</si>
  <si>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</si>
  <si>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</si>
  <si>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</si>
  <si>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</si>
  <si>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</si>
  <si>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</si>
  <si>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</si>
  <si>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</si>
  <si>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</si>
  <si>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</si>
  <si>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</si>
  <si>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</si>
  <si>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</si>
  <si>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</si>
  <si>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</si>
  <si>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</si>
  <si>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</si>
  <si>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</si>
  <si>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</si>
  <si>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</si>
  <si>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</si>
  <si>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</si>
  <si>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</si>
  <si>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</si>
  <si>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</si>
  <si>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</si>
  <si>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</si>
  <si>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</si>
  <si>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</si>
  <si>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</si>
  <si>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</si>
  <si>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</si>
  <si>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</si>
  <si>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</si>
  <si>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</si>
  <si>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</si>
  <si>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</si>
  <si>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</si>
  <si>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</si>
  <si>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</si>
  <si>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</si>
  <si>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</si>
  <si>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</si>
  <si>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</si>
  <si>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</si>
  <si>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</si>
  <si>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</si>
  <si>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</si>
  <si>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</si>
  <si>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</si>
  <si>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</si>
  <si>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</si>
  <si>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</si>
  <si>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</si>
  <si>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</si>
  <si>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</si>
  <si>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</si>
  <si>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</si>
  <si>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</si>
  <si>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</si>
  <si>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</si>
  <si>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</si>
  <si>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</si>
  <si>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</si>
  <si>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</si>
  <si>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</si>
  <si>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</si>
  <si>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</si>
  <si>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</si>
  <si>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</si>
  <si>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</si>
  <si>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</si>
  <si>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</si>
  <si>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</si>
  <si>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</si>
  <si>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</si>
  <si>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</si>
  <si>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</si>
  <si>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</si>
  <si>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</si>
  <si>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</si>
  <si>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</si>
  <si>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</si>
  <si>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</si>
  <si>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</si>
  <si>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</si>
  <si>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</si>
  <si>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</si>
  <si>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</si>
  <si>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</si>
  <si>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</si>
  <si>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</si>
  <si>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</si>
  <si>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</si>
  <si>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</si>
  <si>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</si>
  <si>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</si>
  <si>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</si>
  <si>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</si>
  <si>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</si>
  <si>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</si>
  <si>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</si>
  <si>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</si>
  <si>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</si>
  <si>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</si>
  <si>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</si>
  <si>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</si>
  <si>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</si>
  <si>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</si>
  <si>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</si>
  <si>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</si>
  <si>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</si>
  <si>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</si>
  <si>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</si>
  <si>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</si>
  <si>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</si>
  <si>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</si>
  <si>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</si>
  <si>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</si>
  <si>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</si>
  <si>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</si>
  <si>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</si>
  <si>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</si>
  <si>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</si>
  <si>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</si>
  <si>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</si>
  <si>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</si>
  <si>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</si>
  <si>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</si>
  <si>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</si>
  <si>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</si>
  <si>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</si>
  <si>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</si>
  <si>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</si>
  <si>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</si>
  <si>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</si>
  <si>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</si>
  <si>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</si>
  <si>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</si>
  <si>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</si>
  <si>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</si>
  <si>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</si>
  <si>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</si>
  <si>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</si>
  <si>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</si>
  <si>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</si>
  <si>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</si>
  <si>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</si>
  <si>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</si>
  <si>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</si>
  <si>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</si>
  <si>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</si>
  <si>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</si>
  <si>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</si>
  <si>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</si>
  <si>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</si>
  <si>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</si>
  <si>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</si>
  <si>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</si>
  <si>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</si>
  <si>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</si>
  <si>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</si>
  <si>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</si>
  <si>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</si>
  <si>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</si>
  <si>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</si>
  <si>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</si>
  <si>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</si>
  <si>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</si>
  <si>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</si>
  <si>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</si>
  <si>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</si>
  <si>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</si>
  <si>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</si>
  <si>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</si>
  <si>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</si>
  <si>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</si>
  <si>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</si>
  <si>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</si>
  <si>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</si>
  <si>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</si>
  <si>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</si>
  <si>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</si>
  <si>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</si>
  <si>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</si>
  <si>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</si>
  <si>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</si>
  <si>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</si>
  <si>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</si>
  <si>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</si>
  <si>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</si>
  <si>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</si>
  <si>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</si>
  <si>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</si>
  <si>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</si>
  <si>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</si>
  <si>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</si>
  <si>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</si>
  <si>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</si>
  <si>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</si>
  <si>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</si>
  <si>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</si>
  <si>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</si>
  <si>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</si>
  <si>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</si>
  <si>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</si>
  <si>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</si>
  <si>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</si>
  <si>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</si>
  <si>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</si>
  <si>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</si>
  <si>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</si>
  <si>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</si>
  <si>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34013</t>
  </si>
  <si>
    <t>HARELBEKE</t>
  </si>
  <si>
    <t>Cultuurgrond (ha)</t>
  </si>
  <si>
    <t>Paarden&amp;pony's 200 - 600 kg</t>
  </si>
  <si>
    <t>Paarden&amp;pony's &lt; 200 kg</t>
  </si>
  <si>
    <t>Fluvius</t>
  </si>
  <si>
    <t>referentietaak LNE (2017); Jaarverslag De Lijn</t>
  </si>
  <si>
    <t>Aspiravi nv</t>
  </si>
  <si>
    <t>Vaarnewijkstraat 18, 8530 Harelbeke</t>
  </si>
  <si>
    <t>WKK-0094 Agristo</t>
  </si>
  <si>
    <t>interne verbrandingsmotor</t>
  </si>
  <si>
    <t>WKK interne verbrandinsgmotor (gas)</t>
  </si>
  <si>
    <t>Vaarnewijkstraat 17 , 8530 Harelbeke</t>
  </si>
  <si>
    <t>Infrax West</t>
  </si>
  <si>
    <t>Horizon NV en Kwekerij Horizon bvba</t>
  </si>
  <si>
    <t>Ginstestraat 44, 8531 Hulste</t>
  </si>
  <si>
    <t>WKK-0155 Horizon nv</t>
  </si>
  <si>
    <t>Groeikracht Bavikhove NV</t>
  </si>
  <si>
    <t>Knollingstraat 12 , 8850 Ardooie</t>
  </si>
  <si>
    <t>WKK-0300 Groeikracht Bavikhove</t>
  </si>
  <si>
    <t>Eerste Aardstraat 30 , 8531 Bavikhove</t>
  </si>
  <si>
    <t>OCMW Harelbeke</t>
  </si>
  <si>
    <t>Paretteplein 19 , 8530 Harelbeke</t>
  </si>
  <si>
    <t>WKK-0564 OCMW Harelbeke</t>
  </si>
  <si>
    <t>Vrijdomkaai 31 , 8530 Harelbeke</t>
  </si>
  <si>
    <t>Aquafin NV</t>
  </si>
  <si>
    <t>Dijkstraat 8, 2630 Aartselaar</t>
  </si>
  <si>
    <t>BGS-0056 RWZI Harelbeke</t>
  </si>
  <si>
    <t>biogas - RWZI</t>
  </si>
  <si>
    <t>niet WKK interne verbrandingsmotor (gas)</t>
  </si>
  <si>
    <t>Kortrijksesteenweg 266, 8530 Harelbeke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</si>
</sst>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208562.43511050244</c:v>
                </c:pt>
                <c:pt idx="1">
                  <c:v>161339.32444406537</c:v>
                </c:pt>
                <c:pt idx="2">
                  <c:v>2219.69</c:v>
                </c:pt>
                <c:pt idx="3">
                  <c:v>40255.007383944576</c:v>
                </c:pt>
                <c:pt idx="4">
                  <c:v>142523.78033380158</c:v>
                </c:pt>
                <c:pt idx="5">
                  <c:v>193998.24370013532</c:v>
                </c:pt>
                <c:pt idx="6">
                  <c:v>1487.5758374282377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208562.43511050244</c:v>
                </c:pt>
                <c:pt idx="1">
                  <c:v>161339.32444406537</c:v>
                </c:pt>
                <c:pt idx="2">
                  <c:v>2219.69</c:v>
                </c:pt>
                <c:pt idx="3">
                  <c:v>40255.007383944576</c:v>
                </c:pt>
                <c:pt idx="4">
                  <c:v>142523.78033380158</c:v>
                </c:pt>
                <c:pt idx="5">
                  <c:v>193998.24370013532</c:v>
                </c:pt>
                <c:pt idx="6">
                  <c:v>1487.5758374282377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37443.829472391444</c:v>
                </c:pt>
                <c:pt idx="2">
                  <c:v>31123.801730727107</c:v>
                </c:pt>
                <c:pt idx="3">
                  <c:v>400.75625774113195</c:v>
                </c:pt>
                <c:pt idx="4">
                  <c:v>8883.1171066980187</c:v>
                </c:pt>
                <c:pt idx="5">
                  <c:v>28551.221419902242</c:v>
                </c:pt>
                <c:pt idx="6">
                  <c:v>49136.926246028728</c:v>
                </c:pt>
                <c:pt idx="7">
                  <c:v>380.25718663252729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37443.829472391444</c:v>
                </c:pt>
                <c:pt idx="2">
                  <c:v>31123.801730727107</c:v>
                </c:pt>
                <c:pt idx="3">
                  <c:v>400.75625774113195</c:v>
                </c:pt>
                <c:pt idx="4">
                  <c:v>8883.1171066980187</c:v>
                </c:pt>
                <c:pt idx="5">
                  <c:v>28551.221419902242</c:v>
                </c:pt>
                <c:pt idx="6">
                  <c:v>49136.926246028728</c:v>
                </c:pt>
                <c:pt idx="7">
                  <c:v>380.25718663252729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34013</v>
      </c>
      <c r="B6" s="395"/>
      <c r="C6" s="396"/>
    </row>
    <row r="7" spans="1:7" s="393" customFormat="1" ht="15.75" customHeight="1">
      <c r="A7" s="397" t="str">
        <f>txtMunicipality</f>
        <v>HARELBEKE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0.18054604820543946</v>
      </c>
      <c r="C17" s="508">
        <f ca="1">'EF ele_warmte'!B22</f>
        <v>0.21028503682776717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0.18054604820543946</v>
      </c>
      <c r="C29" s="509">
        <f ca="1">'EF ele_warmte'!B22</f>
        <v>0.21028503682776717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11507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1141</v>
      </c>
      <c r="C14" s="332"/>
      <c r="D14" s="332"/>
      <c r="E14" s="332"/>
      <c r="F14" s="332"/>
    </row>
    <row r="15" spans="1:6">
      <c r="A15" s="1306" t="s">
        <v>183</v>
      </c>
      <c r="B15" s="1307">
        <v>14</v>
      </c>
      <c r="C15" s="332"/>
      <c r="D15" s="332"/>
      <c r="E15" s="332"/>
      <c r="F15" s="332"/>
    </row>
    <row r="16" spans="1:6">
      <c r="A16" s="1306" t="s">
        <v>6</v>
      </c>
      <c r="B16" s="1307">
        <v>402</v>
      </c>
      <c r="C16" s="332"/>
      <c r="D16" s="332"/>
      <c r="E16" s="332"/>
      <c r="F16" s="332"/>
    </row>
    <row r="17" spans="1:6">
      <c r="A17" s="1306" t="s">
        <v>7</v>
      </c>
      <c r="B17" s="1307">
        <v>412</v>
      </c>
      <c r="C17" s="332"/>
      <c r="D17" s="332"/>
      <c r="E17" s="332"/>
      <c r="F17" s="332"/>
    </row>
    <row r="18" spans="1:6">
      <c r="A18" s="1306" t="s">
        <v>8</v>
      </c>
      <c r="B18" s="1307">
        <v>621</v>
      </c>
      <c r="C18" s="332"/>
      <c r="D18" s="332"/>
      <c r="E18" s="332"/>
      <c r="F18" s="332"/>
    </row>
    <row r="19" spans="1:6">
      <c r="A19" s="1306" t="s">
        <v>9</v>
      </c>
      <c r="B19" s="1307">
        <v>591</v>
      </c>
      <c r="C19" s="332"/>
      <c r="D19" s="332"/>
      <c r="E19" s="332"/>
      <c r="F19" s="332"/>
    </row>
    <row r="20" spans="1:6">
      <c r="A20" s="1306" t="s">
        <v>10</v>
      </c>
      <c r="B20" s="1307">
        <v>526</v>
      </c>
      <c r="C20" s="332"/>
      <c r="D20" s="332"/>
      <c r="E20" s="332"/>
      <c r="F20" s="332"/>
    </row>
    <row r="21" spans="1:6">
      <c r="A21" s="1306" t="s">
        <v>11</v>
      </c>
      <c r="B21" s="1307">
        <v>1547</v>
      </c>
      <c r="C21" s="332"/>
      <c r="D21" s="332"/>
      <c r="E21" s="332"/>
      <c r="F21" s="332"/>
    </row>
    <row r="22" spans="1:6">
      <c r="A22" s="1306" t="s">
        <v>12</v>
      </c>
      <c r="B22" s="1307">
        <v>6657</v>
      </c>
      <c r="C22" s="332"/>
      <c r="D22" s="332"/>
      <c r="E22" s="332"/>
      <c r="F22" s="332"/>
    </row>
    <row r="23" spans="1:6">
      <c r="A23" s="1306" t="s">
        <v>13</v>
      </c>
      <c r="B23" s="1307">
        <v>81</v>
      </c>
      <c r="C23" s="332"/>
      <c r="D23" s="332"/>
      <c r="E23" s="332"/>
      <c r="F23" s="332"/>
    </row>
    <row r="24" spans="1:6">
      <c r="A24" s="1306" t="s">
        <v>14</v>
      </c>
      <c r="B24" s="1307">
        <v>4</v>
      </c>
      <c r="C24" s="332"/>
      <c r="D24" s="332"/>
      <c r="E24" s="332"/>
      <c r="F24" s="332"/>
    </row>
    <row r="25" spans="1:6">
      <c r="A25" s="1306" t="s">
        <v>15</v>
      </c>
      <c r="B25" s="1307">
        <v>423</v>
      </c>
      <c r="C25" s="332"/>
      <c r="D25" s="332"/>
      <c r="E25" s="332"/>
      <c r="F25" s="332"/>
    </row>
    <row r="26" spans="1:6">
      <c r="A26" s="1306" t="s">
        <v>16</v>
      </c>
      <c r="B26" s="1307">
        <v>88</v>
      </c>
      <c r="C26" s="332"/>
      <c r="D26" s="332"/>
      <c r="E26" s="332"/>
      <c r="F26" s="332"/>
    </row>
    <row r="27" spans="1:6">
      <c r="A27" s="1306" t="s">
        <v>17</v>
      </c>
      <c r="B27" s="1307">
        <v>1</v>
      </c>
      <c r="C27" s="332"/>
      <c r="D27" s="332"/>
      <c r="E27" s="332"/>
      <c r="F27" s="332"/>
    </row>
    <row r="28" spans="1:6" s="43" customFormat="1">
      <c r="A28" s="1308" t="s">
        <v>18</v>
      </c>
      <c r="B28" s="1309">
        <v>120630</v>
      </c>
      <c r="C28" s="338"/>
      <c r="D28" s="338"/>
      <c r="E28" s="338"/>
      <c r="F28" s="338"/>
    </row>
    <row r="29" spans="1:6">
      <c r="A29" s="1308" t="s">
        <v>916</v>
      </c>
      <c r="B29" s="1309">
        <v>41</v>
      </c>
      <c r="C29" s="338"/>
      <c r="D29" s="338"/>
      <c r="E29" s="338"/>
      <c r="F29" s="338"/>
    </row>
    <row r="30" spans="1:6">
      <c r="A30" s="1301" t="s">
        <v>917</v>
      </c>
      <c r="B30" s="1310">
        <v>12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4</v>
      </c>
      <c r="D35" s="1307">
        <v>1384030</v>
      </c>
      <c r="E35" s="1307">
        <v>0</v>
      </c>
      <c r="F35" s="1307">
        <v>0</v>
      </c>
    </row>
    <row r="36" spans="1:6">
      <c r="A36" s="1306" t="s">
        <v>24</v>
      </c>
      <c r="B36" s="1306" t="s">
        <v>26</v>
      </c>
      <c r="C36" s="1307">
        <v>0</v>
      </c>
      <c r="D36" s="1307">
        <v>0</v>
      </c>
      <c r="E36" s="1307">
        <v>12</v>
      </c>
      <c r="F36" s="1307">
        <v>29007</v>
      </c>
    </row>
    <row r="37" spans="1:6">
      <c r="A37" s="1306" t="s">
        <v>24</v>
      </c>
      <c r="B37" s="1306" t="s">
        <v>27</v>
      </c>
      <c r="C37" s="1307">
        <v>0</v>
      </c>
      <c r="D37" s="1307">
        <v>0</v>
      </c>
      <c r="E37" s="1307">
        <v>0</v>
      </c>
      <c r="F37" s="1307">
        <v>0</v>
      </c>
    </row>
    <row r="38" spans="1:6">
      <c r="A38" s="1306" t="s">
        <v>24</v>
      </c>
      <c r="B38" s="1306" t="s">
        <v>28</v>
      </c>
      <c r="C38" s="1307">
        <v>2</v>
      </c>
      <c r="D38" s="1307">
        <v>237815</v>
      </c>
      <c r="E38" s="1307">
        <v>1</v>
      </c>
      <c r="F38" s="1307">
        <v>11208</v>
      </c>
    </row>
    <row r="39" spans="1:6">
      <c r="A39" s="1306" t="s">
        <v>29</v>
      </c>
      <c r="B39" s="1306" t="s">
        <v>30</v>
      </c>
      <c r="C39" s="1307">
        <v>8868</v>
      </c>
      <c r="D39" s="1307">
        <v>142554143</v>
      </c>
      <c r="E39" s="1307">
        <v>11603</v>
      </c>
      <c r="F39" s="1307">
        <v>42806884</v>
      </c>
    </row>
    <row r="40" spans="1:6">
      <c r="A40" s="1306" t="s">
        <v>29</v>
      </c>
      <c r="B40" s="1306" t="s">
        <v>28</v>
      </c>
      <c r="C40" s="1307">
        <v>0</v>
      </c>
      <c r="D40" s="1307">
        <v>0</v>
      </c>
      <c r="E40" s="1307">
        <v>0</v>
      </c>
      <c r="F40" s="1307">
        <v>0</v>
      </c>
    </row>
    <row r="41" spans="1:6">
      <c r="A41" s="1306" t="s">
        <v>31</v>
      </c>
      <c r="B41" s="1306" t="s">
        <v>32</v>
      </c>
      <c r="C41" s="1307">
        <v>113</v>
      </c>
      <c r="D41" s="1307">
        <v>6909424</v>
      </c>
      <c r="E41" s="1307">
        <v>300</v>
      </c>
      <c r="F41" s="1307">
        <v>12985368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16</v>
      </c>
      <c r="D44" s="1307">
        <v>4891548</v>
      </c>
      <c r="E44" s="1307">
        <v>51</v>
      </c>
      <c r="F44" s="1307">
        <v>5703802</v>
      </c>
    </row>
    <row r="45" spans="1:6">
      <c r="A45" s="1306" t="s">
        <v>31</v>
      </c>
      <c r="B45" s="1306" t="s">
        <v>36</v>
      </c>
      <c r="C45" s="1307">
        <v>3</v>
      </c>
      <c r="D45" s="1307">
        <v>151061</v>
      </c>
      <c r="E45" s="1307">
        <v>10</v>
      </c>
      <c r="F45" s="1307">
        <v>3571676</v>
      </c>
    </row>
    <row r="46" spans="1:6">
      <c r="A46" s="1306" t="s">
        <v>31</v>
      </c>
      <c r="B46" s="1306" t="s">
        <v>37</v>
      </c>
      <c r="C46" s="1307">
        <v>0</v>
      </c>
      <c r="D46" s="1307">
        <v>0</v>
      </c>
      <c r="E46" s="1307">
        <v>4</v>
      </c>
      <c r="F46" s="1307">
        <v>85377</v>
      </c>
    </row>
    <row r="47" spans="1:6">
      <c r="A47" s="1306" t="s">
        <v>31</v>
      </c>
      <c r="B47" s="1306" t="s">
        <v>38</v>
      </c>
      <c r="C47" s="1307">
        <v>10</v>
      </c>
      <c r="D47" s="1307">
        <v>6847039</v>
      </c>
      <c r="E47" s="1307">
        <v>14</v>
      </c>
      <c r="F47" s="1307">
        <v>1835728</v>
      </c>
    </row>
    <row r="48" spans="1:6">
      <c r="A48" s="1306" t="s">
        <v>31</v>
      </c>
      <c r="B48" s="1306" t="s">
        <v>28</v>
      </c>
      <c r="C48" s="1307">
        <v>1</v>
      </c>
      <c r="D48" s="1307">
        <v>212107</v>
      </c>
      <c r="E48" s="1307">
        <v>1</v>
      </c>
      <c r="F48" s="1307">
        <v>31588</v>
      </c>
    </row>
    <row r="49" spans="1:6">
      <c r="A49" s="1306" t="s">
        <v>31</v>
      </c>
      <c r="B49" s="1306" t="s">
        <v>39</v>
      </c>
      <c r="C49" s="1307">
        <v>13</v>
      </c>
      <c r="D49" s="1307">
        <v>49833961</v>
      </c>
      <c r="E49" s="1307">
        <v>26</v>
      </c>
      <c r="F49" s="1307">
        <v>16650811</v>
      </c>
    </row>
    <row r="50" spans="1:6">
      <c r="A50" s="1306" t="s">
        <v>31</v>
      </c>
      <c r="B50" s="1306" t="s">
        <v>40</v>
      </c>
      <c r="C50" s="1307">
        <v>23</v>
      </c>
      <c r="D50" s="1307">
        <v>10308761</v>
      </c>
      <c r="E50" s="1307">
        <v>38</v>
      </c>
      <c r="F50" s="1307">
        <v>4388033</v>
      </c>
    </row>
    <row r="51" spans="1:6">
      <c r="A51" s="1306" t="s">
        <v>41</v>
      </c>
      <c r="B51" s="1306" t="s">
        <v>42</v>
      </c>
      <c r="C51" s="1307">
        <v>15</v>
      </c>
      <c r="D51" s="1307">
        <v>44828484</v>
      </c>
      <c r="E51" s="1307">
        <v>80</v>
      </c>
      <c r="F51" s="1307">
        <v>2226667</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104</v>
      </c>
      <c r="F54" s="1307">
        <v>2219690</v>
      </c>
    </row>
    <row r="55" spans="1:6">
      <c r="A55" s="1306" t="s">
        <v>45</v>
      </c>
      <c r="B55" s="1306" t="s">
        <v>28</v>
      </c>
      <c r="C55" s="1307">
        <v>0</v>
      </c>
      <c r="D55" s="1307">
        <v>0</v>
      </c>
      <c r="E55" s="1307">
        <v>0</v>
      </c>
      <c r="F55" s="1307">
        <v>0</v>
      </c>
    </row>
    <row r="56" spans="1:6">
      <c r="A56" s="1306" t="s">
        <v>47</v>
      </c>
      <c r="B56" s="1306" t="s">
        <v>28</v>
      </c>
      <c r="C56" s="1307">
        <v>161</v>
      </c>
      <c r="D56" s="1307">
        <v>12745741</v>
      </c>
      <c r="E56" s="1307">
        <v>217</v>
      </c>
      <c r="F56" s="1307">
        <v>1565191</v>
      </c>
    </row>
    <row r="57" spans="1:6">
      <c r="A57" s="1306" t="s">
        <v>48</v>
      </c>
      <c r="B57" s="1306" t="s">
        <v>49</v>
      </c>
      <c r="C57" s="1307">
        <v>73</v>
      </c>
      <c r="D57" s="1307">
        <v>9343053</v>
      </c>
      <c r="E57" s="1307">
        <v>199</v>
      </c>
      <c r="F57" s="1307">
        <v>12110582</v>
      </c>
    </row>
    <row r="58" spans="1:6">
      <c r="A58" s="1306" t="s">
        <v>48</v>
      </c>
      <c r="B58" s="1306" t="s">
        <v>50</v>
      </c>
      <c r="C58" s="1307">
        <v>24</v>
      </c>
      <c r="D58" s="1307">
        <v>996300</v>
      </c>
      <c r="E58" s="1307">
        <v>45</v>
      </c>
      <c r="F58" s="1307">
        <v>924722</v>
      </c>
    </row>
    <row r="59" spans="1:6">
      <c r="A59" s="1306" t="s">
        <v>48</v>
      </c>
      <c r="B59" s="1306" t="s">
        <v>51</v>
      </c>
      <c r="C59" s="1307">
        <v>171</v>
      </c>
      <c r="D59" s="1307">
        <v>67390319</v>
      </c>
      <c r="E59" s="1307">
        <v>391</v>
      </c>
      <c r="F59" s="1307">
        <v>33428309</v>
      </c>
    </row>
    <row r="60" spans="1:6">
      <c r="A60" s="1306" t="s">
        <v>48</v>
      </c>
      <c r="B60" s="1306" t="s">
        <v>52</v>
      </c>
      <c r="C60" s="1307">
        <v>53</v>
      </c>
      <c r="D60" s="1307">
        <v>3480757</v>
      </c>
      <c r="E60" s="1307">
        <v>94</v>
      </c>
      <c r="F60" s="1307">
        <v>1924106</v>
      </c>
    </row>
    <row r="61" spans="1:6">
      <c r="A61" s="1306" t="s">
        <v>48</v>
      </c>
      <c r="B61" s="1306" t="s">
        <v>53</v>
      </c>
      <c r="C61" s="1307">
        <v>207</v>
      </c>
      <c r="D61" s="1307">
        <v>11108086</v>
      </c>
      <c r="E61" s="1307">
        <v>466</v>
      </c>
      <c r="F61" s="1307">
        <v>8800809</v>
      </c>
    </row>
    <row r="62" spans="1:6">
      <c r="A62" s="1306" t="s">
        <v>48</v>
      </c>
      <c r="B62" s="1306" t="s">
        <v>54</v>
      </c>
      <c r="C62" s="1307">
        <v>15</v>
      </c>
      <c r="D62" s="1307">
        <v>1920774</v>
      </c>
      <c r="E62" s="1307">
        <v>21</v>
      </c>
      <c r="F62" s="1307">
        <v>603252</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4139</v>
      </c>
      <c r="E65" s="1307">
        <v>1</v>
      </c>
      <c r="F65" s="1307">
        <v>1223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122807</v>
      </c>
      <c r="E68" s="1310">
        <v>13</v>
      </c>
      <c r="F68" s="1310">
        <v>140148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59445147</v>
      </c>
      <c r="E73" s="456"/>
      <c r="F73" s="332"/>
    </row>
    <row r="74" spans="1:6">
      <c r="A74" s="1306" t="s">
        <v>63</v>
      </c>
      <c r="B74" s="1306" t="s">
        <v>724</v>
      </c>
      <c r="C74" s="1320" t="s">
        <v>725</v>
      </c>
      <c r="D74" s="1321">
        <v>7675297.6661251821</v>
      </c>
      <c r="E74" s="456"/>
      <c r="F74" s="332"/>
    </row>
    <row r="75" spans="1:6">
      <c r="A75" s="1306" t="s">
        <v>64</v>
      </c>
      <c r="B75" s="1306" t="s">
        <v>722</v>
      </c>
      <c r="C75" s="1320" t="s">
        <v>726</v>
      </c>
      <c r="D75" s="1321">
        <v>35546553</v>
      </c>
      <c r="E75" s="456"/>
      <c r="F75" s="332"/>
    </row>
    <row r="76" spans="1:6">
      <c r="A76" s="1306" t="s">
        <v>64</v>
      </c>
      <c r="B76" s="1306" t="s">
        <v>724</v>
      </c>
      <c r="C76" s="1320" t="s">
        <v>727</v>
      </c>
      <c r="D76" s="1321">
        <v>2658638.6661251821</v>
      </c>
      <c r="E76" s="456"/>
      <c r="F76" s="332"/>
    </row>
    <row r="77" spans="1:6">
      <c r="A77" s="1306" t="s">
        <v>65</v>
      </c>
      <c r="B77" s="1306" t="s">
        <v>722</v>
      </c>
      <c r="C77" s="1320" t="s">
        <v>728</v>
      </c>
      <c r="D77" s="1321">
        <v>70750201</v>
      </c>
      <c r="E77" s="456"/>
      <c r="F77" s="332"/>
    </row>
    <row r="78" spans="1:6">
      <c r="A78" s="1301" t="s">
        <v>65</v>
      </c>
      <c r="B78" s="1301" t="s">
        <v>724</v>
      </c>
      <c r="C78" s="1301" t="s">
        <v>729</v>
      </c>
      <c r="D78" s="1322">
        <v>17573897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393622.66774963564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11224.94277</v>
      </c>
      <c r="C90" s="332"/>
      <c r="D90" s="332"/>
      <c r="E90" s="332"/>
      <c r="F90" s="332"/>
    </row>
    <row r="91" spans="1:6">
      <c r="A91" s="1306" t="s">
        <v>67</v>
      </c>
      <c r="B91" s="1307">
        <v>4142.16694859564</v>
      </c>
      <c r="C91" s="332"/>
      <c r="D91" s="332"/>
      <c r="E91" s="332"/>
      <c r="F91" s="332"/>
    </row>
    <row r="92" spans="1:6">
      <c r="A92" s="1301" t="s">
        <v>68</v>
      </c>
      <c r="B92" s="1302">
        <v>11077.689702394357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6352</v>
      </c>
      <c r="C97" s="332"/>
      <c r="D97" s="332"/>
      <c r="E97" s="332"/>
      <c r="F97" s="332"/>
    </row>
    <row r="98" spans="1:6">
      <c r="A98" s="1306" t="s">
        <v>71</v>
      </c>
      <c r="B98" s="1307">
        <v>0</v>
      </c>
      <c r="C98" s="332"/>
      <c r="D98" s="332"/>
      <c r="E98" s="332"/>
      <c r="F98" s="332"/>
    </row>
    <row r="99" spans="1:6">
      <c r="A99" s="1306" t="s">
        <v>72</v>
      </c>
      <c r="B99" s="1307">
        <v>112</v>
      </c>
      <c r="C99" s="332"/>
      <c r="D99" s="332"/>
      <c r="E99" s="332"/>
      <c r="F99" s="332"/>
    </row>
    <row r="100" spans="1:6">
      <c r="A100" s="1306" t="s">
        <v>73</v>
      </c>
      <c r="B100" s="1307">
        <v>800</v>
      </c>
      <c r="C100" s="332"/>
      <c r="D100" s="332"/>
      <c r="E100" s="332"/>
      <c r="F100" s="332"/>
    </row>
    <row r="101" spans="1:6">
      <c r="A101" s="1306" t="s">
        <v>74</v>
      </c>
      <c r="B101" s="1307">
        <v>112</v>
      </c>
      <c r="C101" s="332"/>
      <c r="D101" s="332"/>
      <c r="E101" s="332"/>
      <c r="F101" s="332"/>
    </row>
    <row r="102" spans="1:6">
      <c r="A102" s="1306" t="s">
        <v>75</v>
      </c>
      <c r="B102" s="1307">
        <v>177</v>
      </c>
      <c r="C102" s="332"/>
      <c r="D102" s="332"/>
      <c r="E102" s="332"/>
      <c r="F102" s="332"/>
    </row>
    <row r="103" spans="1:6">
      <c r="A103" s="1306" t="s">
        <v>76</v>
      </c>
      <c r="B103" s="1307">
        <v>204</v>
      </c>
      <c r="C103" s="332"/>
      <c r="D103" s="332"/>
      <c r="E103" s="332"/>
      <c r="F103" s="332"/>
    </row>
    <row r="104" spans="1:6">
      <c r="A104" s="1306" t="s">
        <v>77</v>
      </c>
      <c r="B104" s="1307">
        <v>2528</v>
      </c>
      <c r="C104" s="332"/>
      <c r="D104" s="332"/>
      <c r="E104" s="332"/>
      <c r="F104" s="332"/>
    </row>
    <row r="105" spans="1:6">
      <c r="A105" s="1301" t="s">
        <v>78</v>
      </c>
      <c r="B105" s="1310">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3</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22</v>
      </c>
      <c r="C123" s="1307">
        <v>35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131</v>
      </c>
      <c r="C129" s="332"/>
      <c r="D129" s="332"/>
      <c r="E129" s="332"/>
      <c r="F129" s="332"/>
    </row>
    <row r="130" spans="1:6">
      <c r="A130" s="1306" t="s">
        <v>294</v>
      </c>
      <c r="B130" s="1307">
        <v>0</v>
      </c>
      <c r="C130" s="332"/>
      <c r="D130" s="332"/>
      <c r="E130" s="332"/>
      <c r="F130" s="332"/>
    </row>
    <row r="131" spans="1:6">
      <c r="A131" s="1306" t="s">
        <v>295</v>
      </c>
      <c r="B131" s="1307">
        <v>6</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157352.91700114016</v>
      </c>
      <c r="C3" s="43" t="s">
        <v>169</v>
      </c>
      <c r="D3" s="43"/>
      <c r="E3" s="156"/>
      <c r="F3" s="43"/>
      <c r="G3" s="43"/>
      <c r="H3" s="43"/>
      <c r="I3" s="43"/>
      <c r="J3" s="43"/>
      <c r="K3" s="96"/>
    </row>
    <row r="4" spans="1:11">
      <c r="A4" s="363" t="s">
        <v>170</v>
      </c>
      <c r="B4" s="49">
        <f>IF(ISERROR('SEAP template'!B78+'SEAP template'!C78),0,'SEAP template'!B78+'SEAP template'!C78)</f>
        <v>48773.799420989999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4413.4623529411774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0.18054604820543946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6304.9462184873964</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29982.857142857145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0.21028503682776717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2219.69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2219.69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0.18054604820543946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400.75625774113195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42806.883999999998</v>
      </c>
      <c r="C5" s="17">
        <f>IF(ISERROR('Eigen informatie GS &amp; warmtenet'!B57),0,'Eigen informatie GS &amp; warmtenet'!B57)</f>
        <v>0</v>
      </c>
      <c r="D5" s="30">
        <f>(SUM(HH_hh_gas_kWh,HH_rest_gas_kWh)/1000)*0.902</f>
        <v>128583.83698600001</v>
      </c>
      <c r="E5" s="17">
        <f>B46*B57</f>
        <v>5890.0467704180801</v>
      </c>
      <c r="F5" s="17">
        <f>B51*B62</f>
        <v>6203.7010058792084</v>
      </c>
      <c r="G5" s="18"/>
      <c r="H5" s="17"/>
      <c r="I5" s="17"/>
      <c r="J5" s="17">
        <f>B50*B61+C50*C61</f>
        <v>0</v>
      </c>
      <c r="K5" s="17"/>
      <c r="L5" s="17"/>
      <c r="M5" s="17"/>
      <c r="N5" s="17">
        <f>B48*B59+C48*C59</f>
        <v>20161.486066276175</v>
      </c>
      <c r="O5" s="17">
        <f>B69*B70*B71</f>
        <v>259.51333333333338</v>
      </c>
      <c r="P5" s="17">
        <f>B77*B78*B79/1000-B77*B78*B79/1000/B80</f>
        <v>514.79999999999995</v>
      </c>
    </row>
    <row r="6" spans="1:16">
      <c r="A6" s="16" t="s">
        <v>633</v>
      </c>
      <c r="B6" s="779">
        <f>kWh_PV_kleiner_dan_10kW</f>
        <v>4142.16694859564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46949.050948595635</v>
      </c>
      <c r="C8" s="21">
        <f>C5</f>
        <v>0</v>
      </c>
      <c r="D8" s="21">
        <f>D5</f>
        <v>128583.83698600001</v>
      </c>
      <c r="E8" s="21">
        <f>E5</f>
        <v>5890.0467704180801</v>
      </c>
      <c r="F8" s="21">
        <f>F5</f>
        <v>6203.7010058792084</v>
      </c>
      <c r="G8" s="21"/>
      <c r="H8" s="21"/>
      <c r="I8" s="21"/>
      <c r="J8" s="21">
        <f>J5</f>
        <v>0</v>
      </c>
      <c r="K8" s="21"/>
      <c r="L8" s="21">
        <f>L5</f>
        <v>0</v>
      </c>
      <c r="M8" s="21">
        <f>M5</f>
        <v>0</v>
      </c>
      <c r="N8" s="21">
        <f>N5</f>
        <v>20161.486066276175</v>
      </c>
      <c r="O8" s="21">
        <f>O5</f>
        <v>259.51333333333338</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0.18054604820543946</v>
      </c>
      <c r="C10" s="25">
        <f ca="1">'EF ele_warmte'!B22</f>
        <v>0.21028503682776717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8476.4656157647805</v>
      </c>
      <c r="C12" s="23">
        <f ca="1">C10*C8</f>
        <v>0</v>
      </c>
      <c r="D12" s="23">
        <f>D8*D10</f>
        <v>25973.935071172004</v>
      </c>
      <c r="E12" s="23">
        <f>E10*E8</f>
        <v>1337.0406168849042</v>
      </c>
      <c r="F12" s="23">
        <f>F10*F8</f>
        <v>1656.3881685697488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6352</v>
      </c>
      <c r="C18" s="168" t="s">
        <v>110</v>
      </c>
      <c r="D18" s="230"/>
      <c r="E18" s="15"/>
    </row>
    <row r="19" spans="1:7">
      <c r="A19" s="173" t="s">
        <v>71</v>
      </c>
      <c r="B19" s="37">
        <f>aantalw2001_ander</f>
        <v>0</v>
      </c>
      <c r="C19" s="168" t="s">
        <v>110</v>
      </c>
      <c r="D19" s="231"/>
      <c r="E19" s="15"/>
    </row>
    <row r="20" spans="1:7">
      <c r="A20" s="173" t="s">
        <v>72</v>
      </c>
      <c r="B20" s="37">
        <f>aantalw2001_propaan</f>
        <v>112</v>
      </c>
      <c r="C20" s="169">
        <f>IF(ISERROR(B20/SUM($B$20,$B$21,$B$22)*100),0,B20/SUM($B$20,$B$21,$B$22)*100)</f>
        <v>10.9375</v>
      </c>
      <c r="D20" s="231"/>
      <c r="E20" s="15"/>
    </row>
    <row r="21" spans="1:7">
      <c r="A21" s="173" t="s">
        <v>73</v>
      </c>
      <c r="B21" s="37">
        <f>aantalw2001_elektriciteit</f>
        <v>800</v>
      </c>
      <c r="C21" s="169">
        <f>IF(ISERROR(B21/SUM($B$20,$B$21,$B$22)*100),0,B21/SUM($B$20,$B$21,$B$22)*100)</f>
        <v>78.125</v>
      </c>
      <c r="D21" s="231"/>
      <c r="E21" s="15"/>
    </row>
    <row r="22" spans="1:7">
      <c r="A22" s="173" t="s">
        <v>74</v>
      </c>
      <c r="B22" s="37">
        <f>aantalw2001_hout</f>
        <v>112</v>
      </c>
      <c r="C22" s="169">
        <f>IF(ISERROR(B22/SUM($B$20,$B$21,$B$22)*100),0,B22/SUM($B$20,$B$21,$B$22)*100)</f>
        <v>10.9375</v>
      </c>
      <c r="D22" s="231"/>
      <c r="E22" s="15"/>
    </row>
    <row r="23" spans="1:7">
      <c r="A23" s="173" t="s">
        <v>75</v>
      </c>
      <c r="B23" s="37">
        <f>aantalw2001_niet_gespec</f>
        <v>177</v>
      </c>
      <c r="C23" s="168" t="s">
        <v>110</v>
      </c>
      <c r="D23" s="230"/>
      <c r="E23" s="15"/>
    </row>
    <row r="24" spans="1:7">
      <c r="A24" s="173" t="s">
        <v>76</v>
      </c>
      <c r="B24" s="37">
        <f>aantalw2001_steenkool</f>
        <v>204</v>
      </c>
      <c r="C24" s="168" t="s">
        <v>110</v>
      </c>
      <c r="D24" s="231"/>
      <c r="E24" s="15"/>
    </row>
    <row r="25" spans="1:7">
      <c r="A25" s="173" t="s">
        <v>77</v>
      </c>
      <c r="B25" s="37">
        <f>aantalw2001_stookolie</f>
        <v>2528</v>
      </c>
      <c r="C25" s="168" t="s">
        <v>110</v>
      </c>
      <c r="D25" s="230"/>
      <c r="E25" s="52"/>
    </row>
    <row r="26" spans="1:7">
      <c r="A26" s="173" t="s">
        <v>78</v>
      </c>
      <c r="B26" s="37">
        <f>aantalw2001_WP</f>
        <v>10</v>
      </c>
      <c r="C26" s="168" t="s">
        <v>110</v>
      </c>
      <c r="D26" s="230"/>
      <c r="E26" s="15"/>
    </row>
    <row r="27" spans="1:7" s="15" customFormat="1">
      <c r="A27" s="173"/>
      <c r="B27" s="29"/>
      <c r="C27" s="36"/>
      <c r="D27" s="230"/>
    </row>
    <row r="28" spans="1:7" s="15" customFormat="1">
      <c r="A28" s="232" t="s">
        <v>742</v>
      </c>
      <c r="B28" s="37">
        <f>aantalHuishoudens</f>
        <v>11507</v>
      </c>
      <c r="C28" s="36"/>
      <c r="D28" s="230"/>
    </row>
    <row r="29" spans="1:7" s="15" customFormat="1">
      <c r="A29" s="232" t="s">
        <v>743</v>
      </c>
      <c r="B29" s="37">
        <f>SUM(HH_hh_gas_aantal,HH_rest_gas_aantal)</f>
        <v>8868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8868</v>
      </c>
      <c r="C32" s="169">
        <f>IF(ISERROR(B32/SUM($B$32,$B$34,$B$35,$B$36,$B$38,$B$39)*100),0,B32/SUM($B$32,$B$34,$B$35,$B$36,$B$38,$B$39)*100)</f>
        <v>77.247386759581872</v>
      </c>
      <c r="D32" s="235"/>
      <c r="G32" s="15"/>
    </row>
    <row r="33" spans="1:7">
      <c r="A33" s="173" t="s">
        <v>71</v>
      </c>
      <c r="B33" s="34" t="s">
        <v>110</v>
      </c>
      <c r="C33" s="169"/>
      <c r="D33" s="235"/>
      <c r="G33" s="15"/>
    </row>
    <row r="34" spans="1:7">
      <c r="A34" s="173" t="s">
        <v>72</v>
      </c>
      <c r="B34" s="33">
        <f>IF((($B$28-$B$32-$B$39-$B$77-$B$38)*C20/100)&lt;0,0,($B$28-$B$32-$B$39-$B$77-$B$38)*C20/100)</f>
        <v>256.85624999999999</v>
      </c>
      <c r="C34" s="169">
        <f>IF(ISERROR(B34/SUM($B$32,$B$34,$B$35,$B$36,$B$38,$B$39)*100),0,B34/SUM($B$32,$B$34,$B$35,$B$36,$B$38,$B$39)*100)</f>
        <v>2.2374237804878043</v>
      </c>
      <c r="D34" s="235"/>
      <c r="G34" s="15"/>
    </row>
    <row r="35" spans="1:7">
      <c r="A35" s="173" t="s">
        <v>73</v>
      </c>
      <c r="B35" s="33">
        <f>IF((($B$28-$B$32-$B$39-$B$77-$B$38)*C21/100)&lt;0,0,($B$28-$B$32-$B$39-$B$77-$B$38)*C21/100)</f>
        <v>1834.6875</v>
      </c>
      <c r="C35" s="169">
        <f>IF(ISERROR(B35/SUM($B$32,$B$34,$B$35,$B$36,$B$38,$B$39)*100),0,B35/SUM($B$32,$B$34,$B$35,$B$36,$B$38,$B$39)*100)</f>
        <v>15.981598432055746</v>
      </c>
      <c r="D35" s="235"/>
      <c r="G35" s="15"/>
    </row>
    <row r="36" spans="1:7">
      <c r="A36" s="173" t="s">
        <v>74</v>
      </c>
      <c r="B36" s="33">
        <f>IF((($B$28-$B$32-$B$39-$B$77-$B$38)*C22/100)&lt;0,0,($B$28-$B$32-$B$39-$B$77-$B$38)*C22/100)</f>
        <v>256.85624999999999</v>
      </c>
      <c r="C36" s="169">
        <f>IF(ISERROR(B36/SUM($B$32,$B$34,$B$35,$B$36,$B$38,$B$39)*100),0,B36/SUM($B$32,$B$34,$B$35,$B$36,$B$38,$B$39)*100)</f>
        <v>2.2374237804878043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263.59999999999991</v>
      </c>
      <c r="C39" s="169">
        <f>IF(ISERROR(B39/SUM($B$32,$B$34,$B$35,$B$36,$B$38,$B$39)*100),0,B39/SUM($B$32,$B$34,$B$35,$B$36,$B$38,$B$39)*100)</f>
        <v>2.2961672473867583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8868</v>
      </c>
      <c r="C44" s="34" t="s">
        <v>110</v>
      </c>
      <c r="D44" s="176"/>
    </row>
    <row r="45" spans="1:7">
      <c r="A45" s="173" t="s">
        <v>71</v>
      </c>
      <c r="B45" s="33" t="str">
        <f t="shared" si="0"/>
        <v>-</v>
      </c>
      <c r="C45" s="34" t="s">
        <v>110</v>
      </c>
      <c r="D45" s="176"/>
    </row>
    <row r="46" spans="1:7">
      <c r="A46" s="173" t="s">
        <v>72</v>
      </c>
      <c r="B46" s="33">
        <f t="shared" si="0"/>
        <v>256.85624999999999</v>
      </c>
      <c r="C46" s="34" t="s">
        <v>110</v>
      </c>
      <c r="D46" s="176"/>
    </row>
    <row r="47" spans="1:7">
      <c r="A47" s="173" t="s">
        <v>73</v>
      </c>
      <c r="B47" s="33">
        <f t="shared" si="0"/>
        <v>1834.6875</v>
      </c>
      <c r="C47" s="34" t="s">
        <v>110</v>
      </c>
      <c r="D47" s="176"/>
    </row>
    <row r="48" spans="1:7">
      <c r="A48" s="173" t="s">
        <v>74</v>
      </c>
      <c r="B48" s="33">
        <f t="shared" si="0"/>
        <v>256.85624999999999</v>
      </c>
      <c r="C48" s="33">
        <f>B48*10</f>
        <v>2568.5625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263.59999999999991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166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57791.780000000006</v>
      </c>
      <c r="C5" s="17">
        <f>IF(ISERROR('Eigen informatie GS &amp; warmtenet'!B58),0,'Eigen informatie GS &amp; warmtenet'!B58)</f>
        <v>0</v>
      </c>
      <c r="D5" s="30">
        <f>SUM(D6:D12)</f>
        <v>85003.838678000015</v>
      </c>
      <c r="E5" s="17">
        <f>SUM(E6:E12)</f>
        <v>681.63591806614636</v>
      </c>
      <c r="F5" s="17">
        <f>SUM(F6:F12)</f>
        <v>11693.277962428614</v>
      </c>
      <c r="G5" s="18"/>
      <c r="H5" s="17"/>
      <c r="I5" s="17"/>
      <c r="J5" s="17">
        <f>SUM(J6:J12)</f>
        <v>0</v>
      </c>
      <c r="K5" s="17"/>
      <c r="L5" s="17"/>
      <c r="M5" s="17"/>
      <c r="N5" s="17">
        <f>SUM(N6:N12)</f>
        <v>8544.8204569991794</v>
      </c>
      <c r="O5" s="17">
        <f>B38*B39*B40</f>
        <v>0</v>
      </c>
      <c r="P5" s="17">
        <f>B46*B47*B48/1000-B46*B47*B48/1000/B49</f>
        <v>114.4</v>
      </c>
      <c r="R5" s="32"/>
    </row>
    <row r="6" spans="1:18">
      <c r="A6" s="32" t="s">
        <v>53</v>
      </c>
      <c r="B6" s="37">
        <f>B26</f>
        <v>8800.8089999999993</v>
      </c>
      <c r="C6" s="33"/>
      <c r="D6" s="37">
        <f>IF(ISERROR(TER_kantoor_gas_kWh/1000),0,TER_kantoor_gas_kWh/1000)*0.902</f>
        <v>10019.493571999999</v>
      </c>
      <c r="E6" s="33">
        <f>$C$26*'E Balans VL '!I12/100/3.6*1000000</f>
        <v>34.193006204826673</v>
      </c>
      <c r="F6" s="33">
        <f>$C$26*('E Balans VL '!L12+'E Balans VL '!N12)/100/3.6*1000000</f>
        <v>1338.5229679227093</v>
      </c>
      <c r="G6" s="34"/>
      <c r="H6" s="33"/>
      <c r="I6" s="33"/>
      <c r="J6" s="33">
        <f>$C$26*('E Balans VL '!D12+'E Balans VL '!E12)/100/3.6*1000000</f>
        <v>0</v>
      </c>
      <c r="K6" s="33"/>
      <c r="L6" s="33"/>
      <c r="M6" s="33"/>
      <c r="N6" s="33">
        <f>$C$26*'E Balans VL '!Y12/100/3.6*1000000</f>
        <v>4.8503000699537431</v>
      </c>
      <c r="O6" s="33"/>
      <c r="P6" s="33"/>
      <c r="R6" s="32"/>
    </row>
    <row r="7" spans="1:18">
      <c r="A7" s="32" t="s">
        <v>52</v>
      </c>
      <c r="B7" s="37">
        <f t="shared" ref="B7:B12" si="0">B27</f>
        <v>1924.106</v>
      </c>
      <c r="C7" s="33"/>
      <c r="D7" s="37">
        <f>IF(ISERROR(TER_horeca_gas_kWh/1000),0,TER_horeca_gas_kWh/1000)*0.902</f>
        <v>3139.6428140000003</v>
      </c>
      <c r="E7" s="33">
        <f>$C$27*'E Balans VL '!I9/100/3.6*1000000</f>
        <v>108.38540540071388</v>
      </c>
      <c r="F7" s="33">
        <f>$C$27*('E Balans VL '!L9+'E Balans VL '!N9)/100/3.6*1000000</f>
        <v>554.7969765253473</v>
      </c>
      <c r="G7" s="34"/>
      <c r="H7" s="33"/>
      <c r="I7" s="33"/>
      <c r="J7" s="33">
        <f>$C$27*('E Balans VL '!D9+'E Balans VL '!E9)/100/3.6*1000000</f>
        <v>0</v>
      </c>
      <c r="K7" s="33"/>
      <c r="L7" s="33"/>
      <c r="M7" s="33"/>
      <c r="N7" s="33">
        <f>$C$27*'E Balans VL '!Y9/100/3.6*1000000</f>
        <v>0.53123566800448685</v>
      </c>
      <c r="O7" s="33"/>
      <c r="P7" s="33"/>
      <c r="R7" s="32"/>
    </row>
    <row r="8" spans="1:18">
      <c r="A8" s="6" t="s">
        <v>51</v>
      </c>
      <c r="B8" s="37">
        <f t="shared" si="0"/>
        <v>33428.309000000001</v>
      </c>
      <c r="C8" s="33"/>
      <c r="D8" s="37">
        <f>IF(ISERROR(TER_handel_gas_kWh/1000),0,TER_handel_gas_kWh/1000)*0.902</f>
        <v>60786.067738000005</v>
      </c>
      <c r="E8" s="33">
        <f>$C$28*'E Balans VL '!I13/100/3.6*1000000</f>
        <v>481.81534366080393</v>
      </c>
      <c r="F8" s="33">
        <f>$C$28*('E Balans VL '!L13+'E Balans VL '!N13)/100/3.6*1000000</f>
        <v>5807.2757660848101</v>
      </c>
      <c r="G8" s="34"/>
      <c r="H8" s="33"/>
      <c r="I8" s="33"/>
      <c r="J8" s="33">
        <f>$C$28*('E Balans VL '!D13+'E Balans VL '!E13)/100/3.6*1000000</f>
        <v>0</v>
      </c>
      <c r="K8" s="33"/>
      <c r="L8" s="33"/>
      <c r="M8" s="33"/>
      <c r="N8" s="33">
        <f>$C$28*'E Balans VL '!Y13/100/3.6*1000000</f>
        <v>100.15493508001755</v>
      </c>
      <c r="O8" s="33"/>
      <c r="P8" s="33"/>
      <c r="R8" s="32"/>
    </row>
    <row r="9" spans="1:18">
      <c r="A9" s="32" t="s">
        <v>50</v>
      </c>
      <c r="B9" s="37">
        <f t="shared" si="0"/>
        <v>924.72199999999998</v>
      </c>
      <c r="C9" s="33"/>
      <c r="D9" s="37">
        <f>IF(ISERROR(TER_gezond_gas_kWh/1000),0,TER_gezond_gas_kWh/1000)*0.902</f>
        <v>898.6626</v>
      </c>
      <c r="E9" s="33">
        <f>$C$29*'E Balans VL '!I10/100/3.6*1000000</f>
        <v>0.98784277514046237</v>
      </c>
      <c r="F9" s="33">
        <f>$C$29*('E Balans VL '!L10+'E Balans VL '!N10)/100/3.6*1000000</f>
        <v>150.85026155616515</v>
      </c>
      <c r="G9" s="34"/>
      <c r="H9" s="33"/>
      <c r="I9" s="33"/>
      <c r="J9" s="33">
        <f>$C$29*('E Balans VL '!D10+'E Balans VL '!E10)/100/3.6*1000000</f>
        <v>0</v>
      </c>
      <c r="K9" s="33"/>
      <c r="L9" s="33"/>
      <c r="M9" s="33"/>
      <c r="N9" s="33">
        <f>$C$29*'E Balans VL '!Y10/100/3.6*1000000</f>
        <v>9.5194853541532964</v>
      </c>
      <c r="O9" s="33"/>
      <c r="P9" s="33"/>
      <c r="R9" s="32"/>
    </row>
    <row r="10" spans="1:18">
      <c r="A10" s="32" t="s">
        <v>49</v>
      </c>
      <c r="B10" s="37">
        <f t="shared" si="0"/>
        <v>12110.582</v>
      </c>
      <c r="C10" s="33"/>
      <c r="D10" s="37">
        <f>IF(ISERROR(TER_ander_gas_kWh/1000),0,TER_ander_gas_kWh/1000)*0.902</f>
        <v>8427.4338060000009</v>
      </c>
      <c r="E10" s="33">
        <f>$C$30*'E Balans VL '!I14/100/3.6*1000000</f>
        <v>55.694724461727859</v>
      </c>
      <c r="F10" s="33">
        <f>$C$30*('E Balans VL '!L14+'E Balans VL '!N14)/100/3.6*1000000</f>
        <v>3629.9234274899786</v>
      </c>
      <c r="G10" s="34"/>
      <c r="H10" s="33"/>
      <c r="I10" s="33"/>
      <c r="J10" s="33">
        <f>$C$30*('E Balans VL '!D14+'E Balans VL '!E14)/100/3.6*1000000</f>
        <v>0</v>
      </c>
      <c r="K10" s="33"/>
      <c r="L10" s="33"/>
      <c r="M10" s="33"/>
      <c r="N10" s="33">
        <f>$C$30*'E Balans VL '!Y14/100/3.6*1000000</f>
        <v>8429.7645008270501</v>
      </c>
      <c r="O10" s="33"/>
      <c r="P10" s="33"/>
      <c r="R10" s="32"/>
    </row>
    <row r="11" spans="1:18">
      <c r="A11" s="32" t="s">
        <v>54</v>
      </c>
      <c r="B11" s="37">
        <f t="shared" si="0"/>
        <v>603.25199999999995</v>
      </c>
      <c r="C11" s="33"/>
      <c r="D11" s="37">
        <f>IF(ISERROR(TER_onderwijs_gas_kWh/1000),0,TER_onderwijs_gas_kWh/1000)*0.902</f>
        <v>1732.5381479999999</v>
      </c>
      <c r="E11" s="33">
        <f>$C$31*'E Balans VL '!I11/100/3.6*1000000</f>
        <v>0.55959556293348078</v>
      </c>
      <c r="F11" s="33">
        <f>$C$31*('E Balans VL '!L11+'E Balans VL '!N11)/100/3.6*1000000</f>
        <v>211.90856284960296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energieproductie'!N41+'lokale energieproductie'!N34</f>
        <v>1341</v>
      </c>
      <c r="C13" s="249">
        <f ca="1">'lokale energieproductie'!O41+'lokale energieproductie'!O34</f>
        <v>0</v>
      </c>
      <c r="D13" s="310">
        <f ca="1">('lokale energieproductie'!P34+'lokale energieproductie'!P41)*(-1)</f>
        <v>0</v>
      </c>
      <c r="E13" s="250"/>
      <c r="F13" s="310">
        <f ca="1">('lokale energieproductie'!S34+'lokale energieproductie'!S41)*(-1)</f>
        <v>0</v>
      </c>
      <c r="G13" s="251"/>
      <c r="H13" s="250"/>
      <c r="I13" s="250"/>
      <c r="J13" s="250"/>
      <c r="K13" s="250"/>
      <c r="L13" s="310">
        <f ca="1">('lokale energieproductie'!U34+'lokale energieproductie'!T34+'lokale energieproductie'!U41+'lokale energieproductie'!T41)*(-1)</f>
        <v>0</v>
      </c>
      <c r="M13" s="250"/>
      <c r="N13" s="310">
        <f ca="1">('lokale energieproductie'!Q34+'lokale energieproductie'!R34+'lokale energieproductie'!V34+'lokale energieproductie'!Q41+'lokale energieproductie'!R41+'lokale energieproductie'!V41)*(-1)</f>
        <v>-3831.4285714285716</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59132.780000000006</v>
      </c>
      <c r="C16" s="21">
        <f t="shared" ca="1" si="1"/>
        <v>0</v>
      </c>
      <c r="D16" s="21">
        <f t="shared" ca="1" si="1"/>
        <v>85003.838678000015</v>
      </c>
      <c r="E16" s="21">
        <f t="shared" si="1"/>
        <v>681.63591806614636</v>
      </c>
      <c r="F16" s="21">
        <f t="shared" ca="1" si="1"/>
        <v>11693.277962428614</v>
      </c>
      <c r="G16" s="21">
        <f t="shared" si="1"/>
        <v>0</v>
      </c>
      <c r="H16" s="21">
        <f t="shared" si="1"/>
        <v>0</v>
      </c>
      <c r="I16" s="21">
        <f t="shared" si="1"/>
        <v>0</v>
      </c>
      <c r="J16" s="21">
        <f t="shared" si="1"/>
        <v>0</v>
      </c>
      <c r="K16" s="21">
        <f t="shared" si="1"/>
        <v>0</v>
      </c>
      <c r="L16" s="21">
        <f t="shared" ca="1" si="1"/>
        <v>0</v>
      </c>
      <c r="M16" s="21">
        <f t="shared" si="1"/>
        <v>0</v>
      </c>
      <c r="N16" s="21">
        <f t="shared" ca="1" si="1"/>
        <v>4713.3918855706079</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0.18054604820543946</v>
      </c>
      <c r="C18" s="25">
        <f ca="1">'EF ele_warmte'!B22</f>
        <v>0.21028503682776717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10676.189748401648</v>
      </c>
      <c r="C20" s="23">
        <f t="shared" ref="C20:P20" ca="1" si="2">C16*C18</f>
        <v>0</v>
      </c>
      <c r="D20" s="23">
        <f t="shared" ca="1" si="2"/>
        <v>17170.775412956005</v>
      </c>
      <c r="E20" s="23">
        <f t="shared" si="2"/>
        <v>154.73135340101524</v>
      </c>
      <c r="F20" s="23">
        <f t="shared" ca="1" si="2"/>
        <v>3122.10521596844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8800.8089999999993</v>
      </c>
      <c r="C26" s="39">
        <f>IF(ISERROR(B26*3.6/1000000/'E Balans VL '!Z12*100),0,B26*3.6/1000000/'E Balans VL '!Z12*100)</f>
        <v>0.18693354251407029</v>
      </c>
      <c r="D26" s="239" t="s">
        <v>689</v>
      </c>
      <c r="F26" s="6"/>
    </row>
    <row r="27" spans="1:18">
      <c r="A27" s="233" t="s">
        <v>52</v>
      </c>
      <c r="B27" s="33">
        <f>IF(ISERROR(TER_horeca_ele_kWh/1000),0,TER_horeca_ele_kWh/1000)</f>
        <v>1924.106</v>
      </c>
      <c r="C27" s="39">
        <f>IF(ISERROR(B27*3.6/1000000/'E Balans VL '!Z9*100),0,B27*3.6/1000000/'E Balans VL '!Z9*100)</f>
        <v>0.14961095945618938</v>
      </c>
      <c r="D27" s="239" t="s">
        <v>689</v>
      </c>
      <c r="F27" s="6"/>
    </row>
    <row r="28" spans="1:18">
      <c r="A28" s="173" t="s">
        <v>51</v>
      </c>
      <c r="B28" s="33">
        <f>IF(ISERROR(TER_handel_ele_kWh/1000),0,TER_handel_ele_kWh/1000)</f>
        <v>33428.309000000001</v>
      </c>
      <c r="C28" s="39">
        <f>IF(ISERROR(B28*3.6/1000000/'E Balans VL '!Z13*100),0,B28*3.6/1000000/'E Balans VL '!Z13*100)</f>
        <v>0.95642326167419445</v>
      </c>
      <c r="D28" s="239" t="s">
        <v>689</v>
      </c>
      <c r="F28" s="6"/>
    </row>
    <row r="29" spans="1:18">
      <c r="A29" s="233" t="s">
        <v>50</v>
      </c>
      <c r="B29" s="33">
        <f>IF(ISERROR(TER_gezond_ele_kWh/1000),0,TER_gezond_ele_kWh/1000)</f>
        <v>924.72199999999998</v>
      </c>
      <c r="C29" s="39">
        <f>IF(ISERROR(B29*3.6/1000000/'E Balans VL '!Z10*100),0,B29*3.6/1000000/'E Balans VL '!Z10*100)</f>
        <v>0.10081618596218946</v>
      </c>
      <c r="D29" s="239" t="s">
        <v>689</v>
      </c>
      <c r="F29" s="6"/>
    </row>
    <row r="30" spans="1:18">
      <c r="A30" s="233" t="s">
        <v>49</v>
      </c>
      <c r="B30" s="33">
        <f>IF(ISERROR(TER_ander_ele_kWh/1000),0,TER_ander_ele_kWh/1000)</f>
        <v>12110.582</v>
      </c>
      <c r="C30" s="39">
        <f>IF(ISERROR(B30*3.6/1000000/'E Balans VL '!Z14*100),0,B30*3.6/1000000/'E Balans VL '!Z14*100)</f>
        <v>0.88622491855597407</v>
      </c>
      <c r="D30" s="239" t="s">
        <v>689</v>
      </c>
      <c r="F30" s="6"/>
    </row>
    <row r="31" spans="1:18">
      <c r="A31" s="233" t="s">
        <v>54</v>
      </c>
      <c r="B31" s="33">
        <f>IF(ISERROR(TER_onderwijs_ele_kWh/1000),0,TER_onderwijs_ele_kWh/1000)</f>
        <v>603.25199999999995</v>
      </c>
      <c r="C31" s="39">
        <f>IF(ISERROR(B31*3.6/1000000/'E Balans VL '!Z11*100),0,B31*3.6/1000000/'E Balans VL '!Z11*100)</f>
        <v>0.12116361216258265</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6</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45252.383000000009</v>
      </c>
      <c r="C5" s="17">
        <f>IF(ISERROR('Eigen informatie GS &amp; warmtenet'!B59),0,'Eigen informatie GS &amp; warmtenet'!B59)</f>
        <v>0</v>
      </c>
      <c r="D5" s="30">
        <f>SUM(D6:D15)</f>
        <v>71396.818702000019</v>
      </c>
      <c r="E5" s="17">
        <f>SUM(E6:E15)</f>
        <v>4088.6906219285052</v>
      </c>
      <c r="F5" s="17">
        <f>SUM(F6:F15)</f>
        <v>18779.594345327492</v>
      </c>
      <c r="G5" s="18"/>
      <c r="H5" s="17"/>
      <c r="I5" s="17"/>
      <c r="J5" s="17">
        <f>SUM(J6:J15)</f>
        <v>47.00750900851282</v>
      </c>
      <c r="K5" s="17"/>
      <c r="L5" s="17"/>
      <c r="M5" s="17"/>
      <c r="N5" s="17">
        <f>SUM(N6:N15)</f>
        <v>2959.2861555370764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85.376999999999995</v>
      </c>
      <c r="C7" s="33"/>
      <c r="D7" s="37">
        <f>IF( ISERROR(IND_nonf_gas_kWhh/1000),0,IND_nonf_gas_kWh/1000)*0.902</f>
        <v>0</v>
      </c>
      <c r="E7" s="33">
        <f>C29*'E Balans VL '!I17/100/3.6*1000000</f>
        <v>2.0179623844915239E-2</v>
      </c>
      <c r="F7" s="33">
        <f>C29*'E Balans VL '!L17/100/3.6*1000000+C29*'E Balans VL '!N17/100/3.6*1000000</f>
        <v>19.4000817184473</v>
      </c>
      <c r="G7" s="34"/>
      <c r="H7" s="33"/>
      <c r="I7" s="33"/>
      <c r="J7" s="40">
        <f>C29*'E Balans VL '!D17/100/3.6*1000000+C29*'E Balans VL '!E17/100/3.6*1000000</f>
        <v>27.224592909918698</v>
      </c>
      <c r="K7" s="33"/>
      <c r="L7" s="33"/>
      <c r="M7" s="33"/>
      <c r="N7" s="33">
        <f>C29*'E Balans VL '!Y17/100/3.6*1000000</f>
        <v>0</v>
      </c>
      <c r="O7" s="33"/>
      <c r="P7" s="33"/>
      <c r="R7" s="32"/>
    </row>
    <row r="8" spans="1:18">
      <c r="A8" s="6" t="s">
        <v>35</v>
      </c>
      <c r="B8" s="37">
        <f t="shared" si="0"/>
        <v>5703.8019999999997</v>
      </c>
      <c r="C8" s="33"/>
      <c r="D8" s="37">
        <f>IF( ISERROR(IND_metaal_Gas_kWH/1000),0,IND_metaal_Gas_kWH/1000)*0.902</f>
        <v>4412.1762959999996</v>
      </c>
      <c r="E8" s="33">
        <f>C30*'E Balans VL '!I18/100/3.6*1000000</f>
        <v>163.83460288622803</v>
      </c>
      <c r="F8" s="33">
        <f>C30*'E Balans VL '!L18/100/3.6*1000000+C30*'E Balans VL '!N18/100/3.6*1000000</f>
        <v>1462.9155131224297</v>
      </c>
      <c r="G8" s="34"/>
      <c r="H8" s="33"/>
      <c r="I8" s="33"/>
      <c r="J8" s="40">
        <f>C30*'E Balans VL '!D18/100/3.6*1000000+C30*'E Balans VL '!E18/100/3.6*1000000</f>
        <v>0</v>
      </c>
      <c r="K8" s="33"/>
      <c r="L8" s="33"/>
      <c r="M8" s="33"/>
      <c r="N8" s="33">
        <f>C30*'E Balans VL '!Y18/100/3.6*1000000</f>
        <v>154.86986740945122</v>
      </c>
      <c r="O8" s="33"/>
      <c r="P8" s="33"/>
      <c r="R8" s="32"/>
    </row>
    <row r="9" spans="1:18">
      <c r="A9" s="6" t="s">
        <v>32</v>
      </c>
      <c r="B9" s="37">
        <f t="shared" si="0"/>
        <v>12985.368</v>
      </c>
      <c r="C9" s="33"/>
      <c r="D9" s="37">
        <f>IF( ISERROR(IND_andere_gas_kWh/1000),0,IND_andere_gas_kWh/1000)*0.902</f>
        <v>6232.300448</v>
      </c>
      <c r="E9" s="33">
        <f>C31*'E Balans VL '!I19/100/3.6*1000000</f>
        <v>3514.8198458317802</v>
      </c>
      <c r="F9" s="33">
        <f>C31*'E Balans VL '!L19/100/3.6*1000000+C31*'E Balans VL '!N19/100/3.6*1000000</f>
        <v>8649.6292269786354</v>
      </c>
      <c r="G9" s="34"/>
      <c r="H9" s="33"/>
      <c r="I9" s="33"/>
      <c r="J9" s="40">
        <f>C31*'E Balans VL '!D19/100/3.6*1000000+C31*'E Balans VL '!E19/100/3.6*1000000</f>
        <v>0</v>
      </c>
      <c r="K9" s="33"/>
      <c r="L9" s="33"/>
      <c r="M9" s="33"/>
      <c r="N9" s="33">
        <f>C31*'E Balans VL '!Y19/100/3.6*1000000</f>
        <v>1097.8268461597474</v>
      </c>
      <c r="O9" s="33"/>
      <c r="P9" s="33"/>
      <c r="R9" s="32"/>
    </row>
    <row r="10" spans="1:18">
      <c r="A10" s="6" t="s">
        <v>40</v>
      </c>
      <c r="B10" s="37">
        <f t="shared" si="0"/>
        <v>4388.0330000000004</v>
      </c>
      <c r="C10" s="33"/>
      <c r="D10" s="37">
        <f>IF( ISERROR(IND_voed_gas_kWh/1000),0,IND_voed_gas_kWh/1000)*0.902</f>
        <v>9298.5024220000014</v>
      </c>
      <c r="E10" s="33">
        <f>C32*'E Balans VL '!I20/100/3.6*1000000</f>
        <v>357.89805272348985</v>
      </c>
      <c r="F10" s="33">
        <f>C32*'E Balans VL '!L20/100/3.6*1000000+C32*'E Balans VL '!N20/100/3.6*1000000</f>
        <v>6542.9553202373063</v>
      </c>
      <c r="G10" s="34"/>
      <c r="H10" s="33"/>
      <c r="I10" s="33"/>
      <c r="J10" s="40">
        <f>C32*'E Balans VL '!D20/100/3.6*1000000+C32*'E Balans VL '!E20/100/3.6*1000000</f>
        <v>5.8048350232472123E-2</v>
      </c>
      <c r="K10" s="33"/>
      <c r="L10" s="33"/>
      <c r="M10" s="33"/>
      <c r="N10" s="33">
        <f>C32*'E Balans VL '!Y20/100/3.6*1000000</f>
        <v>1289.049258411171</v>
      </c>
      <c r="O10" s="33"/>
      <c r="P10" s="33"/>
      <c r="R10" s="32"/>
    </row>
    <row r="11" spans="1:18">
      <c r="A11" s="6" t="s">
        <v>39</v>
      </c>
      <c r="B11" s="37">
        <f t="shared" si="0"/>
        <v>16650.811000000002</v>
      </c>
      <c r="C11" s="33"/>
      <c r="D11" s="37">
        <f>IF( ISERROR(IND_textiel_gas_kWh/1000),0,IND_textiel_gas_kWh/1000)*0.902</f>
        <v>44950.232822000005</v>
      </c>
      <c r="E11" s="33">
        <f>C33*'E Balans VL '!I21/100/3.6*1000000</f>
        <v>3.3005314109601094</v>
      </c>
      <c r="F11" s="33">
        <f>C33*'E Balans VL '!L21/100/3.6*1000000+C33*'E Balans VL '!N21/100/3.6*1000000</f>
        <v>613.26945839760288</v>
      </c>
      <c r="G11" s="34"/>
      <c r="H11" s="33"/>
      <c r="I11" s="33"/>
      <c r="J11" s="40">
        <f>C33*'E Balans VL '!D21/100/3.6*1000000+C33*'E Balans VL '!E21/100/3.6*1000000</f>
        <v>0</v>
      </c>
      <c r="K11" s="33"/>
      <c r="L11" s="33"/>
      <c r="M11" s="33"/>
      <c r="N11" s="33">
        <f>C33*'E Balans VL '!Y21/100/3.6*1000000</f>
        <v>77.422067788522739</v>
      </c>
      <c r="O11" s="33"/>
      <c r="P11" s="33"/>
      <c r="R11" s="32"/>
    </row>
    <row r="12" spans="1:18">
      <c r="A12" s="6" t="s">
        <v>36</v>
      </c>
      <c r="B12" s="37">
        <f t="shared" si="0"/>
        <v>3571.6759999999999</v>
      </c>
      <c r="C12" s="33"/>
      <c r="D12" s="37">
        <f>IF( ISERROR(IND_min_gas_kWh/1000),0,IND_min_gas_kWh/1000)*0.902</f>
        <v>136.25702200000001</v>
      </c>
      <c r="E12" s="33">
        <f>C34*'E Balans VL '!I22/100/3.6*1000000</f>
        <v>27.822577804925601</v>
      </c>
      <c r="F12" s="33">
        <f>C34*'E Balans VL '!L22/100/3.6*1000000+C34*'E Balans VL '!N22/100/3.6*1000000</f>
        <v>1347.0167010061991</v>
      </c>
      <c r="G12" s="34"/>
      <c r="H12" s="33"/>
      <c r="I12" s="33"/>
      <c r="J12" s="40">
        <f>C34*'E Balans VL '!D22/100/3.6*1000000+C34*'E Balans VL '!E22/100/3.6*1000000</f>
        <v>19.643905717911469</v>
      </c>
      <c r="K12" s="33"/>
      <c r="L12" s="33"/>
      <c r="M12" s="33"/>
      <c r="N12" s="33">
        <f>C34*'E Balans VL '!Y22/100/3.6*1000000</f>
        <v>0</v>
      </c>
      <c r="O12" s="33"/>
      <c r="P12" s="33"/>
      <c r="R12" s="32"/>
    </row>
    <row r="13" spans="1:18">
      <c r="A13" s="6" t="s">
        <v>38</v>
      </c>
      <c r="B13" s="37">
        <f t="shared" si="0"/>
        <v>1835.7280000000001</v>
      </c>
      <c r="C13" s="33"/>
      <c r="D13" s="37">
        <f>IF( ISERROR(IND_papier_gas_kWh/1000),0,IND_papier_gas_kWh/1000)*0.902</f>
        <v>6176.0291779999998</v>
      </c>
      <c r="E13" s="33">
        <f>C35*'E Balans VL '!I23/100/3.6*1000000</f>
        <v>19.232595088278206</v>
      </c>
      <c r="F13" s="33">
        <f>C35*'E Balans VL '!L23/100/3.6*1000000+C35*'E Balans VL '!N23/100/3.6*1000000</f>
        <v>136.98234873550567</v>
      </c>
      <c r="G13" s="34"/>
      <c r="H13" s="33"/>
      <c r="I13" s="33"/>
      <c r="J13" s="40">
        <f>C35*'E Balans VL '!D23/100/3.6*1000000+C35*'E Balans VL '!E23/100/3.6*1000000</f>
        <v>0</v>
      </c>
      <c r="K13" s="33"/>
      <c r="L13" s="33"/>
      <c r="M13" s="33"/>
      <c r="N13" s="33">
        <f>C35*'E Balans VL '!Y23/100/3.6*1000000</f>
        <v>338.65212300535927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31.588000000000001</v>
      </c>
      <c r="C15" s="33"/>
      <c r="D15" s="37">
        <f>IF( ISERROR(IND_rest_gas_kWh/1000),0,IND_rest_gas_kWh/1000)*0.902</f>
        <v>191.320514</v>
      </c>
      <c r="E15" s="33">
        <f>C37*'E Balans VL '!I15/100/3.6*1000000</f>
        <v>1.7622365589981861</v>
      </c>
      <c r="F15" s="33">
        <f>C37*'E Balans VL '!L15/100/3.6*1000000+C37*'E Balans VL '!N15/100/3.6*1000000</f>
        <v>7.4256951313661208</v>
      </c>
      <c r="G15" s="34"/>
      <c r="H15" s="33"/>
      <c r="I15" s="33"/>
      <c r="J15" s="40">
        <f>C37*'E Balans VL '!D15/100/3.6*1000000+C37*'E Balans VL '!E15/100/3.6*1000000</f>
        <v>8.0962030450183881E-2</v>
      </c>
      <c r="K15" s="33"/>
      <c r="L15" s="33"/>
      <c r="M15" s="33"/>
      <c r="N15" s="33">
        <f>C37*'E Balans VL '!Y15/100/3.6*1000000</f>
        <v>1.4659927628243461</v>
      </c>
      <c r="O15" s="33"/>
      <c r="P15" s="33"/>
      <c r="R15" s="32"/>
    </row>
    <row r="16" spans="1:18">
      <c r="A16" s="16" t="s">
        <v>496</v>
      </c>
      <c r="B16" s="249">
        <f>'lokale energieproductie'!N40+'lokale energieproductie'!N33</f>
        <v>0</v>
      </c>
      <c r="C16" s="249">
        <f>'lokale energieproductie'!O40+'lokale energieproductie'!O33</f>
        <v>0</v>
      </c>
      <c r="D16" s="310">
        <f>('lokale energieproductie'!P33+'lokale energieproductie'!P40)*(-1)</f>
        <v>0</v>
      </c>
      <c r="E16" s="250"/>
      <c r="F16" s="310">
        <f>('lokale energieproductie'!S33+'lokale energieproductie'!S40)*(-1)</f>
        <v>0</v>
      </c>
      <c r="G16" s="251"/>
      <c r="H16" s="250"/>
      <c r="I16" s="250"/>
      <c r="J16" s="250"/>
      <c r="K16" s="250"/>
      <c r="L16" s="310">
        <f>('lokale energieproductie'!T33+'lokale energieproductie'!U33+'lokale energieproductie'!T40+'lokale energieproductie'!U40)*(-1)</f>
        <v>0</v>
      </c>
      <c r="M16" s="250"/>
      <c r="N16" s="310">
        <f>('lokale energieproductie'!Q33+'lokale energieproductie'!R33+'lokale energieproductie'!V33+'lokale energieproductie'!Q40+'lokale energieproductie'!R40+'lokale energieproductie'!V40)*(-1)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45252.383000000009</v>
      </c>
      <c r="C18" s="21">
        <f>C5+C16</f>
        <v>0</v>
      </c>
      <c r="D18" s="21">
        <f>MAX((D5+D16),0)</f>
        <v>71396.818702000019</v>
      </c>
      <c r="E18" s="21">
        <f>MAX((E5+E16),0)</f>
        <v>4088.6906219285052</v>
      </c>
      <c r="F18" s="21">
        <f>MAX((F5+F16),0)</f>
        <v>18779.594345327492</v>
      </c>
      <c r="G18" s="21"/>
      <c r="H18" s="21"/>
      <c r="I18" s="21"/>
      <c r="J18" s="21">
        <f>MAX((J5+J16),0)</f>
        <v>47.00750900851282</v>
      </c>
      <c r="K18" s="21"/>
      <c r="L18" s="21">
        <f>MAX((L5+L16),0)</f>
        <v>0</v>
      </c>
      <c r="M18" s="21"/>
      <c r="N18" s="21">
        <f>MAX((N5+N16),0)</f>
        <v>2959.2861555370764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0.18054604820543946</v>
      </c>
      <c r="C20" s="25">
        <f ca="1">'EF ele_warmte'!B22</f>
        <v>0.21028503682776717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8170.1389225290104</v>
      </c>
      <c r="C22" s="23">
        <f ca="1">C18*C20</f>
        <v>0</v>
      </c>
      <c r="D22" s="23">
        <f>D18*D20</f>
        <v>14422.157377804006</v>
      </c>
      <c r="E22" s="23">
        <f>E18*E20</f>
        <v>928.13277117777068</v>
      </c>
      <c r="F22" s="23">
        <f>F18*F20</f>
        <v>5014.1516902024405</v>
      </c>
      <c r="G22" s="23"/>
      <c r="H22" s="23"/>
      <c r="I22" s="23"/>
      <c r="J22" s="23">
        <f>J18*J20</f>
        <v>16.640658189013536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85.376999999999995</v>
      </c>
      <c r="C29" s="39">
        <f>IF(ISERROR(B29*3.6/1000000/'E Balans VL '!Z17*100),0,B29*3.6/1000000/'E Balans VL '!Z17*100)</f>
        <v>9.2786256283710664E-2</v>
      </c>
      <c r="D29" s="239" t="s">
        <v>689</v>
      </c>
    </row>
    <row r="30" spans="1:18">
      <c r="A30" s="173" t="s">
        <v>35</v>
      </c>
      <c r="B30" s="37">
        <f>IF( ISERROR(IND_metaal_ele_kWh/1000),0,IND_metaal_ele_kWh/1000)</f>
        <v>5703.8019999999997</v>
      </c>
      <c r="C30" s="39">
        <f>IF(ISERROR(B30*3.6/1000000/'E Balans VL '!Z18*100),0,B30*3.6/1000000/'E Balans VL '!Z18*100)</f>
        <v>0.56123955654452606</v>
      </c>
      <c r="D30" s="239" t="s">
        <v>689</v>
      </c>
    </row>
    <row r="31" spans="1:18">
      <c r="A31" s="6" t="s">
        <v>32</v>
      </c>
      <c r="B31" s="37">
        <f>IF( ISERROR(IND_ander_ele_kWh/1000),0,IND_ander_ele_kWh/1000)</f>
        <v>12985.368</v>
      </c>
      <c r="C31" s="39">
        <f>IF(ISERROR(B31*3.6/1000000/'E Balans VL '!Z19*100),0,B31*3.6/1000000/'E Balans VL '!Z19*100)</f>
        <v>0.5655024180739826</v>
      </c>
      <c r="D31" s="239" t="s">
        <v>689</v>
      </c>
    </row>
    <row r="32" spans="1:18">
      <c r="A32" s="173" t="s">
        <v>40</v>
      </c>
      <c r="B32" s="37">
        <f>IF( ISERROR(IND_voed_ele_kWh/1000),0,IND_voed_ele_kWh/1000)</f>
        <v>4388.0330000000004</v>
      </c>
      <c r="C32" s="39">
        <f>IF(ISERROR(B32*3.6/1000000/'E Balans VL '!Z20*100),0,B32*3.6/1000000/'E Balans VL '!Z20*100)</f>
        <v>0.83256597942984611</v>
      </c>
      <c r="D32" s="239" t="s">
        <v>689</v>
      </c>
    </row>
    <row r="33" spans="1:5">
      <c r="A33" s="173" t="s">
        <v>39</v>
      </c>
      <c r="B33" s="37">
        <f>IF( ISERROR(IND_textiel_ele_kWh/1000),0,IND_textiel_ele_kWh/1000)</f>
        <v>16650.811000000002</v>
      </c>
      <c r="C33" s="39">
        <f>IF(ISERROR(B33*3.6/1000000/'E Balans VL '!Z21*100),0,B33*3.6/1000000/'E Balans VL '!Z21*100)</f>
        <v>0.95067686758538061</v>
      </c>
      <c r="D33" s="239" t="s">
        <v>689</v>
      </c>
    </row>
    <row r="34" spans="1:5">
      <c r="A34" s="173" t="s">
        <v>36</v>
      </c>
      <c r="B34" s="37">
        <f>IF( ISERROR(IND_min_ele_kWh/1000),0,IND_min_ele_kWh/1000)</f>
        <v>3571.6759999999999</v>
      </c>
      <c r="C34" s="39">
        <f>IF(ISERROR(B34*3.6/1000000/'E Balans VL '!Z22*100),0,B34*3.6/1000000/'E Balans VL '!Z22*100)</f>
        <v>0.50221351125247282</v>
      </c>
      <c r="D34" s="239" t="s">
        <v>689</v>
      </c>
    </row>
    <row r="35" spans="1:5">
      <c r="A35" s="173" t="s">
        <v>38</v>
      </c>
      <c r="B35" s="37">
        <f>IF( ISERROR(IND_papier_ele_kWh/1000),0,IND_papier_ele_kWh/1000)</f>
        <v>1835.7280000000001</v>
      </c>
      <c r="C35" s="39">
        <f>IF(ISERROR(B35*3.6/1000000/'E Balans VL '!Z22*100),0,B35*3.6/1000000/'E Balans VL '!Z22*100)</f>
        <v>0.25812179060600104</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31.588000000000001</v>
      </c>
      <c r="C37" s="39">
        <f>IF(ISERROR(B37*3.6/1000000/'E Balans VL '!Z15*100),0,B37*3.6/1000000/'E Balans VL '!Z15*100)</f>
        <v>2.43424338061388E-4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2226.6669999999999</v>
      </c>
      <c r="C5" s="17">
        <f>'Eigen informatie GS &amp; warmtenet'!B60</f>
        <v>0</v>
      </c>
      <c r="D5" s="30">
        <f>IF(ISERROR(SUM(LB_lb_gas_kWh,LB_rest_gas_kWh)/1000),0,SUM(LB_lb_gas_kWh,LB_rest_gas_kWh)/1000)*0.902</f>
        <v>40435.292567999997</v>
      </c>
      <c r="E5" s="17">
        <f>B17*'E Balans VL '!I25/3.6*1000000/100</f>
        <v>28.058872730327238</v>
      </c>
      <c r="F5" s="17">
        <f>B17*('E Balans VL '!L25/3.6*1000000+'E Balans VL '!N25/3.6*1000000)/100</f>
        <v>7682.5589634142198</v>
      </c>
      <c r="G5" s="18"/>
      <c r="H5" s="17"/>
      <c r="I5" s="17"/>
      <c r="J5" s="17">
        <f>('E Balans VL '!D25+'E Balans VL '!E25)/3.6*1000000*landbouw!B17/100</f>
        <v>334.86540494288261</v>
      </c>
      <c r="K5" s="17"/>
      <c r="L5" s="17">
        <f>L6*(-1)</f>
        <v>0</v>
      </c>
      <c r="M5" s="17"/>
      <c r="N5" s="17">
        <f>N6*(-1)</f>
        <v>6904.2857142857147</v>
      </c>
      <c r="O5" s="17"/>
      <c r="P5" s="17"/>
      <c r="R5" s="32"/>
    </row>
    <row r="6" spans="1:18">
      <c r="A6" s="16" t="s">
        <v>496</v>
      </c>
      <c r="B6" s="17" t="s">
        <v>210</v>
      </c>
      <c r="C6" s="17">
        <f>'lokale energieproductie'!O42+'lokale energieproductie'!O35</f>
        <v>29982.857142857145</v>
      </c>
      <c r="D6" s="310">
        <f>('lokale energieproductie'!P35+'lokale energieproductie'!P42)*(-1)</f>
        <v>-53061.42857142858</v>
      </c>
      <c r="E6" s="250"/>
      <c r="F6" s="310">
        <f>('lokale energieproductie'!S35+'lokale energieproductie'!S42)*(-1)</f>
        <v>0</v>
      </c>
      <c r="G6" s="251"/>
      <c r="H6" s="250"/>
      <c r="I6" s="250"/>
      <c r="J6" s="250"/>
      <c r="K6" s="250"/>
      <c r="L6" s="310">
        <f>('lokale energieproductie'!T35+'lokale energieproductie'!U35+'lokale energieproductie'!T42+'lokale energieproductie'!U42)*(-1)</f>
        <v>0</v>
      </c>
      <c r="M6" s="250"/>
      <c r="N6" s="1030">
        <f>('lokale energieproductie'!V35+'lokale energieproductie'!R35+'lokale energieproductie'!Q35+'lokale energieproductie'!Q42+'lokale energieproductie'!R42+'lokale energieproductie'!V42)*(-1)</f>
        <v>-6904.2857142857147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2226.6669999999999</v>
      </c>
      <c r="C8" s="21">
        <f>C5+C6</f>
        <v>29982.857142857145</v>
      </c>
      <c r="D8" s="21">
        <f>MAX((D5+D6),0)</f>
        <v>0</v>
      </c>
      <c r="E8" s="21">
        <f>MAX((E5+E6),0)</f>
        <v>28.058872730327238</v>
      </c>
      <c r="F8" s="21">
        <f>MAX((F5+F6),0)</f>
        <v>7682.5589634142198</v>
      </c>
      <c r="G8" s="21"/>
      <c r="H8" s="21"/>
      <c r="I8" s="21"/>
      <c r="J8" s="21">
        <f>MAX((J5+J6),0)</f>
        <v>334.86540494288261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0.18054604820543946</v>
      </c>
      <c r="C10" s="31">
        <f ca="1">'EF ele_warmte'!B22</f>
        <v>0.21028503682776717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402.01592751946123</v>
      </c>
      <c r="C12" s="23">
        <f ca="1">C8*C10</f>
        <v>6304.9462184873964</v>
      </c>
      <c r="D12" s="23">
        <f>D8*D10</f>
        <v>0</v>
      </c>
      <c r="E12" s="23">
        <f>E8*E10</f>
        <v>6.369364109784283</v>
      </c>
      <c r="F12" s="23">
        <f>F8*F10</f>
        <v>2051.2432432315968</v>
      </c>
      <c r="G12" s="23"/>
      <c r="H12" s="23"/>
      <c r="I12" s="23"/>
      <c r="J12" s="23">
        <f>J8*J10</f>
        <v>118.54235334978044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0.31054986602987666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183.29193670779995</v>
      </c>
      <c r="C26" s="249">
        <f>B26*'GWP N2O_CH4'!B5</f>
        <v>3849.130670863799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67.569233671001228</v>
      </c>
      <c r="C27" s="249">
        <f>B27*'GWP N2O_CH4'!B5</f>
        <v>1418.9539070910257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2.7595172440958056</v>
      </c>
      <c r="C28" s="249">
        <f>B28*'GWP N2O_CH4'!B4</f>
        <v>855.45034566969969</v>
      </c>
      <c r="D28" s="50"/>
    </row>
    <row r="29" spans="1:4">
      <c r="A29" s="41" t="s">
        <v>276</v>
      </c>
      <c r="B29" s="249">
        <f>B34*'ha_N2O bodem landbouw'!B4</f>
        <v>6.7965081616291556</v>
      </c>
      <c r="C29" s="249">
        <f>B29*'GWP N2O_CH4'!B4</f>
        <v>2106.9175301050382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1.6970201753537938E-3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2.5758189160166449E-5</v>
      </c>
      <c r="C5" s="444" t="s">
        <v>210</v>
      </c>
      <c r="D5" s="429">
        <f>SUM(D6:D11)</f>
        <v>4.3849666955382436E-5</v>
      </c>
      <c r="E5" s="429">
        <f>SUM(E6:E11)</f>
        <v>1.6881446930076479E-3</v>
      </c>
      <c r="F5" s="442" t="s">
        <v>210</v>
      </c>
      <c r="G5" s="429">
        <f>SUM(G6:G11)</f>
        <v>0.58532775536360493</v>
      </c>
      <c r="H5" s="429">
        <f>SUM(H6:H11)</f>
        <v>8.1179545326591926E-2</v>
      </c>
      <c r="I5" s="444" t="s">
        <v>210</v>
      </c>
      <c r="J5" s="444" t="s">
        <v>210</v>
      </c>
      <c r="K5" s="444" t="s">
        <v>210</v>
      </c>
      <c r="L5" s="444" t="s">
        <v>210</v>
      </c>
      <c r="M5" s="429">
        <f>SUM(M6:M11)</f>
        <v>3.012862408116708E-2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9.2384564907331503E-6</v>
      </c>
      <c r="C6" s="883"/>
      <c r="D6" s="883">
        <f>vkm_GW_PW*SUMIFS(TableVerdeelsleutelVkm[CNG],TableVerdeelsleutelVkm[Voertuigtype],"Lichte voertuigen")*SUMIFS(TableECFTransport[EnergieConsumptieFactor (PJ per km)],TableECFTransport[Index],CONCATENATE($A6,"_CNG_CNG"))</f>
        <v>1.3691117346076046E-5</v>
      </c>
      <c r="E6" s="883">
        <f>vkm_GW_PW*SUMIFS(TableVerdeelsleutelVkm[LPG],TableVerdeelsleutelVkm[Voertuigtype],"Lichte voertuigen")*SUMIFS(TableECFTransport[EnergieConsumptieFactor (PJ per km)],TableECFTransport[Index],CONCATENATE($A6,"_LPG_LPG"))</f>
        <v>4.9036579547412492E-4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9.8687591495785459E-2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2.5211155834294289E-2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5.6051108629100992E-3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7.2671212411312761E-2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1.6884680388400201E-6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3.2812186707404899E-3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5.5243413442318505E-6</v>
      </c>
      <c r="C8" s="883"/>
      <c r="D8" s="432">
        <f>vkm_NGW_PW*SUMIFS(TableVerdeelsleutelVkm[CNG],TableVerdeelsleutelVkm[Voertuigtype],"Lichte voertuigen")*SUMIFS(TableECFTransport[EnergieConsumptieFactor (PJ per km)],TableECFTransport[Index],CONCATENATE($A8,"_CNG_CNG"))</f>
        <v>1.3893390924269271E-5</v>
      </c>
      <c r="E8" s="432">
        <f>vkm_NGW_PW*SUMIFS(TableVerdeelsleutelVkm[LPG],TableVerdeelsleutelVkm[Voertuigtype],"Lichte voertuigen")*SUMIFS(TableECFTransport[EnergieConsumptieFactor (PJ per km)],TableECFTransport[Index],CONCATENATE($A8,"_LPG_LPG"))</f>
        <v>4.705222330403435E-4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8.995164796101239E-2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2.4583598485328276E-2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5.1820697836296257E-3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3.2514782585000498E-2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8.7564646107914857E-7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1.4680986641149457E-3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1.0995391325201449E-5</v>
      </c>
      <c r="C10" s="883"/>
      <c r="D10" s="432">
        <f>vkm_SW_PW*SUMIFS(TableVerdeelsleutelVkm[CNG],TableVerdeelsleutelVkm[Voertuigtype],"Lichte voertuigen")*SUMIFS(TableECFTransport[EnergieConsumptieFactor (PJ per km)],TableECFTransport[Index],CONCATENATE($A10,"_CNG_CNG"))</f>
        <v>1.626515868503712E-5</v>
      </c>
      <c r="E10" s="432">
        <f>vkm_SW_PW*SUMIFS(TableVerdeelsleutelVkm[LPG],TableVerdeelsleutelVkm[Voertuigtype],"Lichte voertuigen")*SUMIFS(TableECFTransport[EnergieConsumptieFactor (PJ per km)],TableECFTransport[Index],CONCATENATE($A10,"_LPG_LPG"))</f>
        <v>7.2725666449317957E-4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0.13268234885937966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3.1378290770188236E-2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7.4211362175447384E-3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0.15882017205111404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3.9361222812053116E-6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7.1709898822271802E-3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7.1550525444906805</v>
      </c>
      <c r="C14" s="21"/>
      <c r="D14" s="21">
        <f t="shared" ref="D14:M14" si="0">((D5)*10^9/3600)+D12</f>
        <v>12.180463043161787</v>
      </c>
      <c r="E14" s="21">
        <f t="shared" si="0"/>
        <v>468.92908139101331</v>
      </c>
      <c r="F14" s="21"/>
      <c r="G14" s="21">
        <f t="shared" si="0"/>
        <v>162591.04315655693</v>
      </c>
      <c r="H14" s="21">
        <f t="shared" si="0"/>
        <v>22549.873701831089</v>
      </c>
      <c r="I14" s="21"/>
      <c r="J14" s="21"/>
      <c r="K14" s="21"/>
      <c r="L14" s="21"/>
      <c r="M14" s="21">
        <f t="shared" si="0"/>
        <v>8369.0622447686328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0.18054604820543946</v>
      </c>
      <c r="C16" s="56">
        <f ca="1">'EF ele_warmte'!B22</f>
        <v>0.21028503682776717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1.2918164616100667</v>
      </c>
      <c r="C18" s="23"/>
      <c r="D18" s="23">
        <f t="shared" ref="D18:M18" si="1">D14*D16</f>
        <v>2.4604535347186811</v>
      </c>
      <c r="E18" s="23">
        <f t="shared" si="1"/>
        <v>106.44690147576003</v>
      </c>
      <c r="F18" s="23"/>
      <c r="G18" s="23">
        <f t="shared" si="1"/>
        <v>43411.808522800704</v>
      </c>
      <c r="H18" s="23">
        <f t="shared" si="1"/>
        <v>5614.9185517559408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5.1270631905509295E-3</v>
      </c>
      <c r="H50" s="321">
        <f t="shared" si="2"/>
        <v>0</v>
      </c>
      <c r="I50" s="321">
        <f t="shared" si="2"/>
        <v>0</v>
      </c>
      <c r="J50" s="321">
        <f t="shared" si="2"/>
        <v>0</v>
      </c>
      <c r="K50" s="321">
        <f t="shared" si="2"/>
        <v>0</v>
      </c>
      <c r="L50" s="321">
        <f t="shared" si="2"/>
        <v>0</v>
      </c>
      <c r="M50" s="321">
        <f t="shared" si="2"/>
        <v>2.2820982419072643E-4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5.1270631905509295E-3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2.2820982419072643E-4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1424.1842195974805</v>
      </c>
      <c r="H54" s="21">
        <f t="shared" si="3"/>
        <v>0</v>
      </c>
      <c r="I54" s="21">
        <f t="shared" si="3"/>
        <v>0</v>
      </c>
      <c r="J54" s="21">
        <f t="shared" si="3"/>
        <v>0</v>
      </c>
      <c r="K54" s="21">
        <f t="shared" si="3"/>
        <v>0</v>
      </c>
      <c r="L54" s="21">
        <f t="shared" si="3"/>
        <v>0</v>
      </c>
      <c r="M54" s="21">
        <f t="shared" si="3"/>
        <v>63.391617830757347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0.18054604820543946</v>
      </c>
      <c r="C56" s="56">
        <f ca="1">'EF ele_warmte'!B22</f>
        <v>0.21028503682776717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380.25718663252729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61352.470000000008</v>
      </c>
      <c r="D10" s="686">
        <f ca="1">tertiair!C16</f>
        <v>0</v>
      </c>
      <c r="E10" s="686">
        <f ca="1">tertiair!D16</f>
        <v>85003.838678000015</v>
      </c>
      <c r="F10" s="686">
        <f>tertiair!E16</f>
        <v>681.63591806614636</v>
      </c>
      <c r="G10" s="686">
        <f ca="1">tertiair!F16</f>
        <v>11693.277962428614</v>
      </c>
      <c r="H10" s="686">
        <f>tertiair!G16</f>
        <v>0</v>
      </c>
      <c r="I10" s="686">
        <f>tertiair!H16</f>
        <v>0</v>
      </c>
      <c r="J10" s="686">
        <f>tertiair!I16</f>
        <v>0</v>
      </c>
      <c r="K10" s="686">
        <f>tertiair!J16</f>
        <v>0</v>
      </c>
      <c r="L10" s="686">
        <f>tertiair!K16</f>
        <v>0</v>
      </c>
      <c r="M10" s="686">
        <f ca="1">tertiair!L16</f>
        <v>0</v>
      </c>
      <c r="N10" s="686">
        <f>tertiair!M16</f>
        <v>0</v>
      </c>
      <c r="O10" s="686">
        <f ca="1">tertiair!N16</f>
        <v>4713.3918855706079</v>
      </c>
      <c r="P10" s="686">
        <f>tertiair!O16</f>
        <v>0</v>
      </c>
      <c r="Q10" s="687">
        <f>tertiair!P16</f>
        <v>114.4</v>
      </c>
      <c r="R10" s="689">
        <f ca="1">SUM(C10:Q10)</f>
        <v>163559.01444406537</v>
      </c>
      <c r="S10" s="67"/>
    </row>
    <row r="11" spans="1:19" s="454" customFormat="1">
      <c r="A11" s="801" t="s">
        <v>224</v>
      </c>
      <c r="B11" s="806"/>
      <c r="C11" s="686">
        <f>huishoudens!B8</f>
        <v>46949.050948595635</v>
      </c>
      <c r="D11" s="686">
        <f>huishoudens!C8</f>
        <v>0</v>
      </c>
      <c r="E11" s="686">
        <f>huishoudens!D8</f>
        <v>128583.83698600001</v>
      </c>
      <c r="F11" s="686">
        <f>huishoudens!E8</f>
        <v>5890.0467704180801</v>
      </c>
      <c r="G11" s="686">
        <f>huishoudens!F8</f>
        <v>6203.7010058792084</v>
      </c>
      <c r="H11" s="686">
        <f>huishoudens!G8</f>
        <v>0</v>
      </c>
      <c r="I11" s="686">
        <f>huishoudens!H8</f>
        <v>0</v>
      </c>
      <c r="J11" s="686">
        <f>huishoudens!I8</f>
        <v>0</v>
      </c>
      <c r="K11" s="686">
        <f>huishoudens!J8</f>
        <v>0</v>
      </c>
      <c r="L11" s="686">
        <f>huishoudens!K8</f>
        <v>0</v>
      </c>
      <c r="M11" s="686">
        <f>huishoudens!L8</f>
        <v>0</v>
      </c>
      <c r="N11" s="686">
        <f>huishoudens!M8</f>
        <v>0</v>
      </c>
      <c r="O11" s="686">
        <f>huishoudens!N8</f>
        <v>20161.486066276175</v>
      </c>
      <c r="P11" s="686">
        <f>huishoudens!O8</f>
        <v>259.51333333333338</v>
      </c>
      <c r="Q11" s="687">
        <f>huishoudens!P8</f>
        <v>514.79999999999995</v>
      </c>
      <c r="R11" s="689">
        <f>SUM(C11:Q11)</f>
        <v>208562.43511050244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45252.383000000009</v>
      </c>
      <c r="D13" s="686">
        <f>industrie!C18</f>
        <v>0</v>
      </c>
      <c r="E13" s="686">
        <f>industrie!D18</f>
        <v>71396.818702000019</v>
      </c>
      <c r="F13" s="686">
        <f>industrie!E18</f>
        <v>4088.6906219285052</v>
      </c>
      <c r="G13" s="686">
        <f>industrie!F18</f>
        <v>18779.594345327492</v>
      </c>
      <c r="H13" s="686">
        <f>industrie!G18</f>
        <v>0</v>
      </c>
      <c r="I13" s="686">
        <f>industrie!H18</f>
        <v>0</v>
      </c>
      <c r="J13" s="686">
        <f>industrie!I18</f>
        <v>0</v>
      </c>
      <c r="K13" s="686">
        <f>industrie!J18</f>
        <v>47.00750900851282</v>
      </c>
      <c r="L13" s="686">
        <f>industrie!K18</f>
        <v>0</v>
      </c>
      <c r="M13" s="686">
        <f>industrie!L18</f>
        <v>0</v>
      </c>
      <c r="N13" s="686">
        <f>industrie!M18</f>
        <v>0</v>
      </c>
      <c r="O13" s="686">
        <f>industrie!N18</f>
        <v>2959.2861555370764</v>
      </c>
      <c r="P13" s="686">
        <f>industrie!O18</f>
        <v>0</v>
      </c>
      <c r="Q13" s="687">
        <f>industrie!P18</f>
        <v>0</v>
      </c>
      <c r="R13" s="689">
        <f>SUM(C13:Q13)</f>
        <v>142523.78033380158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153553.90394859566</v>
      </c>
      <c r="D16" s="721">
        <f t="shared" ref="D16:R16" ca="1" si="0">SUM(D9:D15)</f>
        <v>0</v>
      </c>
      <c r="E16" s="721">
        <f t="shared" ca="1" si="0"/>
        <v>284984.49436600006</v>
      </c>
      <c r="F16" s="721">
        <f t="shared" si="0"/>
        <v>10660.373310412731</v>
      </c>
      <c r="G16" s="721">
        <f t="shared" ca="1" si="0"/>
        <v>36676.573313635316</v>
      </c>
      <c r="H16" s="721">
        <f t="shared" si="0"/>
        <v>0</v>
      </c>
      <c r="I16" s="721">
        <f t="shared" si="0"/>
        <v>0</v>
      </c>
      <c r="J16" s="721">
        <f t="shared" si="0"/>
        <v>0</v>
      </c>
      <c r="K16" s="721">
        <f t="shared" si="0"/>
        <v>47.00750900851282</v>
      </c>
      <c r="L16" s="721">
        <f t="shared" si="0"/>
        <v>0</v>
      </c>
      <c r="M16" s="721">
        <f t="shared" ca="1" si="0"/>
        <v>0</v>
      </c>
      <c r="N16" s="721">
        <f t="shared" si="0"/>
        <v>0</v>
      </c>
      <c r="O16" s="721">
        <f t="shared" ca="1" si="0"/>
        <v>27834.164107383858</v>
      </c>
      <c r="P16" s="721">
        <f t="shared" si="0"/>
        <v>259.51333333333338</v>
      </c>
      <c r="Q16" s="721">
        <f t="shared" si="0"/>
        <v>629.19999999999993</v>
      </c>
      <c r="R16" s="721">
        <f t="shared" ca="1" si="0"/>
        <v>514645.22988836939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1424.1842195974805</v>
      </c>
      <c r="I19" s="686">
        <f>transport!H54</f>
        <v>0</v>
      </c>
      <c r="J19" s="686">
        <f>transport!I54</f>
        <v>0</v>
      </c>
      <c r="K19" s="686">
        <f>transport!J54</f>
        <v>0</v>
      </c>
      <c r="L19" s="686">
        <f>transport!K54</f>
        <v>0</v>
      </c>
      <c r="M19" s="686">
        <f>transport!L54</f>
        <v>0</v>
      </c>
      <c r="N19" s="686">
        <f>transport!M54</f>
        <v>63.391617830757347</v>
      </c>
      <c r="O19" s="686">
        <f>transport!N54</f>
        <v>0</v>
      </c>
      <c r="P19" s="686">
        <f>transport!O54</f>
        <v>0</v>
      </c>
      <c r="Q19" s="687">
        <f>transport!P54</f>
        <v>0</v>
      </c>
      <c r="R19" s="689">
        <f>SUM(C19:Q19)</f>
        <v>1487.5758374282377</v>
      </c>
      <c r="S19" s="67"/>
    </row>
    <row r="20" spans="1:19" s="454" customFormat="1">
      <c r="A20" s="801" t="s">
        <v>306</v>
      </c>
      <c r="B20" s="806"/>
      <c r="C20" s="686">
        <f>transport!B14</f>
        <v>7.1550525444906805</v>
      </c>
      <c r="D20" s="686">
        <f>transport!C14</f>
        <v>0</v>
      </c>
      <c r="E20" s="686">
        <f>transport!D14</f>
        <v>12.180463043161787</v>
      </c>
      <c r="F20" s="686">
        <f>transport!E14</f>
        <v>468.92908139101331</v>
      </c>
      <c r="G20" s="686">
        <f>transport!F14</f>
        <v>0</v>
      </c>
      <c r="H20" s="686">
        <f>transport!G14</f>
        <v>162591.04315655693</v>
      </c>
      <c r="I20" s="686">
        <f>transport!H14</f>
        <v>22549.873701831089</v>
      </c>
      <c r="J20" s="686">
        <f>transport!I14</f>
        <v>0</v>
      </c>
      <c r="K20" s="686">
        <f>transport!J14</f>
        <v>0</v>
      </c>
      <c r="L20" s="686">
        <f>transport!K14</f>
        <v>0</v>
      </c>
      <c r="M20" s="686">
        <f>transport!L14</f>
        <v>0</v>
      </c>
      <c r="N20" s="686">
        <f>transport!M14</f>
        <v>8369.0622447686328</v>
      </c>
      <c r="O20" s="686">
        <f>transport!N14</f>
        <v>0</v>
      </c>
      <c r="P20" s="686">
        <f>transport!O14</f>
        <v>0</v>
      </c>
      <c r="Q20" s="687">
        <f>transport!P14</f>
        <v>0</v>
      </c>
      <c r="R20" s="689">
        <f>SUM(C20:Q20)</f>
        <v>193998.24370013532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7.1550525444906805</v>
      </c>
      <c r="D22" s="804">
        <f t="shared" ref="D22:R22" si="1">SUM(D18:D21)</f>
        <v>0</v>
      </c>
      <c r="E22" s="804">
        <f t="shared" si="1"/>
        <v>12.180463043161787</v>
      </c>
      <c r="F22" s="804">
        <f t="shared" si="1"/>
        <v>468.92908139101331</v>
      </c>
      <c r="G22" s="804">
        <f t="shared" si="1"/>
        <v>0</v>
      </c>
      <c r="H22" s="804">
        <f t="shared" si="1"/>
        <v>164015.22737615442</v>
      </c>
      <c r="I22" s="804">
        <f t="shared" si="1"/>
        <v>22549.873701831089</v>
      </c>
      <c r="J22" s="804">
        <f t="shared" si="1"/>
        <v>0</v>
      </c>
      <c r="K22" s="804">
        <f t="shared" si="1"/>
        <v>0</v>
      </c>
      <c r="L22" s="804">
        <f t="shared" si="1"/>
        <v>0</v>
      </c>
      <c r="M22" s="804">
        <f t="shared" si="1"/>
        <v>0</v>
      </c>
      <c r="N22" s="804">
        <f t="shared" si="1"/>
        <v>8432.45386259939</v>
      </c>
      <c r="O22" s="804">
        <f t="shared" si="1"/>
        <v>0</v>
      </c>
      <c r="P22" s="804">
        <f t="shared" si="1"/>
        <v>0</v>
      </c>
      <c r="Q22" s="804">
        <f t="shared" si="1"/>
        <v>0</v>
      </c>
      <c r="R22" s="804">
        <f t="shared" si="1"/>
        <v>195485.81953756357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2226.6669999999999</v>
      </c>
      <c r="D24" s="686">
        <f>+landbouw!C8</f>
        <v>29982.857142857145</v>
      </c>
      <c r="E24" s="686">
        <f>+landbouw!D8</f>
        <v>0</v>
      </c>
      <c r="F24" s="686">
        <f>+landbouw!E8</f>
        <v>28.058872730327238</v>
      </c>
      <c r="G24" s="686">
        <f>+landbouw!F8</f>
        <v>7682.5589634142198</v>
      </c>
      <c r="H24" s="686">
        <f>+landbouw!G8</f>
        <v>0</v>
      </c>
      <c r="I24" s="686">
        <f>+landbouw!H8</f>
        <v>0</v>
      </c>
      <c r="J24" s="686">
        <f>+landbouw!I8</f>
        <v>0</v>
      </c>
      <c r="K24" s="686">
        <f>+landbouw!J8</f>
        <v>334.86540494288261</v>
      </c>
      <c r="L24" s="686">
        <f>+landbouw!K8</f>
        <v>0</v>
      </c>
      <c r="M24" s="686">
        <f>+landbouw!L8</f>
        <v>0</v>
      </c>
      <c r="N24" s="686">
        <f>+landbouw!M8</f>
        <v>0</v>
      </c>
      <c r="O24" s="686">
        <f>+landbouw!N8</f>
        <v>0</v>
      </c>
      <c r="P24" s="686">
        <f>+landbouw!O8</f>
        <v>0</v>
      </c>
      <c r="Q24" s="687">
        <f>+landbouw!P8</f>
        <v>0</v>
      </c>
      <c r="R24" s="689">
        <f>SUM(C24:Q24)</f>
        <v>40255.007383944576</v>
      </c>
      <c r="S24" s="67"/>
    </row>
    <row r="25" spans="1:19" s="454" customFormat="1" ht="15" thickBot="1">
      <c r="A25" s="823" t="s">
        <v>856</v>
      </c>
      <c r="B25" s="991"/>
      <c r="C25" s="992">
        <f>IF(Onbekend_ele_kWh="---",0,Onbekend_ele_kWh)/1000+IF(REST_rest_ele_kWh="---",0,REST_rest_ele_kWh)/1000</f>
        <v>1565.191</v>
      </c>
      <c r="D25" s="992"/>
      <c r="E25" s="992">
        <f>IF(onbekend_gas_kWh="---",0,onbekend_gas_kWh)/1000+IF(REST_rest_gas_kWh="---",0,REST_rest_gas_kWh)/1000</f>
        <v>12745.741</v>
      </c>
      <c r="F25" s="992"/>
      <c r="G25" s="992"/>
      <c r="H25" s="992"/>
      <c r="I25" s="992"/>
      <c r="J25" s="992"/>
      <c r="K25" s="992"/>
      <c r="L25" s="992"/>
      <c r="M25" s="992"/>
      <c r="N25" s="992"/>
      <c r="O25" s="992"/>
      <c r="P25" s="992"/>
      <c r="Q25" s="993"/>
      <c r="R25" s="689">
        <f>SUM(C25:Q25)</f>
        <v>14310.932000000001</v>
      </c>
      <c r="S25" s="67"/>
    </row>
    <row r="26" spans="1:19" s="454" customFormat="1" ht="15.75" thickBot="1">
      <c r="A26" s="694" t="s">
        <v>857</v>
      </c>
      <c r="B26" s="809"/>
      <c r="C26" s="804">
        <f>SUM(C24:C25)</f>
        <v>3791.8580000000002</v>
      </c>
      <c r="D26" s="804">
        <f t="shared" ref="D26:R26" si="2">SUM(D24:D25)</f>
        <v>29982.857142857145</v>
      </c>
      <c r="E26" s="804">
        <f t="shared" si="2"/>
        <v>12745.741</v>
      </c>
      <c r="F26" s="804">
        <f t="shared" si="2"/>
        <v>28.058872730327238</v>
      </c>
      <c r="G26" s="804">
        <f t="shared" si="2"/>
        <v>7682.5589634142198</v>
      </c>
      <c r="H26" s="804">
        <f t="shared" si="2"/>
        <v>0</v>
      </c>
      <c r="I26" s="804">
        <f t="shared" si="2"/>
        <v>0</v>
      </c>
      <c r="J26" s="804">
        <f t="shared" si="2"/>
        <v>0</v>
      </c>
      <c r="K26" s="804">
        <f t="shared" si="2"/>
        <v>334.86540494288261</v>
      </c>
      <c r="L26" s="804">
        <f t="shared" si="2"/>
        <v>0</v>
      </c>
      <c r="M26" s="804">
        <f t="shared" si="2"/>
        <v>0</v>
      </c>
      <c r="N26" s="804">
        <f t="shared" si="2"/>
        <v>0</v>
      </c>
      <c r="O26" s="804">
        <f t="shared" si="2"/>
        <v>0</v>
      </c>
      <c r="P26" s="804">
        <f t="shared" si="2"/>
        <v>0</v>
      </c>
      <c r="Q26" s="804">
        <f t="shared" si="2"/>
        <v>0</v>
      </c>
      <c r="R26" s="804">
        <f t="shared" si="2"/>
        <v>54565.939383944577</v>
      </c>
      <c r="S26" s="67"/>
    </row>
    <row r="27" spans="1:19" s="454" customFormat="1" ht="17.25" thickTop="1" thickBot="1">
      <c r="A27" s="695" t="s">
        <v>115</v>
      </c>
      <c r="B27" s="796"/>
      <c r="C27" s="696">
        <f ca="1">C22+C16+C26</f>
        <v>157352.91700114016</v>
      </c>
      <c r="D27" s="696">
        <f t="shared" ref="D27:R27" ca="1" si="3">D22+D16+D26</f>
        <v>29982.857142857145</v>
      </c>
      <c r="E27" s="696">
        <f t="shared" ca="1" si="3"/>
        <v>297742.4158290432</v>
      </c>
      <c r="F27" s="696">
        <f t="shared" si="3"/>
        <v>11157.361264534073</v>
      </c>
      <c r="G27" s="696">
        <f t="shared" ca="1" si="3"/>
        <v>44359.132277049532</v>
      </c>
      <c r="H27" s="696">
        <f t="shared" si="3"/>
        <v>164015.22737615442</v>
      </c>
      <c r="I27" s="696">
        <f t="shared" si="3"/>
        <v>22549.873701831089</v>
      </c>
      <c r="J27" s="696">
        <f t="shared" si="3"/>
        <v>0</v>
      </c>
      <c r="K27" s="696">
        <f t="shared" si="3"/>
        <v>381.87291395139545</v>
      </c>
      <c r="L27" s="696">
        <f t="shared" si="3"/>
        <v>0</v>
      </c>
      <c r="M27" s="696">
        <f t="shared" ca="1" si="3"/>
        <v>0</v>
      </c>
      <c r="N27" s="696">
        <f t="shared" si="3"/>
        <v>8432.45386259939</v>
      </c>
      <c r="O27" s="696">
        <f t="shared" ca="1" si="3"/>
        <v>27834.164107383858</v>
      </c>
      <c r="P27" s="696">
        <f t="shared" si="3"/>
        <v>259.51333333333338</v>
      </c>
      <c r="Q27" s="696">
        <f t="shared" si="3"/>
        <v>629.19999999999993</v>
      </c>
      <c r="R27" s="696">
        <f t="shared" ca="1" si="3"/>
        <v>764696.98880987754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11076.94600614278</v>
      </c>
      <c r="D40" s="686">
        <f ca="1">tertiair!C20</f>
        <v>0</v>
      </c>
      <c r="E40" s="686">
        <f ca="1">tertiair!D20</f>
        <v>17170.775412956005</v>
      </c>
      <c r="F40" s="686">
        <f>tertiair!E20</f>
        <v>154.73135340101524</v>
      </c>
      <c r="G40" s="686">
        <f ca="1">tertiair!F20</f>
        <v>3122.10521596844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31524.557988468241</v>
      </c>
    </row>
    <row r="41" spans="1:18">
      <c r="A41" s="814" t="s">
        <v>224</v>
      </c>
      <c r="B41" s="821"/>
      <c r="C41" s="686">
        <f ca="1">huishoudens!B12</f>
        <v>8476.4656157647805</v>
      </c>
      <c r="D41" s="686">
        <f ca="1">huishoudens!C12</f>
        <v>0</v>
      </c>
      <c r="E41" s="686">
        <f>huishoudens!D12</f>
        <v>25973.935071172004</v>
      </c>
      <c r="F41" s="686">
        <f>huishoudens!E12</f>
        <v>1337.0406168849042</v>
      </c>
      <c r="G41" s="686">
        <f>huishoudens!F12</f>
        <v>1656.3881685697488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37443.829472391444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8170.1389225290104</v>
      </c>
      <c r="D43" s="686">
        <f ca="1">industrie!C22</f>
        <v>0</v>
      </c>
      <c r="E43" s="686">
        <f>industrie!D22</f>
        <v>14422.157377804006</v>
      </c>
      <c r="F43" s="686">
        <f>industrie!E22</f>
        <v>928.13277117777068</v>
      </c>
      <c r="G43" s="686">
        <f>industrie!F22</f>
        <v>5014.1516902024405</v>
      </c>
      <c r="H43" s="686">
        <f>industrie!G22</f>
        <v>0</v>
      </c>
      <c r="I43" s="686">
        <f>industrie!H22</f>
        <v>0</v>
      </c>
      <c r="J43" s="686">
        <f>industrie!I22</f>
        <v>0</v>
      </c>
      <c r="K43" s="686">
        <f>industrie!J22</f>
        <v>16.640658189013536</v>
      </c>
      <c r="L43" s="686">
        <f>industrie!K22</f>
        <v>0</v>
      </c>
      <c r="M43" s="686">
        <f>industrie!L22</f>
        <v>0</v>
      </c>
      <c r="N43" s="686">
        <f>industrie!M22</f>
        <v>0</v>
      </c>
      <c r="O43" s="686">
        <f>industrie!N22</f>
        <v>0</v>
      </c>
      <c r="P43" s="686">
        <f>industrie!O22</f>
        <v>0</v>
      </c>
      <c r="Q43" s="763">
        <f>industrie!P22</f>
        <v>0</v>
      </c>
      <c r="R43" s="841">
        <f t="shared" ca="1" si="4"/>
        <v>28551.221419902242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27723.55054443657</v>
      </c>
      <c r="D46" s="721">
        <f t="shared" ref="D46:Q46" ca="1" si="5">SUM(D39:D45)</f>
        <v>0</v>
      </c>
      <c r="E46" s="721">
        <f t="shared" ca="1" si="5"/>
        <v>57566.867861932013</v>
      </c>
      <c r="F46" s="721">
        <f t="shared" si="5"/>
        <v>2419.9047414636902</v>
      </c>
      <c r="G46" s="721">
        <f t="shared" ca="1" si="5"/>
        <v>9792.6450747406307</v>
      </c>
      <c r="H46" s="721">
        <f t="shared" si="5"/>
        <v>0</v>
      </c>
      <c r="I46" s="721">
        <f t="shared" si="5"/>
        <v>0</v>
      </c>
      <c r="J46" s="721">
        <f t="shared" si="5"/>
        <v>0</v>
      </c>
      <c r="K46" s="721">
        <f t="shared" si="5"/>
        <v>16.640658189013536</v>
      </c>
      <c r="L46" s="721">
        <f t="shared" si="5"/>
        <v>0</v>
      </c>
      <c r="M46" s="721">
        <f t="shared" ca="1" si="5"/>
        <v>0</v>
      </c>
      <c r="N46" s="721">
        <f t="shared" si="5"/>
        <v>0</v>
      </c>
      <c r="O46" s="721">
        <f t="shared" ca="1" si="5"/>
        <v>0</v>
      </c>
      <c r="P46" s="721">
        <f t="shared" si="5"/>
        <v>0</v>
      </c>
      <c r="Q46" s="721">
        <f t="shared" si="5"/>
        <v>0</v>
      </c>
      <c r="R46" s="721">
        <f ca="1">SUM(R39:R45)</f>
        <v>97519.608880761924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380.25718663252729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380.25718663252729</v>
      </c>
    </row>
    <row r="50" spans="1:18">
      <c r="A50" s="817" t="s">
        <v>306</v>
      </c>
      <c r="B50" s="827"/>
      <c r="C50" s="692">
        <f ca="1">transport!B18</f>
        <v>1.2918164616100667</v>
      </c>
      <c r="D50" s="692">
        <f>transport!C18</f>
        <v>0</v>
      </c>
      <c r="E50" s="692">
        <f>transport!D18</f>
        <v>2.4604535347186811</v>
      </c>
      <c r="F50" s="692">
        <f>transport!E18</f>
        <v>106.44690147576003</v>
      </c>
      <c r="G50" s="692">
        <f>transport!F18</f>
        <v>0</v>
      </c>
      <c r="H50" s="692">
        <f>transport!G18</f>
        <v>43411.808522800704</v>
      </c>
      <c r="I50" s="692">
        <f>transport!H18</f>
        <v>5614.9185517559408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49136.926246028728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1.2918164616100667</v>
      </c>
      <c r="D52" s="721">
        <f t="shared" ref="D52:Q52" ca="1" si="6">SUM(D48:D51)</f>
        <v>0</v>
      </c>
      <c r="E52" s="721">
        <f t="shared" si="6"/>
        <v>2.4604535347186811</v>
      </c>
      <c r="F52" s="721">
        <f t="shared" si="6"/>
        <v>106.44690147576003</v>
      </c>
      <c r="G52" s="721">
        <f t="shared" si="6"/>
        <v>0</v>
      </c>
      <c r="H52" s="721">
        <f t="shared" si="6"/>
        <v>43792.065709433235</v>
      </c>
      <c r="I52" s="721">
        <f t="shared" si="6"/>
        <v>5614.9185517559408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49517.183432661259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402.01592751946123</v>
      </c>
      <c r="D54" s="692">
        <f ca="1">+landbouw!C12</f>
        <v>6304.9462184873964</v>
      </c>
      <c r="E54" s="692">
        <f>+landbouw!D12</f>
        <v>0</v>
      </c>
      <c r="F54" s="692">
        <f>+landbouw!E12</f>
        <v>6.369364109784283</v>
      </c>
      <c r="G54" s="692">
        <f>+landbouw!F12</f>
        <v>2051.2432432315968</v>
      </c>
      <c r="H54" s="692">
        <f>+landbouw!G12</f>
        <v>0</v>
      </c>
      <c r="I54" s="692">
        <f>+landbouw!H12</f>
        <v>0</v>
      </c>
      <c r="J54" s="692">
        <f>+landbouw!I12</f>
        <v>0</v>
      </c>
      <c r="K54" s="692">
        <f>+landbouw!J12</f>
        <v>118.54235334978044</v>
      </c>
      <c r="L54" s="692">
        <f>+landbouw!K12</f>
        <v>0</v>
      </c>
      <c r="M54" s="692">
        <f>+landbouw!L12</f>
        <v>0</v>
      </c>
      <c r="N54" s="692">
        <f>+landbouw!M12</f>
        <v>0</v>
      </c>
      <c r="O54" s="692">
        <f>+landbouw!N12</f>
        <v>0</v>
      </c>
      <c r="P54" s="692">
        <f>+landbouw!O12</f>
        <v>0</v>
      </c>
      <c r="Q54" s="693">
        <f>+landbouw!P12</f>
        <v>0</v>
      </c>
      <c r="R54" s="720">
        <f ca="1">SUM(C54:Q54)</f>
        <v>8883.1171066980187</v>
      </c>
    </row>
    <row r="55" spans="1:18" ht="15" thickBot="1">
      <c r="A55" s="817" t="s">
        <v>856</v>
      </c>
      <c r="B55" s="827"/>
      <c r="C55" s="692">
        <f ca="1">C25*'EF ele_warmte'!B12</f>
        <v>282.58904973671997</v>
      </c>
      <c r="D55" s="692"/>
      <c r="E55" s="692">
        <f>E25*EF_CO2_aardgas</f>
        <v>2574.639682</v>
      </c>
      <c r="F55" s="692"/>
      <c r="G55" s="692"/>
      <c r="H55" s="692"/>
      <c r="I55" s="692"/>
      <c r="J55" s="692"/>
      <c r="K55" s="692"/>
      <c r="L55" s="692"/>
      <c r="M55" s="692"/>
      <c r="N55" s="692"/>
      <c r="O55" s="692"/>
      <c r="P55" s="692"/>
      <c r="Q55" s="693"/>
      <c r="R55" s="720">
        <f ca="1">SUM(C55:Q55)</f>
        <v>2857.22873173672</v>
      </c>
    </row>
    <row r="56" spans="1:18" ht="15.75" thickBot="1">
      <c r="A56" s="815" t="s">
        <v>857</v>
      </c>
      <c r="B56" s="828"/>
      <c r="C56" s="721">
        <f ca="1">SUM(C54:C55)</f>
        <v>684.6049772561812</v>
      </c>
      <c r="D56" s="721">
        <f t="shared" ref="D56:Q56" ca="1" si="7">SUM(D54:D55)</f>
        <v>6304.9462184873964</v>
      </c>
      <c r="E56" s="721">
        <f t="shared" si="7"/>
        <v>2574.639682</v>
      </c>
      <c r="F56" s="721">
        <f t="shared" si="7"/>
        <v>6.369364109784283</v>
      </c>
      <c r="G56" s="721">
        <f t="shared" si="7"/>
        <v>2051.2432432315968</v>
      </c>
      <c r="H56" s="721">
        <f t="shared" si="7"/>
        <v>0</v>
      </c>
      <c r="I56" s="721">
        <f t="shared" si="7"/>
        <v>0</v>
      </c>
      <c r="J56" s="721">
        <f t="shared" si="7"/>
        <v>0</v>
      </c>
      <c r="K56" s="721">
        <f t="shared" si="7"/>
        <v>118.54235334978044</v>
      </c>
      <c r="L56" s="721">
        <f t="shared" si="7"/>
        <v>0</v>
      </c>
      <c r="M56" s="721">
        <f t="shared" si="7"/>
        <v>0</v>
      </c>
      <c r="N56" s="721">
        <f t="shared" si="7"/>
        <v>0</v>
      </c>
      <c r="O56" s="721">
        <f t="shared" si="7"/>
        <v>0</v>
      </c>
      <c r="P56" s="721">
        <f t="shared" si="7"/>
        <v>0</v>
      </c>
      <c r="Q56" s="722">
        <f t="shared" si="7"/>
        <v>0</v>
      </c>
      <c r="R56" s="723">
        <f ca="1">SUM(R54:R55)</f>
        <v>11740.34583843474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28409.447338154361</v>
      </c>
      <c r="D61" s="729">
        <f t="shared" ref="D61:Q61" ca="1" si="8">D46+D52+D56</f>
        <v>6304.9462184873964</v>
      </c>
      <c r="E61" s="729">
        <f t="shared" ca="1" si="8"/>
        <v>60143.967997466731</v>
      </c>
      <c r="F61" s="729">
        <f t="shared" si="8"/>
        <v>2532.7210070492347</v>
      </c>
      <c r="G61" s="729">
        <f t="shared" ca="1" si="8"/>
        <v>11843.888317972227</v>
      </c>
      <c r="H61" s="729">
        <f t="shared" si="8"/>
        <v>43792.065709433235</v>
      </c>
      <c r="I61" s="729">
        <f t="shared" si="8"/>
        <v>5614.9185517559408</v>
      </c>
      <c r="J61" s="729">
        <f t="shared" si="8"/>
        <v>0</v>
      </c>
      <c r="K61" s="729">
        <f t="shared" si="8"/>
        <v>135.18301153879398</v>
      </c>
      <c r="L61" s="729">
        <f t="shared" si="8"/>
        <v>0</v>
      </c>
      <c r="M61" s="729">
        <f t="shared" ca="1" si="8"/>
        <v>0</v>
      </c>
      <c r="N61" s="729">
        <f t="shared" si="8"/>
        <v>0</v>
      </c>
      <c r="O61" s="729">
        <f t="shared" ca="1" si="8"/>
        <v>0</v>
      </c>
      <c r="P61" s="729">
        <f t="shared" si="8"/>
        <v>0</v>
      </c>
      <c r="Q61" s="729">
        <f t="shared" si="8"/>
        <v>0</v>
      </c>
      <c r="R61" s="729">
        <f ca="1">R46+R52+R56</f>
        <v>158777.13815185791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0.18054604820543943</v>
      </c>
      <c r="D63" s="772">
        <f t="shared" ca="1" si="9"/>
        <v>0.21028503682776717</v>
      </c>
      <c r="E63" s="998">
        <f t="shared" ca="1" si="9"/>
        <v>0.20200000000000001</v>
      </c>
      <c r="F63" s="772">
        <f t="shared" si="9"/>
        <v>0.22700000000000001</v>
      </c>
      <c r="G63" s="772">
        <f t="shared" ca="1" si="9"/>
        <v>0.26700000000000007</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11224.94277</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15219.856650989997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2416.5</v>
      </c>
      <c r="C76" s="739">
        <f>'lokale energieproductie'!B8*IFERROR(SUM(D76:H76)/SUM(D76:O76),0)</f>
        <v>18571.5</v>
      </c>
      <c r="D76" s="1008">
        <f>'lokale energieproductie'!C8</f>
        <v>21848.823529411766</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2842.9411764705883</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4413.4623529411774</v>
      </c>
      <c r="R76" s="844">
        <v>0</v>
      </c>
    </row>
    <row r="77" spans="1:18" ht="30.75" thickBot="1">
      <c r="A77" s="742" t="s">
        <v>352</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3831.4285714285716</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30202.299420989999</v>
      </c>
      <c r="C78" s="744">
        <f>SUM(C72:C77)</f>
        <v>18571.5</v>
      </c>
      <c r="D78" s="745">
        <f t="shared" ref="D78:H78" si="10">SUM(D76:D77)</f>
        <v>21848.823529411766</v>
      </c>
      <c r="E78" s="745">
        <f t="shared" si="10"/>
        <v>0</v>
      </c>
      <c r="F78" s="745">
        <f t="shared" si="10"/>
        <v>0</v>
      </c>
      <c r="G78" s="745">
        <f t="shared" si="10"/>
        <v>0</v>
      </c>
      <c r="H78" s="745">
        <f t="shared" si="10"/>
        <v>0</v>
      </c>
      <c r="I78" s="745">
        <f>SUM(I76:I77)</f>
        <v>0</v>
      </c>
      <c r="J78" s="745">
        <f>SUM(J76:J77)</f>
        <v>6674.3697478991598</v>
      </c>
      <c r="K78" s="745">
        <f t="shared" ref="K78:L78" si="11">SUM(K76:K77)</f>
        <v>0</v>
      </c>
      <c r="L78" s="745">
        <f t="shared" si="11"/>
        <v>0</v>
      </c>
      <c r="M78" s="745">
        <f>SUM(M76:M77)</f>
        <v>0</v>
      </c>
      <c r="N78" s="745">
        <f>SUM(N76:N77)</f>
        <v>0</v>
      </c>
      <c r="O78" s="852">
        <f>SUM(O76:O77)</f>
        <v>0</v>
      </c>
      <c r="P78" s="746">
        <v>0</v>
      </c>
      <c r="Q78" s="746">
        <f>SUM(Q76:Q77)</f>
        <v>4413.4623529411774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3452.1428571428569</v>
      </c>
      <c r="C87" s="755">
        <f>'lokale energieproductie'!B17*IFERROR(SUM(D87:H87)/SUM(D87:O87),0)</f>
        <v>26530.71428571429</v>
      </c>
      <c r="D87" s="766">
        <f>'lokale energieproductie'!C17</f>
        <v>31212.605042016814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4061.3445378151264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6304.9462184873964</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3452.1428571428569</v>
      </c>
      <c r="C90" s="744">
        <f>SUM(C87:C89)</f>
        <v>26530.71428571429</v>
      </c>
      <c r="D90" s="744">
        <f t="shared" ref="D90:H90" si="12">SUM(D87:D89)</f>
        <v>31212.605042016814</v>
      </c>
      <c r="E90" s="744">
        <f t="shared" si="12"/>
        <v>0</v>
      </c>
      <c r="F90" s="744">
        <f t="shared" si="12"/>
        <v>0</v>
      </c>
      <c r="G90" s="744">
        <f t="shared" si="12"/>
        <v>0</v>
      </c>
      <c r="H90" s="744">
        <f t="shared" si="12"/>
        <v>0</v>
      </c>
      <c r="I90" s="744">
        <f>SUM(I87:I89)</f>
        <v>0</v>
      </c>
      <c r="J90" s="744">
        <f>SUM(J87:J89)</f>
        <v>4061.3445378151264</v>
      </c>
      <c r="K90" s="744">
        <f t="shared" ref="K90:L90" si="13">SUM(K87:K89)</f>
        <v>0</v>
      </c>
      <c r="L90" s="744">
        <f t="shared" si="13"/>
        <v>0</v>
      </c>
      <c r="M90" s="744">
        <f>SUM(M87:M89)</f>
        <v>0</v>
      </c>
      <c r="N90" s="744">
        <f>SUM(N87:N89)</f>
        <v>0</v>
      </c>
      <c r="O90" s="744">
        <f>SUM(O87:O89)</f>
        <v>0</v>
      </c>
      <c r="P90" s="744">
        <v>0</v>
      </c>
      <c r="Q90" s="744">
        <f>SUM(Q87:Q89)</f>
        <v>6304.9462184873964</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11224.94277</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15219.856650989997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20988</v>
      </c>
      <c r="C8" s="556">
        <f>B51</f>
        <v>21848.823529411766</v>
      </c>
      <c r="D8" s="1015"/>
      <c r="E8" s="1015">
        <f>E51</f>
        <v>0</v>
      </c>
      <c r="F8" s="1016"/>
      <c r="G8" s="557"/>
      <c r="H8" s="1015">
        <f>I51</f>
        <v>0</v>
      </c>
      <c r="I8" s="1015">
        <f>G51+F51</f>
        <v>0</v>
      </c>
      <c r="J8" s="1015">
        <f>H51+D51+C51</f>
        <v>2842.9411764705883</v>
      </c>
      <c r="K8" s="1015"/>
      <c r="L8" s="1015"/>
      <c r="M8" s="1015"/>
      <c r="N8" s="558"/>
      <c r="O8" s="559">
        <f>C8*$C$12+D8*$D$12+E8*$E$12+F8*$F$12+G8*$G$12+H8*$H$12+I8*$I$12+J8*$J$12</f>
        <v>4413.4623529411774</v>
      </c>
      <c r="P8" s="1254"/>
      <c r="Q8" s="1255"/>
      <c r="S8" s="1027"/>
      <c r="T8" s="1275"/>
      <c r="U8" s="1275"/>
    </row>
    <row r="9" spans="1:21" s="544" customFormat="1" ht="17.45" customHeight="1" thickBot="1">
      <c r="A9" s="560" t="s">
        <v>247</v>
      </c>
      <c r="B9" s="561">
        <f>N39+'Eigen informatie GS &amp; warmtenet'!B12</f>
        <v>1341</v>
      </c>
      <c r="C9" s="562">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48773.799420989999</v>
      </c>
      <c r="C10" s="569">
        <f t="shared" ref="C10:L10" si="0">SUM(C8:C9)</f>
        <v>21848.823529411766</v>
      </c>
      <c r="D10" s="569">
        <f t="shared" si="0"/>
        <v>0</v>
      </c>
      <c r="E10" s="569">
        <f t="shared" si="0"/>
        <v>0</v>
      </c>
      <c r="F10" s="569">
        <f t="shared" si="0"/>
        <v>0</v>
      </c>
      <c r="G10" s="569">
        <f t="shared" si="0"/>
        <v>0</v>
      </c>
      <c r="H10" s="569">
        <f t="shared" si="0"/>
        <v>0</v>
      </c>
      <c r="I10" s="569">
        <f t="shared" si="0"/>
        <v>0</v>
      </c>
      <c r="J10" s="569">
        <f t="shared" si="0"/>
        <v>6674.3697478991598</v>
      </c>
      <c r="K10" s="569">
        <f t="shared" si="0"/>
        <v>0</v>
      </c>
      <c r="L10" s="569">
        <f t="shared" si="0"/>
        <v>0</v>
      </c>
      <c r="M10" s="1018"/>
      <c r="N10" s="1018"/>
      <c r="O10" s="570">
        <f>SUM(O4:O9)</f>
        <v>4413.4623529411774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29982.857142857145</v>
      </c>
      <c r="C17" s="581">
        <f>B52</f>
        <v>31212.605042016814</v>
      </c>
      <c r="D17" s="582"/>
      <c r="E17" s="582">
        <f>E52</f>
        <v>0</v>
      </c>
      <c r="F17" s="1021"/>
      <c r="G17" s="583"/>
      <c r="H17" s="581">
        <f>I52</f>
        <v>0</v>
      </c>
      <c r="I17" s="582">
        <f>G52+F52</f>
        <v>0</v>
      </c>
      <c r="J17" s="582">
        <f>H52+D52+C52</f>
        <v>4061.3445378151264</v>
      </c>
      <c r="K17" s="582"/>
      <c r="L17" s="582"/>
      <c r="M17" s="582"/>
      <c r="N17" s="1022"/>
      <c r="O17" s="584">
        <f>C17*$C$22+E17*$E$22+H17*$H$22+I17*$I$22+J17*$J$22+D17*$D$22+F17*$F$22+G17*$G$22+K17*$K$22+L17*$L$22</f>
        <v>6304.9462184873964</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29982.857142857145</v>
      </c>
      <c r="C20" s="568">
        <f>SUM(C17:C19)</f>
        <v>31212.605042016814</v>
      </c>
      <c r="D20" s="568">
        <f t="shared" ref="D20:L20" si="1">SUM(D17:D19)</f>
        <v>0</v>
      </c>
      <c r="E20" s="568">
        <f t="shared" si="1"/>
        <v>0</v>
      </c>
      <c r="F20" s="568">
        <f t="shared" si="1"/>
        <v>0</v>
      </c>
      <c r="G20" s="568">
        <f t="shared" si="1"/>
        <v>0</v>
      </c>
      <c r="H20" s="568">
        <f t="shared" si="1"/>
        <v>0</v>
      </c>
      <c r="I20" s="568">
        <f t="shared" si="1"/>
        <v>0</v>
      </c>
      <c r="J20" s="568">
        <f t="shared" si="1"/>
        <v>4061.3445378151264</v>
      </c>
      <c r="K20" s="568">
        <f t="shared" si="1"/>
        <v>0</v>
      </c>
      <c r="L20" s="568">
        <f t="shared" si="1"/>
        <v>0</v>
      </c>
      <c r="M20" s="568"/>
      <c r="N20" s="568"/>
      <c r="O20" s="588">
        <f>SUM(O17:O19)</f>
        <v>6304.9462184873964</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34013</v>
      </c>
      <c r="C28" s="787">
        <v>8530</v>
      </c>
      <c r="D28" s="640" t="s">
        <v>920</v>
      </c>
      <c r="E28" s="639" t="s">
        <v>921</v>
      </c>
      <c r="F28" s="639" t="s">
        <v>922</v>
      </c>
      <c r="G28" s="639" t="s">
        <v>923</v>
      </c>
      <c r="H28" s="639" t="s">
        <v>924</v>
      </c>
      <c r="I28" s="639" t="s">
        <v>925</v>
      </c>
      <c r="J28" s="786">
        <v>39436</v>
      </c>
      <c r="K28" s="786">
        <v>40974</v>
      </c>
      <c r="L28" s="639" t="s">
        <v>926</v>
      </c>
      <c r="M28" s="639">
        <v>537</v>
      </c>
      <c r="N28" s="639">
        <v>2416.5</v>
      </c>
      <c r="O28" s="639">
        <v>3452.1428571428573</v>
      </c>
      <c r="P28" s="639">
        <v>0</v>
      </c>
      <c r="Q28" s="639">
        <v>6904.2857142857147</v>
      </c>
      <c r="R28" s="639">
        <v>0</v>
      </c>
      <c r="S28" s="639">
        <v>0</v>
      </c>
      <c r="T28" s="639">
        <v>0</v>
      </c>
      <c r="U28" s="639">
        <v>0</v>
      </c>
      <c r="V28" s="639">
        <v>0</v>
      </c>
      <c r="W28" s="639">
        <v>0</v>
      </c>
      <c r="X28" s="639">
        <v>10</v>
      </c>
      <c r="Y28" s="639" t="s">
        <v>111</v>
      </c>
      <c r="Z28" s="641" t="s">
        <v>111</v>
      </c>
    </row>
    <row r="29" spans="1:26" s="593" customFormat="1" ht="25.5">
      <c r="A29" s="592"/>
      <c r="B29" s="787">
        <v>34013</v>
      </c>
      <c r="C29" s="787">
        <v>8531</v>
      </c>
      <c r="D29" s="640" t="s">
        <v>927</v>
      </c>
      <c r="E29" s="639" t="s">
        <v>928</v>
      </c>
      <c r="F29" s="639" t="s">
        <v>929</v>
      </c>
      <c r="G29" s="639" t="s">
        <v>923</v>
      </c>
      <c r="H29" s="639" t="s">
        <v>924</v>
      </c>
      <c r="I29" s="639" t="s">
        <v>928</v>
      </c>
      <c r="J29" s="786">
        <v>39652</v>
      </c>
      <c r="K29" s="786">
        <v>39652</v>
      </c>
      <c r="L29" s="639" t="s">
        <v>926</v>
      </c>
      <c r="M29" s="639">
        <v>2000</v>
      </c>
      <c r="N29" s="639">
        <v>9000</v>
      </c>
      <c r="O29" s="639">
        <v>12857.142857142857</v>
      </c>
      <c r="P29" s="639">
        <v>25714.285714285717</v>
      </c>
      <c r="Q29" s="639">
        <v>0</v>
      </c>
      <c r="R29" s="639">
        <v>0</v>
      </c>
      <c r="S29" s="639">
        <v>0</v>
      </c>
      <c r="T29" s="639">
        <v>0</v>
      </c>
      <c r="U29" s="639">
        <v>0</v>
      </c>
      <c r="V29" s="639">
        <v>0</v>
      </c>
      <c r="W29" s="639">
        <v>0</v>
      </c>
      <c r="X29" s="639">
        <v>10</v>
      </c>
      <c r="Y29" s="639" t="s">
        <v>111</v>
      </c>
      <c r="Z29" s="641" t="s">
        <v>111</v>
      </c>
    </row>
    <row r="30" spans="1:26" s="593" customFormat="1" ht="38.25">
      <c r="A30" s="592"/>
      <c r="B30" s="787">
        <v>34013</v>
      </c>
      <c r="C30" s="787">
        <v>8531</v>
      </c>
      <c r="D30" s="640" t="s">
        <v>930</v>
      </c>
      <c r="E30" s="639" t="s">
        <v>931</v>
      </c>
      <c r="F30" s="639" t="s">
        <v>932</v>
      </c>
      <c r="G30" s="639" t="s">
        <v>923</v>
      </c>
      <c r="H30" s="639" t="s">
        <v>924</v>
      </c>
      <c r="I30" s="639" t="s">
        <v>933</v>
      </c>
      <c r="J30" s="786">
        <v>40345</v>
      </c>
      <c r="K30" s="786">
        <v>40345</v>
      </c>
      <c r="L30" s="639" t="s">
        <v>926</v>
      </c>
      <c r="M30" s="639">
        <v>2057</v>
      </c>
      <c r="N30" s="639">
        <v>9256.5</v>
      </c>
      <c r="O30" s="639">
        <v>13223.571428571429</v>
      </c>
      <c r="P30" s="639">
        <v>26447.142857142859</v>
      </c>
      <c r="Q30" s="639">
        <v>0</v>
      </c>
      <c r="R30" s="639">
        <v>0</v>
      </c>
      <c r="S30" s="639">
        <v>0</v>
      </c>
      <c r="T30" s="639">
        <v>0</v>
      </c>
      <c r="U30" s="639">
        <v>0</v>
      </c>
      <c r="V30" s="639">
        <v>0</v>
      </c>
      <c r="W30" s="639">
        <v>0</v>
      </c>
      <c r="X30" s="639">
        <v>10</v>
      </c>
      <c r="Y30" s="639" t="s">
        <v>111</v>
      </c>
      <c r="Z30" s="641" t="s">
        <v>111</v>
      </c>
    </row>
    <row r="31" spans="1:26" s="593" customFormat="1" ht="25.5">
      <c r="A31" s="592"/>
      <c r="B31" s="787">
        <v>34013</v>
      </c>
      <c r="C31" s="787">
        <v>8530</v>
      </c>
      <c r="D31" s="640" t="s">
        <v>934</v>
      </c>
      <c r="E31" s="639" t="s">
        <v>935</v>
      </c>
      <c r="F31" s="639" t="s">
        <v>936</v>
      </c>
      <c r="G31" s="639" t="s">
        <v>923</v>
      </c>
      <c r="H31" s="639" t="s">
        <v>924</v>
      </c>
      <c r="I31" s="639" t="s">
        <v>937</v>
      </c>
      <c r="J31" s="786">
        <v>41253</v>
      </c>
      <c r="K31" s="786">
        <v>41037</v>
      </c>
      <c r="L31" s="639" t="s">
        <v>926</v>
      </c>
      <c r="M31" s="639">
        <v>70</v>
      </c>
      <c r="N31" s="639">
        <v>315.00000000000006</v>
      </c>
      <c r="O31" s="639">
        <v>450.00000000000011</v>
      </c>
      <c r="P31" s="639">
        <v>900.00000000000023</v>
      </c>
      <c r="Q31" s="639">
        <v>0</v>
      </c>
      <c r="R31" s="639">
        <v>0</v>
      </c>
      <c r="S31" s="639">
        <v>0</v>
      </c>
      <c r="T31" s="639">
        <v>0</v>
      </c>
      <c r="U31" s="639">
        <v>0</v>
      </c>
      <c r="V31" s="639">
        <v>0</v>
      </c>
      <c r="W31" s="639">
        <v>0</v>
      </c>
      <c r="X31" s="639">
        <v>10</v>
      </c>
      <c r="Y31" s="639" t="s">
        <v>111</v>
      </c>
      <c r="Z31" s="641" t="s">
        <v>111</v>
      </c>
    </row>
    <row r="32" spans="1:26" s="576" customFormat="1">
      <c r="A32" s="595" t="s">
        <v>279</v>
      </c>
      <c r="B32" s="596"/>
      <c r="C32" s="596"/>
      <c r="D32" s="596"/>
      <c r="E32" s="596"/>
      <c r="F32" s="596"/>
      <c r="G32" s="596"/>
      <c r="H32" s="596"/>
      <c r="I32" s="596"/>
      <c r="J32" s="596"/>
      <c r="K32" s="596"/>
      <c r="L32" s="597"/>
      <c r="M32" s="597">
        <f>SUM(M28:M31)</f>
        <v>4664</v>
      </c>
      <c r="N32" s="597">
        <f>SUM(N28:N31)</f>
        <v>20988</v>
      </c>
      <c r="O32" s="597">
        <f>SUM(O28:O31)</f>
        <v>29982.857142857145</v>
      </c>
      <c r="P32" s="597">
        <f>SUM(P28:P31)</f>
        <v>53061.42857142858</v>
      </c>
      <c r="Q32" s="597">
        <f>SUM(Q28:Q31)</f>
        <v>6904.2857142857147</v>
      </c>
      <c r="R32" s="597">
        <f>SUM(R28:R31)</f>
        <v>0</v>
      </c>
      <c r="S32" s="597">
        <f>SUM(S28:S31)</f>
        <v>0</v>
      </c>
      <c r="T32" s="597">
        <f>SUM(T28:T31)</f>
        <v>0</v>
      </c>
      <c r="U32" s="597">
        <f>SUM(U28:U31)</f>
        <v>0</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0</v>
      </c>
      <c r="N34" s="597">
        <f ca="1">SUMIF($Z$28:AD31,"tertiair",N28:N31)</f>
        <v>0</v>
      </c>
      <c r="O34" s="597">
        <f ca="1">SUMIF($Z$28:AE31,"tertiair",O28:O31)</f>
        <v>0</v>
      </c>
      <c r="P34" s="597">
        <f ca="1">SUMIF($Z$28:AF31,"tertiair",P28:P31)</f>
        <v>0</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4664</v>
      </c>
      <c r="N35" s="602">
        <f>SUMIF($Z$28:$Z$31,"landbouw",N28:N31)</f>
        <v>20988</v>
      </c>
      <c r="O35" s="602">
        <f>SUMIF($Z$28:$Z$31,"landbouw",O28:O31)</f>
        <v>29982.857142857145</v>
      </c>
      <c r="P35" s="602">
        <f>SUMIF($Z$28:$Z$31,"landbouw",P28:P31)</f>
        <v>53061.42857142858</v>
      </c>
      <c r="Q35" s="602">
        <f>SUMIF($Z$28:$Z$31,"landbouw",Q28:Q31)</f>
        <v>6904.2857142857147</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63.75">
      <c r="A38" s="594"/>
      <c r="B38" s="787">
        <v>34013</v>
      </c>
      <c r="C38" s="787">
        <v>8530</v>
      </c>
      <c r="D38" s="642" t="s">
        <v>938</v>
      </c>
      <c r="E38" s="642" t="s">
        <v>939</v>
      </c>
      <c r="F38" s="642" t="s">
        <v>940</v>
      </c>
      <c r="G38" s="642" t="s">
        <v>941</v>
      </c>
      <c r="H38" s="642" t="s">
        <v>942</v>
      </c>
      <c r="I38" s="642" t="s">
        <v>943</v>
      </c>
      <c r="J38" s="786">
        <v>39156</v>
      </c>
      <c r="K38" s="786">
        <v>39173</v>
      </c>
      <c r="L38" s="642" t="s">
        <v>926</v>
      </c>
      <c r="M38" s="642">
        <v>298</v>
      </c>
      <c r="N38" s="642">
        <v>1341</v>
      </c>
      <c r="O38" s="642">
        <v>0</v>
      </c>
      <c r="P38" s="642">
        <v>0</v>
      </c>
      <c r="Q38" s="642">
        <v>3831.4285714285716</v>
      </c>
      <c r="R38" s="642">
        <v>0</v>
      </c>
      <c r="S38" s="642">
        <v>0</v>
      </c>
      <c r="T38" s="642">
        <v>0</v>
      </c>
      <c r="U38" s="642">
        <v>0</v>
      </c>
      <c r="V38" s="642">
        <v>0</v>
      </c>
      <c r="W38" s="642">
        <v>0</v>
      </c>
      <c r="X38" s="642">
        <v>1600</v>
      </c>
      <c r="Y38" s="642" t="s">
        <v>49</v>
      </c>
      <c r="Z38" s="643" t="s">
        <v>155</v>
      </c>
    </row>
    <row r="39" spans="1:27" s="576" customFormat="1">
      <c r="A39" s="595" t="s">
        <v>279</v>
      </c>
      <c r="B39" s="596"/>
      <c r="C39" s="596"/>
      <c r="D39" s="596"/>
      <c r="E39" s="596"/>
      <c r="F39" s="596"/>
      <c r="G39" s="596"/>
      <c r="H39" s="596"/>
      <c r="I39" s="596"/>
      <c r="J39" s="596"/>
      <c r="K39" s="596"/>
      <c r="L39" s="597"/>
      <c r="M39" s="597">
        <f>SUM(M38:M38)</f>
        <v>298</v>
      </c>
      <c r="N39" s="597">
        <f>SUM(N38:N38)</f>
        <v>1341</v>
      </c>
      <c r="O39" s="597">
        <f>SUM(O38:O38)</f>
        <v>0</v>
      </c>
      <c r="P39" s="597">
        <f>SUM(P38:P38)</f>
        <v>0</v>
      </c>
      <c r="Q39" s="597">
        <f>SUM(Q38:Q38)</f>
        <v>3831.4285714285716</v>
      </c>
      <c r="R39" s="597">
        <f>SUM(R38:R38)</f>
        <v>0</v>
      </c>
      <c r="S39" s="597">
        <f>SUM(S38:S38)</f>
        <v>0</v>
      </c>
      <c r="T39" s="597">
        <f>SUM(T38:T38)</f>
        <v>0</v>
      </c>
      <c r="U39" s="597">
        <f>SUM(U38:U38)</f>
        <v>0</v>
      </c>
      <c r="V39" s="597">
        <f>SUM(V38:V38)</f>
        <v>0</v>
      </c>
      <c r="W39" s="597">
        <f>SUM(W38:W38)</f>
        <v>0</v>
      </c>
      <c r="X39" s="598"/>
      <c r="Y39" s="598"/>
      <c r="Z39" s="599"/>
    </row>
    <row r="40" spans="1:27" s="576"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6" customFormat="1">
      <c r="A41" s="595" t="s">
        <v>287</v>
      </c>
      <c r="B41" s="596"/>
      <c r="C41" s="596"/>
      <c r="D41" s="596"/>
      <c r="E41" s="596"/>
      <c r="F41" s="596"/>
      <c r="G41" s="596"/>
      <c r="H41" s="596"/>
      <c r="I41" s="596"/>
      <c r="J41" s="596"/>
      <c r="K41" s="596"/>
      <c r="L41" s="597"/>
      <c r="M41" s="597">
        <f>SUMIF($Z$38:$Z$39,"tertiair",M38:M39)</f>
        <v>298</v>
      </c>
      <c r="N41" s="597">
        <f>SUMIF($Z$38:$Z$39,"tertiair",N38:N39)</f>
        <v>1341</v>
      </c>
      <c r="O41" s="597">
        <f>SUMIF($Z$38:$Z$39,"tertiair",O38:O39)</f>
        <v>0</v>
      </c>
      <c r="P41" s="597">
        <f>SUMIF($Z$38:$Z$39,"tertiair",P38:P39)</f>
        <v>0</v>
      </c>
      <c r="Q41" s="597">
        <f>SUMIF($Z$38:$Z$39,"tertiair",Q38:Q39)</f>
        <v>3831.4285714285716</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6"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0.41176470588235292</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546</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21848.823529411766</v>
      </c>
      <c r="C51" s="631">
        <f t="shared" si="2"/>
        <v>2842.9411764705883</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31212.605042016814</v>
      </c>
      <c r="C52" s="634">
        <f t="shared" si="3"/>
        <v>4061.3445378151264</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74"/>
      <c r="K53" s="574"/>
      <c r="L53" s="574"/>
      <c r="M53" s="574"/>
      <c r="N53" s="574"/>
    </row>
    <row r="54" spans="1:16">
      <c r="J54" s="574"/>
      <c r="K54" s="574"/>
      <c r="L54" s="574"/>
      <c r="M54" s="574"/>
      <c r="N54"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46949.050948595635</v>
      </c>
      <c r="C4" s="458">
        <f>huishoudens!C8</f>
        <v>0</v>
      </c>
      <c r="D4" s="458">
        <f>huishoudens!D8</f>
        <v>128583.83698600001</v>
      </c>
      <c r="E4" s="458">
        <f>huishoudens!E8</f>
        <v>5890.0467704180801</v>
      </c>
      <c r="F4" s="458">
        <f>huishoudens!F8</f>
        <v>6203.7010058792084</v>
      </c>
      <c r="G4" s="458">
        <f>huishoudens!G8</f>
        <v>0</v>
      </c>
      <c r="H4" s="458">
        <f>huishoudens!H8</f>
        <v>0</v>
      </c>
      <c r="I4" s="458">
        <f>huishoudens!I8</f>
        <v>0</v>
      </c>
      <c r="J4" s="458">
        <f>huishoudens!J8</f>
        <v>0</v>
      </c>
      <c r="K4" s="458">
        <f>huishoudens!K8</f>
        <v>0</v>
      </c>
      <c r="L4" s="458">
        <f>huishoudens!L8</f>
        <v>0</v>
      </c>
      <c r="M4" s="458">
        <f>huishoudens!M8</f>
        <v>0</v>
      </c>
      <c r="N4" s="458">
        <f>huishoudens!N8</f>
        <v>20161.486066276175</v>
      </c>
      <c r="O4" s="458">
        <f>huishoudens!O8</f>
        <v>259.51333333333338</v>
      </c>
      <c r="P4" s="459">
        <f>huishoudens!P8</f>
        <v>514.79999999999995</v>
      </c>
      <c r="Q4" s="460">
        <f>SUM(B4:P4)</f>
        <v>208562.43511050244</v>
      </c>
    </row>
    <row r="5" spans="1:17">
      <c r="A5" s="457" t="s">
        <v>155</v>
      </c>
      <c r="B5" s="458">
        <f ca="1">tertiair!B16</f>
        <v>59132.780000000006</v>
      </c>
      <c r="C5" s="458">
        <f ca="1">tertiair!C16</f>
        <v>0</v>
      </c>
      <c r="D5" s="458">
        <f ca="1">tertiair!D16</f>
        <v>85003.838678000015</v>
      </c>
      <c r="E5" s="458">
        <f>tertiair!E16</f>
        <v>681.63591806614636</v>
      </c>
      <c r="F5" s="458">
        <f ca="1">tertiair!F16</f>
        <v>11693.277962428614</v>
      </c>
      <c r="G5" s="458">
        <f>tertiair!G16</f>
        <v>0</v>
      </c>
      <c r="H5" s="458">
        <f>tertiair!H16</f>
        <v>0</v>
      </c>
      <c r="I5" s="458">
        <f>tertiair!I16</f>
        <v>0</v>
      </c>
      <c r="J5" s="458">
        <f>tertiair!J16</f>
        <v>0</v>
      </c>
      <c r="K5" s="458">
        <f>tertiair!K16</f>
        <v>0</v>
      </c>
      <c r="L5" s="458">
        <f ca="1">tertiair!L16</f>
        <v>0</v>
      </c>
      <c r="M5" s="458">
        <f>tertiair!M16</f>
        <v>0</v>
      </c>
      <c r="N5" s="458">
        <f ca="1">tertiair!N16</f>
        <v>4713.3918855706079</v>
      </c>
      <c r="O5" s="458">
        <f>tertiair!O16</f>
        <v>0</v>
      </c>
      <c r="P5" s="459">
        <f>tertiair!P16</f>
        <v>114.4</v>
      </c>
      <c r="Q5" s="457">
        <f t="shared" ref="Q5:Q14" ca="1" si="0">SUM(B5:P5)</f>
        <v>161339.32444406537</v>
      </c>
    </row>
    <row r="6" spans="1:17">
      <c r="A6" s="457" t="s">
        <v>193</v>
      </c>
      <c r="B6" s="458">
        <f>'openbare verlichting'!B8</f>
        <v>2219.69</v>
      </c>
      <c r="C6" s="458"/>
      <c r="D6" s="458"/>
      <c r="E6" s="458"/>
      <c r="F6" s="458"/>
      <c r="G6" s="458"/>
      <c r="H6" s="458"/>
      <c r="I6" s="458"/>
      <c r="J6" s="458"/>
      <c r="K6" s="458"/>
      <c r="L6" s="458"/>
      <c r="M6" s="458"/>
      <c r="N6" s="458"/>
      <c r="O6" s="458"/>
      <c r="P6" s="459"/>
      <c r="Q6" s="457">
        <f t="shared" si="0"/>
        <v>2219.69</v>
      </c>
    </row>
    <row r="7" spans="1:17">
      <c r="A7" s="457" t="s">
        <v>111</v>
      </c>
      <c r="B7" s="458">
        <f>landbouw!B8</f>
        <v>2226.6669999999999</v>
      </c>
      <c r="C7" s="458">
        <f>landbouw!C8</f>
        <v>29982.857142857145</v>
      </c>
      <c r="D7" s="458">
        <f>landbouw!D8</f>
        <v>0</v>
      </c>
      <c r="E7" s="458">
        <f>landbouw!E8</f>
        <v>28.058872730327238</v>
      </c>
      <c r="F7" s="458">
        <f>landbouw!F8</f>
        <v>7682.5589634142198</v>
      </c>
      <c r="G7" s="458">
        <f>landbouw!G8</f>
        <v>0</v>
      </c>
      <c r="H7" s="458">
        <f>landbouw!H8</f>
        <v>0</v>
      </c>
      <c r="I7" s="458">
        <f>landbouw!I8</f>
        <v>0</v>
      </c>
      <c r="J7" s="458">
        <f>landbouw!J8</f>
        <v>334.86540494288261</v>
      </c>
      <c r="K7" s="458">
        <f>landbouw!K8</f>
        <v>0</v>
      </c>
      <c r="L7" s="458">
        <f>landbouw!L8</f>
        <v>0</v>
      </c>
      <c r="M7" s="458">
        <f>landbouw!M8</f>
        <v>0</v>
      </c>
      <c r="N7" s="458">
        <f>landbouw!N8</f>
        <v>0</v>
      </c>
      <c r="O7" s="458">
        <f>landbouw!O8</f>
        <v>0</v>
      </c>
      <c r="P7" s="459">
        <f>landbouw!P8</f>
        <v>0</v>
      </c>
      <c r="Q7" s="457">
        <f t="shared" si="0"/>
        <v>40255.007383944576</v>
      </c>
    </row>
    <row r="8" spans="1:17">
      <c r="A8" s="457" t="s">
        <v>655</v>
      </c>
      <c r="B8" s="458">
        <f>industrie!B18</f>
        <v>45252.383000000009</v>
      </c>
      <c r="C8" s="458">
        <f>industrie!C18</f>
        <v>0</v>
      </c>
      <c r="D8" s="458">
        <f>industrie!D18</f>
        <v>71396.818702000019</v>
      </c>
      <c r="E8" s="458">
        <f>industrie!E18</f>
        <v>4088.6906219285052</v>
      </c>
      <c r="F8" s="458">
        <f>industrie!F18</f>
        <v>18779.594345327492</v>
      </c>
      <c r="G8" s="458">
        <f>industrie!G18</f>
        <v>0</v>
      </c>
      <c r="H8" s="458">
        <f>industrie!H18</f>
        <v>0</v>
      </c>
      <c r="I8" s="458">
        <f>industrie!I18</f>
        <v>0</v>
      </c>
      <c r="J8" s="458">
        <f>industrie!J18</f>
        <v>47.00750900851282</v>
      </c>
      <c r="K8" s="458">
        <f>industrie!K18</f>
        <v>0</v>
      </c>
      <c r="L8" s="458">
        <f>industrie!L18</f>
        <v>0</v>
      </c>
      <c r="M8" s="458">
        <f>industrie!M18</f>
        <v>0</v>
      </c>
      <c r="N8" s="458">
        <f>industrie!N18</f>
        <v>2959.2861555370764</v>
      </c>
      <c r="O8" s="458">
        <f>industrie!O18</f>
        <v>0</v>
      </c>
      <c r="P8" s="459">
        <f>industrie!P18</f>
        <v>0</v>
      </c>
      <c r="Q8" s="457">
        <f t="shared" si="0"/>
        <v>142523.78033380158</v>
      </c>
    </row>
    <row r="9" spans="1:17" s="463" customFormat="1">
      <c r="A9" s="461" t="s">
        <v>573</v>
      </c>
      <c r="B9" s="462">
        <f>transport!B14</f>
        <v>7.1550525444906805</v>
      </c>
      <c r="C9" s="462">
        <f>transport!C14</f>
        <v>0</v>
      </c>
      <c r="D9" s="462">
        <f>transport!D14</f>
        <v>12.180463043161787</v>
      </c>
      <c r="E9" s="462">
        <f>transport!E14</f>
        <v>468.92908139101331</v>
      </c>
      <c r="F9" s="462">
        <f>transport!F14</f>
        <v>0</v>
      </c>
      <c r="G9" s="462">
        <f>transport!G14</f>
        <v>162591.04315655693</v>
      </c>
      <c r="H9" s="462">
        <f>transport!H14</f>
        <v>22549.873701831089</v>
      </c>
      <c r="I9" s="462">
        <f>transport!I14</f>
        <v>0</v>
      </c>
      <c r="J9" s="462">
        <f>transport!J14</f>
        <v>0</v>
      </c>
      <c r="K9" s="462">
        <f>transport!K14</f>
        <v>0</v>
      </c>
      <c r="L9" s="462">
        <f>transport!L14</f>
        <v>0</v>
      </c>
      <c r="M9" s="462">
        <f>transport!M14</f>
        <v>8369.0622447686328</v>
      </c>
      <c r="N9" s="462">
        <f>transport!N14</f>
        <v>0</v>
      </c>
      <c r="O9" s="462">
        <f>transport!O14</f>
        <v>0</v>
      </c>
      <c r="P9" s="462">
        <f>transport!P14</f>
        <v>0</v>
      </c>
      <c r="Q9" s="461">
        <f>SUM(B9:P9)</f>
        <v>193998.24370013532</v>
      </c>
    </row>
    <row r="10" spans="1:17">
      <c r="A10" s="457" t="s">
        <v>563</v>
      </c>
      <c r="B10" s="458">
        <f>transport!B54</f>
        <v>0</v>
      </c>
      <c r="C10" s="458">
        <f>transport!C54</f>
        <v>0</v>
      </c>
      <c r="D10" s="458">
        <f>transport!D54</f>
        <v>0</v>
      </c>
      <c r="E10" s="458">
        <f>transport!E54</f>
        <v>0</v>
      </c>
      <c r="F10" s="458">
        <f>transport!F54</f>
        <v>0</v>
      </c>
      <c r="G10" s="458">
        <f>transport!G54</f>
        <v>1424.1842195974805</v>
      </c>
      <c r="H10" s="458">
        <f>transport!H54</f>
        <v>0</v>
      </c>
      <c r="I10" s="458">
        <f>transport!I54</f>
        <v>0</v>
      </c>
      <c r="J10" s="458">
        <f>transport!J54</f>
        <v>0</v>
      </c>
      <c r="K10" s="458">
        <f>transport!K54</f>
        <v>0</v>
      </c>
      <c r="L10" s="458">
        <f>transport!L54</f>
        <v>0</v>
      </c>
      <c r="M10" s="458">
        <f>transport!M54</f>
        <v>63.391617830757347</v>
      </c>
      <c r="N10" s="458">
        <f>transport!N54</f>
        <v>0</v>
      </c>
      <c r="O10" s="458">
        <f>transport!O54</f>
        <v>0</v>
      </c>
      <c r="P10" s="459">
        <f>transport!P54</f>
        <v>0</v>
      </c>
      <c r="Q10" s="457">
        <f t="shared" si="0"/>
        <v>1487.5758374282377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1565.191</v>
      </c>
      <c r="C14" s="465"/>
      <c r="D14" s="465">
        <f>'SEAP template'!E25</f>
        <v>12745.741</v>
      </c>
      <c r="E14" s="465"/>
      <c r="F14" s="465"/>
      <c r="G14" s="465"/>
      <c r="H14" s="465"/>
      <c r="I14" s="465"/>
      <c r="J14" s="465"/>
      <c r="K14" s="465"/>
      <c r="L14" s="465"/>
      <c r="M14" s="465"/>
      <c r="N14" s="465"/>
      <c r="O14" s="465"/>
      <c r="P14" s="466"/>
      <c r="Q14" s="457">
        <f t="shared" si="0"/>
        <v>14310.932000000001</v>
      </c>
    </row>
    <row r="15" spans="1:17" s="470" customFormat="1">
      <c r="A15" s="467" t="s">
        <v>567</v>
      </c>
      <c r="B15" s="468">
        <f ca="1">SUM(B4:B14)</f>
        <v>157352.91700114013</v>
      </c>
      <c r="C15" s="468">
        <f t="shared" ref="C15:Q15" ca="1" si="1">SUM(C4:C14)</f>
        <v>29982.857142857145</v>
      </c>
      <c r="D15" s="468">
        <f t="shared" ca="1" si="1"/>
        <v>297742.4158290432</v>
      </c>
      <c r="E15" s="468">
        <f t="shared" si="1"/>
        <v>11157.361264534073</v>
      </c>
      <c r="F15" s="468">
        <f t="shared" ca="1" si="1"/>
        <v>44359.132277049532</v>
      </c>
      <c r="G15" s="468">
        <f t="shared" si="1"/>
        <v>164015.22737615442</v>
      </c>
      <c r="H15" s="468">
        <f t="shared" si="1"/>
        <v>22549.873701831089</v>
      </c>
      <c r="I15" s="468">
        <f t="shared" si="1"/>
        <v>0</v>
      </c>
      <c r="J15" s="468">
        <f t="shared" si="1"/>
        <v>381.87291395139545</v>
      </c>
      <c r="K15" s="468">
        <f t="shared" si="1"/>
        <v>0</v>
      </c>
      <c r="L15" s="468">
        <f t="shared" ca="1" si="1"/>
        <v>0</v>
      </c>
      <c r="M15" s="468">
        <f t="shared" si="1"/>
        <v>8432.45386259939</v>
      </c>
      <c r="N15" s="468">
        <f t="shared" ca="1" si="1"/>
        <v>27834.164107383858</v>
      </c>
      <c r="O15" s="468">
        <f t="shared" si="1"/>
        <v>259.51333333333338</v>
      </c>
      <c r="P15" s="468">
        <f t="shared" si="1"/>
        <v>629.19999999999993</v>
      </c>
      <c r="Q15" s="468">
        <f t="shared" ca="1" si="1"/>
        <v>764696.98880987754</v>
      </c>
    </row>
    <row r="17" spans="1:17">
      <c r="A17" s="471" t="s">
        <v>568</v>
      </c>
      <c r="B17" s="777">
        <f ca="1">huishoudens!B10</f>
        <v>0.18054604820543946</v>
      </c>
      <c r="C17" s="777">
        <f ca="1">huishoudens!C10</f>
        <v>0.21028503682776717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8476.4656157647805</v>
      </c>
      <c r="C22" s="458">
        <f t="shared" ref="C22:C32" ca="1" si="3">C4*$C$17</f>
        <v>0</v>
      </c>
      <c r="D22" s="458">
        <f t="shared" ref="D22:D32" si="4">D4*$D$17</f>
        <v>25973.935071172004</v>
      </c>
      <c r="E22" s="458">
        <f t="shared" ref="E22:E32" si="5">E4*$E$17</f>
        <v>1337.0406168849042</v>
      </c>
      <c r="F22" s="458">
        <f t="shared" ref="F22:F32" si="6">F4*$F$17</f>
        <v>1656.3881685697488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37443.829472391444</v>
      </c>
    </row>
    <row r="23" spans="1:17">
      <c r="A23" s="457" t="s">
        <v>155</v>
      </c>
      <c r="B23" s="458">
        <f t="shared" ca="1" si="2"/>
        <v>10676.189748401648</v>
      </c>
      <c r="C23" s="458">
        <f t="shared" ca="1" si="3"/>
        <v>0</v>
      </c>
      <c r="D23" s="458">
        <f t="shared" ca="1" si="4"/>
        <v>17170.775412956005</v>
      </c>
      <c r="E23" s="458">
        <f t="shared" si="5"/>
        <v>154.73135340101524</v>
      </c>
      <c r="F23" s="458">
        <f t="shared" ca="1" si="6"/>
        <v>3122.10521596844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31123.801730727107</v>
      </c>
    </row>
    <row r="24" spans="1:17">
      <c r="A24" s="457" t="s">
        <v>193</v>
      </c>
      <c r="B24" s="458">
        <f t="shared" ca="1" si="2"/>
        <v>400.75625774113195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400.75625774113195</v>
      </c>
    </row>
    <row r="25" spans="1:17">
      <c r="A25" s="457" t="s">
        <v>111</v>
      </c>
      <c r="B25" s="458">
        <f t="shared" ca="1" si="2"/>
        <v>402.01592751946123</v>
      </c>
      <c r="C25" s="458">
        <f t="shared" ca="1" si="3"/>
        <v>6304.9462184873964</v>
      </c>
      <c r="D25" s="458">
        <f t="shared" si="4"/>
        <v>0</v>
      </c>
      <c r="E25" s="458">
        <f t="shared" si="5"/>
        <v>6.369364109784283</v>
      </c>
      <c r="F25" s="458">
        <f t="shared" si="6"/>
        <v>2051.2432432315968</v>
      </c>
      <c r="G25" s="458">
        <f t="shared" si="7"/>
        <v>0</v>
      </c>
      <c r="H25" s="458">
        <f t="shared" si="8"/>
        <v>0</v>
      </c>
      <c r="I25" s="458">
        <f t="shared" si="9"/>
        <v>0</v>
      </c>
      <c r="J25" s="458">
        <f t="shared" si="10"/>
        <v>118.54235334978044</v>
      </c>
      <c r="K25" s="458">
        <f t="shared" si="11"/>
        <v>0</v>
      </c>
      <c r="L25" s="458">
        <f t="shared" si="12"/>
        <v>0</v>
      </c>
      <c r="M25" s="458">
        <f t="shared" si="13"/>
        <v>0</v>
      </c>
      <c r="N25" s="458">
        <f t="shared" si="14"/>
        <v>0</v>
      </c>
      <c r="O25" s="458">
        <f t="shared" si="15"/>
        <v>0</v>
      </c>
      <c r="P25" s="459">
        <f t="shared" si="16"/>
        <v>0</v>
      </c>
      <c r="Q25" s="457">
        <f t="shared" ca="1" si="17"/>
        <v>8883.1171066980187</v>
      </c>
    </row>
    <row r="26" spans="1:17">
      <c r="A26" s="457" t="s">
        <v>655</v>
      </c>
      <c r="B26" s="458">
        <f t="shared" ca="1" si="2"/>
        <v>8170.1389225290104</v>
      </c>
      <c r="C26" s="458">
        <f t="shared" ca="1" si="3"/>
        <v>0</v>
      </c>
      <c r="D26" s="458">
        <f t="shared" si="4"/>
        <v>14422.157377804006</v>
      </c>
      <c r="E26" s="458">
        <f t="shared" si="5"/>
        <v>928.13277117777068</v>
      </c>
      <c r="F26" s="458">
        <f t="shared" si="6"/>
        <v>5014.1516902024405</v>
      </c>
      <c r="G26" s="458">
        <f t="shared" si="7"/>
        <v>0</v>
      </c>
      <c r="H26" s="458">
        <f t="shared" si="8"/>
        <v>0</v>
      </c>
      <c r="I26" s="458">
        <f t="shared" si="9"/>
        <v>0</v>
      </c>
      <c r="J26" s="458">
        <f t="shared" si="10"/>
        <v>16.640658189013536</v>
      </c>
      <c r="K26" s="458">
        <f t="shared" si="11"/>
        <v>0</v>
      </c>
      <c r="L26" s="458">
        <f t="shared" si="12"/>
        <v>0</v>
      </c>
      <c r="M26" s="458">
        <f t="shared" si="13"/>
        <v>0</v>
      </c>
      <c r="N26" s="458">
        <f t="shared" si="14"/>
        <v>0</v>
      </c>
      <c r="O26" s="458">
        <f t="shared" si="15"/>
        <v>0</v>
      </c>
      <c r="P26" s="459">
        <f t="shared" si="16"/>
        <v>0</v>
      </c>
      <c r="Q26" s="457">
        <f t="shared" ca="1" si="17"/>
        <v>28551.221419902242</v>
      </c>
    </row>
    <row r="27" spans="1:17" s="463" customFormat="1">
      <c r="A27" s="461" t="s">
        <v>573</v>
      </c>
      <c r="B27" s="771">
        <f t="shared" ca="1" si="2"/>
        <v>1.2918164616100667</v>
      </c>
      <c r="C27" s="462">
        <f t="shared" ca="1" si="3"/>
        <v>0</v>
      </c>
      <c r="D27" s="462">
        <f t="shared" si="4"/>
        <v>2.4604535347186811</v>
      </c>
      <c r="E27" s="462">
        <f t="shared" si="5"/>
        <v>106.44690147576003</v>
      </c>
      <c r="F27" s="462">
        <f t="shared" si="6"/>
        <v>0</v>
      </c>
      <c r="G27" s="462">
        <f t="shared" si="7"/>
        <v>43411.808522800704</v>
      </c>
      <c r="H27" s="462">
        <f t="shared" si="8"/>
        <v>5614.9185517559408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49136.926246028728</v>
      </c>
    </row>
    <row r="28" spans="1:17">
      <c r="A28" s="457" t="s">
        <v>563</v>
      </c>
      <c r="B28" s="458">
        <f t="shared" ca="1" si="2"/>
        <v>0</v>
      </c>
      <c r="C28" s="458">
        <f t="shared" ca="1" si="3"/>
        <v>0</v>
      </c>
      <c r="D28" s="458">
        <f t="shared" si="4"/>
        <v>0</v>
      </c>
      <c r="E28" s="458">
        <f t="shared" si="5"/>
        <v>0</v>
      </c>
      <c r="F28" s="458">
        <f t="shared" si="6"/>
        <v>0</v>
      </c>
      <c r="G28" s="458">
        <f t="shared" si="7"/>
        <v>380.25718663252729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380.25718663252729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282.58904973671997</v>
      </c>
      <c r="C32" s="458">
        <f t="shared" ca="1" si="3"/>
        <v>0</v>
      </c>
      <c r="D32" s="458">
        <f t="shared" si="4"/>
        <v>2574.639682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2857.22873173672</v>
      </c>
    </row>
    <row r="33" spans="1:17" s="470" customFormat="1">
      <c r="A33" s="467" t="s">
        <v>567</v>
      </c>
      <c r="B33" s="468">
        <f ca="1">SUM(B22:B32)</f>
        <v>28409.447338154365</v>
      </c>
      <c r="C33" s="468">
        <f t="shared" ref="C33:Q33" ca="1" si="18">SUM(C22:C32)</f>
        <v>6304.9462184873964</v>
      </c>
      <c r="D33" s="468">
        <f t="shared" ca="1" si="18"/>
        <v>60143.967997466731</v>
      </c>
      <c r="E33" s="468">
        <f t="shared" si="18"/>
        <v>2532.7210070492347</v>
      </c>
      <c r="F33" s="468">
        <f t="shared" ca="1" si="18"/>
        <v>11843.888317972225</v>
      </c>
      <c r="G33" s="468">
        <f t="shared" si="18"/>
        <v>43792.065709433235</v>
      </c>
      <c r="H33" s="468">
        <f t="shared" si="18"/>
        <v>5614.9185517559408</v>
      </c>
      <c r="I33" s="468">
        <f t="shared" si="18"/>
        <v>0</v>
      </c>
      <c r="J33" s="468">
        <f t="shared" si="18"/>
        <v>135.18301153879398</v>
      </c>
      <c r="K33" s="468">
        <f t="shared" si="18"/>
        <v>0</v>
      </c>
      <c r="L33" s="468">
        <f t="shared" ca="1" si="18"/>
        <v>0</v>
      </c>
      <c r="M33" s="468">
        <f t="shared" si="18"/>
        <v>0</v>
      </c>
      <c r="N33" s="468">
        <f t="shared" ca="1" si="18"/>
        <v>0</v>
      </c>
      <c r="O33" s="468">
        <f t="shared" si="18"/>
        <v>0</v>
      </c>
      <c r="P33" s="468">
        <f t="shared" si="18"/>
        <v>0</v>
      </c>
      <c r="Q33" s="468">
        <f t="shared" ca="1" si="18"/>
        <v>158777.13815185791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11224.94277</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15219.856650989997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2416.5</v>
      </c>
      <c r="C8" s="1034">
        <f>'SEAP template'!C76</f>
        <v>18571.5</v>
      </c>
      <c r="D8" s="1034">
        <f>'SEAP template'!D76</f>
        <v>21848.823529411766</v>
      </c>
      <c r="E8" s="1034">
        <f>'SEAP template'!E76</f>
        <v>0</v>
      </c>
      <c r="F8" s="1034">
        <f>'SEAP template'!F76</f>
        <v>0</v>
      </c>
      <c r="G8" s="1034">
        <f>'SEAP template'!G76</f>
        <v>0</v>
      </c>
      <c r="H8" s="1034">
        <f>'SEAP template'!H76</f>
        <v>0</v>
      </c>
      <c r="I8" s="1034">
        <f>'SEAP template'!I76</f>
        <v>0</v>
      </c>
      <c r="J8" s="1034">
        <f>'SEAP template'!J76</f>
        <v>2842.9411764705883</v>
      </c>
      <c r="K8" s="1034">
        <f>'SEAP template'!K76</f>
        <v>0</v>
      </c>
      <c r="L8" s="1034">
        <f>'SEAP template'!L76</f>
        <v>0</v>
      </c>
      <c r="M8" s="1034">
        <f>'SEAP template'!M76</f>
        <v>0</v>
      </c>
      <c r="N8" s="1034">
        <f>'SEAP template'!N76</f>
        <v>0</v>
      </c>
      <c r="O8" s="1034">
        <f>'SEAP template'!O76</f>
        <v>0</v>
      </c>
      <c r="P8" s="1035">
        <f>'SEAP template'!Q76</f>
        <v>4413.4623529411774</v>
      </c>
    </row>
    <row r="9" spans="1:16">
      <c r="A9" s="1037" t="s">
        <v>871</v>
      </c>
      <c r="B9" s="1034">
        <f>'SEAP template'!B77</f>
        <v>1341</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3831.4285714285716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30202.299420989999</v>
      </c>
      <c r="C10" s="1038">
        <f>SUM(C4:C9)</f>
        <v>18571.5</v>
      </c>
      <c r="D10" s="1038">
        <f t="shared" ref="D10:H10" si="0">SUM(D8:D9)</f>
        <v>21848.823529411766</v>
      </c>
      <c r="E10" s="1038">
        <f t="shared" si="0"/>
        <v>0</v>
      </c>
      <c r="F10" s="1038">
        <f t="shared" si="0"/>
        <v>0</v>
      </c>
      <c r="G10" s="1038">
        <f t="shared" si="0"/>
        <v>0</v>
      </c>
      <c r="H10" s="1038">
        <f t="shared" si="0"/>
        <v>0</v>
      </c>
      <c r="I10" s="1038">
        <f>SUM(I8:I9)</f>
        <v>0</v>
      </c>
      <c r="J10" s="1038">
        <f>SUM(J8:J9)</f>
        <v>6674.3697478991598</v>
      </c>
      <c r="K10" s="1038">
        <f t="shared" ref="K10:L10" si="1">SUM(K8:K9)</f>
        <v>0</v>
      </c>
      <c r="L10" s="1038">
        <f t="shared" si="1"/>
        <v>0</v>
      </c>
      <c r="M10" s="1038">
        <f>SUM(M8:M9)</f>
        <v>0</v>
      </c>
      <c r="N10" s="1038">
        <f>SUM(N8:N9)</f>
        <v>0</v>
      </c>
      <c r="O10" s="1038">
        <f>SUM(O8:O9)</f>
        <v>0</v>
      </c>
      <c r="P10" s="1038">
        <f>SUM(P8:P9)</f>
        <v>4413.4623529411774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0.18054604820543946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3452.1428571428569</v>
      </c>
      <c r="C17" s="1040">
        <f>'SEAP template'!C87</f>
        <v>26530.71428571429</v>
      </c>
      <c r="D17" s="1035">
        <f>'SEAP template'!D87</f>
        <v>31212.605042016814</v>
      </c>
      <c r="E17" s="1035">
        <f>'SEAP template'!E87</f>
        <v>0</v>
      </c>
      <c r="F17" s="1035">
        <f>'SEAP template'!F87</f>
        <v>0</v>
      </c>
      <c r="G17" s="1035">
        <f>'SEAP template'!G87</f>
        <v>0</v>
      </c>
      <c r="H17" s="1035">
        <f>'SEAP template'!H87</f>
        <v>0</v>
      </c>
      <c r="I17" s="1035">
        <f>'SEAP template'!I87</f>
        <v>0</v>
      </c>
      <c r="J17" s="1035">
        <f>'SEAP template'!J87</f>
        <v>4061.3445378151264</v>
      </c>
      <c r="K17" s="1035">
        <f>'SEAP template'!K87</f>
        <v>0</v>
      </c>
      <c r="L17" s="1035">
        <f>'SEAP template'!L87</f>
        <v>0</v>
      </c>
      <c r="M17" s="1035">
        <f>'SEAP template'!M87</f>
        <v>0</v>
      </c>
      <c r="N17" s="1035">
        <f>'SEAP template'!N87</f>
        <v>0</v>
      </c>
      <c r="O17" s="1035">
        <f>'SEAP template'!O87</f>
        <v>0</v>
      </c>
      <c r="P17" s="1035">
        <f>'SEAP template'!Q87</f>
        <v>6304.9462184873964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3452.1428571428569</v>
      </c>
      <c r="C20" s="1038">
        <f>SUM(C17:C19)</f>
        <v>26530.71428571429</v>
      </c>
      <c r="D20" s="1038">
        <f t="shared" ref="D20:H20" si="2">SUM(D17:D19)</f>
        <v>31212.605042016814</v>
      </c>
      <c r="E20" s="1038">
        <f t="shared" si="2"/>
        <v>0</v>
      </c>
      <c r="F20" s="1038">
        <f t="shared" si="2"/>
        <v>0</v>
      </c>
      <c r="G20" s="1038">
        <f t="shared" si="2"/>
        <v>0</v>
      </c>
      <c r="H20" s="1038">
        <f t="shared" si="2"/>
        <v>0</v>
      </c>
      <c r="I20" s="1038">
        <f>SUM(I17:I19)</f>
        <v>0</v>
      </c>
      <c r="J20" s="1038">
        <f>SUM(J17:J19)</f>
        <v>4061.3445378151264</v>
      </c>
      <c r="K20" s="1038">
        <f t="shared" ref="K20:L20" si="3">SUM(K17:K19)</f>
        <v>0</v>
      </c>
      <c r="L20" s="1038">
        <f t="shared" si="3"/>
        <v>0</v>
      </c>
      <c r="M20" s="1038">
        <f>SUM(M17:M19)</f>
        <v>0</v>
      </c>
      <c r="N20" s="1038">
        <f>SUM(N17:N19)</f>
        <v>0</v>
      </c>
      <c r="O20" s="1038">
        <f>SUM(O17:O19)</f>
        <v>0</v>
      </c>
      <c r="P20" s="1038">
        <f>SUM(P17:P19)</f>
        <v>6304.9462184873964</v>
      </c>
    </row>
    <row r="22" spans="1:16">
      <c r="A22" s="471" t="s">
        <v>879</v>
      </c>
      <c r="B22" s="777" t="s">
        <v>873</v>
      </c>
      <c r="C22" s="777">
        <f ca="1">'EF ele_warmte'!B22</f>
        <v>0.21028503682776717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0.18054604820543946</v>
      </c>
      <c r="C17" s="508">
        <f ca="1">'EF ele_warmte'!B22</f>
        <v>0.21028503682776717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3</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4.6900000000000004</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2020-06-20T16:18:58Z</dcterms:modified>
</cp:coreProperties>
</file>