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C20" i="18" s="1"/>
  <c r="I48" i="18"/>
  <c r="H8" i="18" s="1"/>
  <c r="H10" i="18" s="1"/>
  <c r="G48" i="18"/>
  <c r="F48" i="18"/>
  <c r="D48" i="18"/>
  <c r="C48" i="18"/>
  <c r="B48" i="18"/>
  <c r="C8" i="18" s="1"/>
  <c r="C10" i="18" s="1"/>
  <c r="H48" i="18"/>
  <c r="J8" i="18" s="1"/>
  <c r="J10" i="18" s="1"/>
  <c r="B20" i="18"/>
  <c r="F20" i="18"/>
  <c r="O18" i="18"/>
  <c r="H20" i="18"/>
  <c r="G20" i="18"/>
  <c r="K20" i="18"/>
  <c r="B10" i="18"/>
  <c r="O19" i="18"/>
  <c r="O9" i="18"/>
  <c r="D49" i="18"/>
  <c r="H49" i="18"/>
  <c r="E48" i="18"/>
  <c r="E8" i="18" s="1"/>
  <c r="E10" i="18" s="1"/>
  <c r="E49" i="18"/>
  <c r="E17" i="18" s="1"/>
  <c r="E20" i="18" s="1"/>
  <c r="N6" i="17"/>
  <c r="I8" i="18" l="1"/>
  <c r="I10" i="18" s="1"/>
  <c r="I17" i="18"/>
  <c r="I20" i="18" s="1"/>
  <c r="J17" i="18"/>
  <c r="J20" i="18" s="1"/>
  <c r="L6" i="17"/>
  <c r="F6" i="17"/>
  <c r="D6" i="17"/>
  <c r="C6" i="17"/>
  <c r="N16" i="16"/>
  <c r="L16" i="16"/>
  <c r="F16" i="16"/>
  <c r="D16" i="16"/>
  <c r="C16" i="16"/>
  <c r="B16" i="16"/>
  <c r="B13" i="15"/>
  <c r="O8" i="18" l="1"/>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11" i="14"/>
  <c r="O4" i="48"/>
  <c r="O22" i="48"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F24" i="14"/>
  <c r="F26" i="14" s="1"/>
  <c r="E7" i="48"/>
  <c r="E25" i="48" s="1"/>
  <c r="P13" i="14"/>
  <c r="O8" i="48"/>
  <c r="O26" i="48" s="1"/>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H22" i="14"/>
  <c r="H27" i="14" s="1"/>
  <c r="K10" i="14"/>
  <c r="J5" i="48"/>
  <c r="J23" i="48"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E22" i="16"/>
  <c r="F43" i="14" s="1"/>
  <c r="F46" i="14" s="1"/>
  <c r="F61" i="14" s="1"/>
  <c r="E63" i="14"/>
  <c r="H63" i="14"/>
  <c r="J22" i="16"/>
  <c r="K43" i="14" s="1"/>
  <c r="K46" i="14" s="1"/>
  <c r="K61" i="14" s="1"/>
  <c r="K13" i="14"/>
  <c r="K16" i="14" s="1"/>
  <c r="K27" i="14" s="1"/>
  <c r="J8"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<sst xmlns="http://schemas.openxmlformats.org/spreadsheetml/2006/main" count="2456" uniqueCount="927">
  <si>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</si>
  <si>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</si>
  <si>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</si>
  <si>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</si>
  <si>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</si>
  <si>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</si>
  <si>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</si>
  <si>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</si>
  <si>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</si>
  <si>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</si>
  <si>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</si>
  <si>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</si>
  <si>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</si>
  <si>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</si>
  <si>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</si>
  <si>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</si>
  <si>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</si>
  <si>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</si>
  <si>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</si>
  <si>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</si>
  <si>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</si>
  <si>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</si>
  <si>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</si>
  <si>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</si>
  <si>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</si>
  <si>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</si>
  <si>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</si>
  <si>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</si>
  <si>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</si>
  <si>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</si>
  <si>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</si>
  <si>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</si>
  <si>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</si>
  <si>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</si>
  <si>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</si>
  <si>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</si>
  <si>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</si>
  <si>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</si>
  <si>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</si>
  <si>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</si>
  <si>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</si>
  <si>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</si>
  <si>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</si>
  <si>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</si>
  <si>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</si>
  <si>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</si>
  <si>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</si>
  <si>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</si>
  <si>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</si>
  <si>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</si>
  <si>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</si>
  <si>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</si>
  <si>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</si>
  <si>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</si>
  <si>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</si>
  <si>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</si>
  <si>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</si>
  <si>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</si>
  <si>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</si>
  <si>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</si>
  <si>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</si>
  <si>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</si>
  <si>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</si>
  <si>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</si>
  <si>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</si>
  <si>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</si>
  <si>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</si>
  <si>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</si>
  <si>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</si>
  <si>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</si>
  <si>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</si>
  <si>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</si>
  <si>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</si>
  <si>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</si>
  <si>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</si>
  <si>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</si>
  <si>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</si>
  <si>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</si>
  <si>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</si>
  <si>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</si>
  <si>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</si>
  <si>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</si>
  <si>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</si>
  <si>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</si>
  <si>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</si>
  <si>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</si>
  <si>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</si>
  <si>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</si>
  <si>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</si>
  <si>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</si>
  <si>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</si>
  <si>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</si>
  <si>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</si>
  <si>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</si>
  <si>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</si>
  <si>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</si>
  <si>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</si>
  <si>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</si>
  <si>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</si>
  <si>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</si>
  <si>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</si>
  <si>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</si>
  <si>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</si>
  <si>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</si>
  <si>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</si>
  <si>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</si>
  <si>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</si>
  <si>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</si>
  <si>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</si>
  <si>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</si>
  <si>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</si>
  <si>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</si>
  <si>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</si>
  <si>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</si>
  <si>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</si>
  <si>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</si>
  <si>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</si>
  <si>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</si>
  <si>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</si>
  <si>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</si>
  <si>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</si>
  <si>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</si>
  <si>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</si>
  <si>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</si>
  <si>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</si>
  <si>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</si>
  <si>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</si>
  <si>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</si>
  <si>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</si>
  <si>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</si>
  <si>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</si>
  <si>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</si>
  <si>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</si>
  <si>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</si>
  <si>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</si>
  <si>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</si>
  <si>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</si>
  <si>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</si>
  <si>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</si>
  <si>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</si>
  <si>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</si>
  <si>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</si>
  <si>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</si>
  <si>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</si>
  <si>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</si>
  <si>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</si>
  <si>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</si>
  <si>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</si>
  <si>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</si>
  <si>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</si>
  <si>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</si>
  <si>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</si>
  <si>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</si>
  <si>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</si>
  <si>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</si>
  <si>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</si>
  <si>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</si>
  <si>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</si>
  <si>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</si>
  <si>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</si>
  <si>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</si>
  <si>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</si>
  <si>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</si>
  <si>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</si>
  <si>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</si>
  <si>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</si>
  <si>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</si>
  <si>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</si>
  <si>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</si>
  <si>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</si>
  <si>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</si>
  <si>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</si>
  <si>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</si>
  <si>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</si>
  <si>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</si>
  <si>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</si>
  <si>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</si>
  <si>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</si>
  <si>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</si>
  <si>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</si>
  <si>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</si>
  <si>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</si>
  <si>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</si>
  <si>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</si>
  <si>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</si>
  <si>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</si>
  <si>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</si>
  <si>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</si>
  <si>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</si>
  <si>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</si>
  <si>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</si>
  <si>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</si>
  <si>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</si>
  <si>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</si>
  <si>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</si>
  <si>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</si>
  <si>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</si>
  <si>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</si>
  <si>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</si>
  <si>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</si>
  <si>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</si>
  <si>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</si>
  <si>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</si>
  <si>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</si>
  <si>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</si>
  <si>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</si>
  <si>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</si>
  <si>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</si>
  <si>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</si>
  <si>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</si>
  <si>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</si>
  <si>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</si>
  <si>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</si>
  <si>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</si>
  <si>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</si>
  <si>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</si>
  <si>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</si>
  <si>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</si>
  <si>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</si>
  <si>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</si>
  <si>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</si>
  <si>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</si>
  <si>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</si>
  <si>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</si>
  <si>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</si>
  <si>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</si>
  <si>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</si>
  <si>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</si>
  <si>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</si>
  <si>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</si>
  <si>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</si>
  <si>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</si>
  <si>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</si>
  <si>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</si>
  <si>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</si>
  <si>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</si>
  <si>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</si>
  <si>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</si>
  <si>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</si>
  <si>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</si>
  <si>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</si>
  <si>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</si>
  <si>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</si>
  <si>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</si>
  <si>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</si>
  <si>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</si>
  <si>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</si>
  <si>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</si>
  <si>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</si>
  <si>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</si>
  <si>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</si>
  <si>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</si>
  <si>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</si>
  <si>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</si>
  <si>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</si>
  <si>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</si>
  <si>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</si>
  <si>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</si>
  <si>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</si>
  <si>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</si>
  <si>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</si>
  <si>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</si>
  <si>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</si>
  <si>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</si>
  <si>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</si>
  <si>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</si>
  <si>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</si>
  <si>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</si>
  <si>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</si>
  <si>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</si>
  <si>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</si>
  <si>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</si>
  <si>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</si>
  <si>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</si>
  <si>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</si>
  <si>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</si>
  <si>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</si>
  <si>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</si>
  <si>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</si>
  <si>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</si>
  <si>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</si>
  <si>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</si>
  <si>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</si>
  <si>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</si>
  <si>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</si>
  <si>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</si>
  <si>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</si>
  <si>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</si>
  <si>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</si>
  <si>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</si>
  <si>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</si>
  <si>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</si>
  <si>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</si>
  <si>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</si>
  <si>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</si>
  <si>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</si>
  <si>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</si>
  <si>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</si>
  <si>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</si>
  <si>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</si>
  <si>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</si>
  <si>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</si>
  <si>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</si>
  <si>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</si>
  <si>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</si>
  <si>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</si>
  <si>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</si>
  <si>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</si>
  <si>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</si>
  <si>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</si>
  <si>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</si>
  <si>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</si>
  <si>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</si>
  <si>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</si>
  <si>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</si>
  <si>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</si>
  <si>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</si>
  <si>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</si>
  <si>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</si>
  <si>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</si>
  <si>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</si>
  <si>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</si>
  <si>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</si>
  <si>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</si>
  <si>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</si>
  <si>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</si>
  <si>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</si>
  <si>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</si>
  <si>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</si>
  <si>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</si>
  <si>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</si>
  <si>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</si>
  <si>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</si>
  <si>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</si>
  <si>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</si>
  <si>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</si>
  <si>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</si>
  <si>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</si>
  <si>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</si>
  <si>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</si>
  <si>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</si>
  <si>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</si>
  <si>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</si>
  <si>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</si>
  <si>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</si>
  <si>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</si>
  <si>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</si>
  <si>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</si>
  <si>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</si>
  <si>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</si>
  <si>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</si>
  <si>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</si>
  <si>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</si>
  <si>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</si>
  <si>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</si>
  <si>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</si>
  <si>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</si>
  <si>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</si>
  <si>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</si>
  <si>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</si>
  <si>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</si>
  <si>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</si>
  <si>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</si>
  <si>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</si>
  <si>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</si>
  <si>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</si>
  <si>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</si>
  <si>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</si>
  <si>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</si>
  <si>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</si>
  <si>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</si>
  <si>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</si>
  <si>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</si>
  <si>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</si>
  <si>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</si>
  <si>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</si>
  <si>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</si>
  <si>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</si>
  <si>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</si>
  <si>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</si>
  <si>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</si>
  <si>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</si>
  <si>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</si>
  <si>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</si>
  <si>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</si>
  <si>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</si>
  <si>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</si>
  <si>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</si>
  <si>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</si>
  <si>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</si>
  <si>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</si>
  <si>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</si>
  <si>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</si>
  <si>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</si>
  <si>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</si>
  <si>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</si>
  <si>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</si>
  <si>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</si>
  <si>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</si>
  <si>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</si>
  <si>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</si>
  <si>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</si>
  <si>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</si>
  <si>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</si>
  <si>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</si>
  <si>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</si>
  <si>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</si>
  <si>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</si>
  <si>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</si>
  <si>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</si>
  <si>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</si>
  <si>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</si>
  <si>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</si>
  <si>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</si>
  <si>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</si>
  <si>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</si>
  <si>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</si>
  <si>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</si>
  <si>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</si>
  <si>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</si>
  <si>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</si>
  <si>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</si>
  <si>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</si>
  <si>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</si>
  <si>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</si>
  <si>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</si>
  <si>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</si>
  <si>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</si>
  <si>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</si>
  <si>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</si>
  <si>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</si>
  <si>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</si>
  <si>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</si>
  <si>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</si>
  <si>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</si>
  <si>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</si>
  <si>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</si>
  <si>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</si>
  <si>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</si>
  <si>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</si>
  <si>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</si>
  <si>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</si>
  <si>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</si>
  <si>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</si>
  <si>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</si>
  <si>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</si>
  <si>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</si>
  <si>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</si>
  <si>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</si>
  <si>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</si>
  <si>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</si>
  <si>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</si>
  <si>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</si>
  <si>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</si>
  <si>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</si>
  <si>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</si>
  <si>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</si>
  <si>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</si>
  <si>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</si>
  <si>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</si>
  <si>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</si>
  <si>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</si>
  <si>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</si>
  <si>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</si>
  <si>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</si>
  <si>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</si>
  <si>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</si>
  <si>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</si>
  <si>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</si>
  <si>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</si>
  <si>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</si>
  <si>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</si>
  <si>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</si>
  <si>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</si>
  <si>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</si>
  <si>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</si>
  <si>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</si>
  <si>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</si>
  <si>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</si>
  <si>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</si>
  <si>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</si>
  <si>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</si>
  <si>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</si>
  <si>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</si>
  <si>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</si>
  <si>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</si>
  <si>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</si>
  <si>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</si>
  <si>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</si>
  <si>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</si>
  <si>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</si>
  <si>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</si>
  <si>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</si>
  <si>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</si>
  <si>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</si>
  <si>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</si>
  <si>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</si>
  <si>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</si>
  <si>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</si>
  <si>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</si>
  <si>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</si>
  <si>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</si>
  <si>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</si>
  <si>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</si>
  <si>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</si>
  <si>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</si>
  <si>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</si>
  <si>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</si>
  <si>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</si>
  <si>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</si>
  <si>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</si>
  <si>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</si>
  <si>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</si>
  <si>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</si>
  <si>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</si>
  <si>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</si>
  <si>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</si>
  <si>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</si>
  <si>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</si>
  <si>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</si>
  <si>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</si>
  <si>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</si>
  <si>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</si>
  <si>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</si>
  <si>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</si>
  <si>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</si>
  <si>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</si>
  <si>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</si>
  <si>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</si>
  <si>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</si>
  <si>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</si>
  <si>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</si>
  <si>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</si>
  <si>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</si>
  <si>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</si>
  <si>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</si>
  <si>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</si>
  <si>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</si>
  <si>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</si>
  <si>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</si>
  <si>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</si>
  <si>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</si>
  <si>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</si>
  <si>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</si>
  <si>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</si>
  <si>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</si>
  <si>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</si>
  <si>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</si>
  <si>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</si>
  <si>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</si>
  <si>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</si>
  <si>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</si>
  <si>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</si>
  <si>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</si>
  <si>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</si>
  <si>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</si>
  <si>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</si>
  <si>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</si>
  <si>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</si>
  <si>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</si>
  <si>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</si>
  <si>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</si>
  <si>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</si>
  <si>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</si>
  <si>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</si>
  <si>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</si>
  <si>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</si>
  <si>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</si>
  <si>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</si>
  <si>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</si>
  <si>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</si>
  <si>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</si>
  <si>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</si>
  <si>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</si>
  <si>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</si>
  <si>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</si>
  <si>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</si>
  <si>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</si>
  <si>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</si>
  <si>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</si>
  <si>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</si>
  <si>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</si>
  <si>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</si>
  <si>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</si>
  <si>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</si>
  <si>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</si>
  <si>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</si>
  <si>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</si>
  <si>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</si>
  <si>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</si>
  <si>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</si>
  <si>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</si>
  <si>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</si>
  <si>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</si>
  <si>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</si>
  <si>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</si>
  <si>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</si>
  <si>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</si>
  <si>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</si>
  <si>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</si>
  <si>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</si>
  <si>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</si>
  <si>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</si>
  <si>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</si>
  <si>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</si>
  <si>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</si>
  <si>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</si>
  <si>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</si>
  <si>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</si>
  <si>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</si>
  <si>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</si>
  <si>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</si>
  <si>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</si>
  <si>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</si>
  <si>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</si>
  <si>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</si>
  <si>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</si>
  <si>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</si>
  <si>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</si>
  <si>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</si>
  <si>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</si>
  <si>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</si>
  <si>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</si>
  <si>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</si>
  <si>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</si>
  <si>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</si>
  <si>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</si>
  <si>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</si>
  <si>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</si>
  <si>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</si>
  <si>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</si>
  <si>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</si>
  <si>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</si>
  <si>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</si>
  <si>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</si>
  <si>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</si>
  <si>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</si>
  <si>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</si>
  <si>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</si>
  <si>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</si>
  <si>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</si>
  <si>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</si>
  <si>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</si>
  <si>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</si>
  <si>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</si>
  <si>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</si>
  <si>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</si>
  <si>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</si>
  <si>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</si>
  <si>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</si>
  <si>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</si>
  <si>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</si>
  <si>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</si>
  <si>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</si>
  <si>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</si>
  <si>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</si>
  <si>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</si>
  <si>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</si>
  <si>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</si>
  <si>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</si>
  <si>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</si>
  <si>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</si>
  <si>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</si>
  <si>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</si>
  <si>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</si>
  <si>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</si>
  <si>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</si>
  <si>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</si>
  <si>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</si>
  <si>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</si>
  <si>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</si>
  <si>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</si>
  <si>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</si>
  <si>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</si>
  <si>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</si>
  <si>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</si>
  <si>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</si>
  <si>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</si>
  <si>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</si>
  <si>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</si>
  <si>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</si>
  <si>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</si>
  <si>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</si>
  <si>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</si>
  <si>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</si>
  <si>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</si>
  <si>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</si>
  <si>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</si>
  <si>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</si>
  <si>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</si>
  <si>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</si>
  <si>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</si>
  <si>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</si>
  <si>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</si>
  <si>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</si>
  <si>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</si>
  <si>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</si>
  <si>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</si>
  <si>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</si>
  <si>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</si>
  <si>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</si>
  <si>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</si>
  <si>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</si>
  <si>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</si>
  <si>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</si>
  <si>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</si>
  <si>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</si>
  <si>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</si>
  <si>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</si>
  <si>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</si>
  <si>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</si>
  <si>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</si>
  <si>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</si>
  <si>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</si>
  <si>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</si>
  <si>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</si>
  <si>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</si>
  <si>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</si>
  <si>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</si>
  <si>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</si>
  <si>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</si>
  <si>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</si>
  <si>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</si>
  <si>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</si>
  <si>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</si>
  <si>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</si>
  <si>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</si>
  <si>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</si>
  <si>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</si>
  <si>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</si>
  <si>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</si>
  <si>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</si>
  <si>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</si>
  <si>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</si>
  <si>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</si>
  <si>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</si>
  <si>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</si>
  <si>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</si>
  <si>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</si>
  <si>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</si>
  <si>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</si>
  <si>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</si>
  <si>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</si>
  <si>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</si>
  <si>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</si>
  <si>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</si>
  <si>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</si>
  <si>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</si>
  <si>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</si>
  <si>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</si>
  <si>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</si>
  <si>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</si>
  <si>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</si>
  <si>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</si>
  <si>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</si>
  <si>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</si>
  <si>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</si>
  <si>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</si>
  <si>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</si>
  <si>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</si>
  <si>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</si>
  <si>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</si>
  <si>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</si>
  <si>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</si>
  <si>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</si>
  <si>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</si>
  <si>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</si>
  <si>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</si>
  <si>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</si>
  <si>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</si>
  <si>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</si>
  <si>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</si>
  <si>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</si>
  <si>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</si>
  <si>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</si>
  <si>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</si>
  <si>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</si>
  <si>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</si>
  <si>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</si>
  <si>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</si>
  <si>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</si>
  <si>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</si>
  <si>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</si>
  <si>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</si>
  <si>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</si>
  <si>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</si>
  <si>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</si>
  <si>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</si>
  <si>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</si>
  <si>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</si>
  <si>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</si>
  <si>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</si>
  <si>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</si>
  <si>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</si>
  <si>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</si>
  <si>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</si>
  <si>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</si>
  <si>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</si>
  <si>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</si>
  <si>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</si>
  <si>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</si>
  <si>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</si>
  <si>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</si>
  <si>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</si>
  <si>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</si>
  <si>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</si>
  <si>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</si>
  <si>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</si>
  <si>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</si>
  <si>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</si>
  <si>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</si>
  <si>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</si>
  <si>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</si>
  <si>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</si>
  <si>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</si>
  <si>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</si>
  <si>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</si>
  <si>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</si>
  <si>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</si>
  <si>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</si>
  <si>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</si>
  <si>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</si>
  <si>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</si>
  <si>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</si>
  <si>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</si>
  <si>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</si>
  <si>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</si>
  <si>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</si>
  <si>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</si>
  <si>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</si>
  <si>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</si>
  <si>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</si>
  <si>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</si>
  <si>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</si>
  <si>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</si>
  <si>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</si>
  <si>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</si>
  <si>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</si>
  <si>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</si>
  <si>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</si>
  <si>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</si>
  <si>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</si>
  <si>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</si>
  <si>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</si>
  <si>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</si>
  <si>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</si>
  <si>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</si>
  <si>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</si>
  <si>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</si>
  <si>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</si>
  <si>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</si>
  <si>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</si>
  <si>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</si>
  <si>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</si>
  <si>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</si>
  <si>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</si>
  <si>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</si>
  <si>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</si>
  <si>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</si>
  <si>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</si>
  <si>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</si>
  <si>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</si>
  <si>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</si>
  <si>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</si>
  <si>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</si>
  <si>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</si>
  <si>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</si>
  <si>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</si>
  <si>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</si>
  <si>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</si>
  <si>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</si>
  <si>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</si>
  <si>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</si>
  <si>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</si>
  <si>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</si>
  <si>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</si>
  <si>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</si>
  <si>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</si>
  <si>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</si>
  <si>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</si>
  <si>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</si>
  <si>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</si>
  <si>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</si>
  <si>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</si>
  <si>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</si>
  <si>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</si>
  <si>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</si>
  <si>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</si>
  <si>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</si>
  <si>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</si>
  <si>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</si>
  <si>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</si>
  <si>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</si>
  <si>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</si>
  <si>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</si>
  <si>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</si>
  <si>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</si>
  <si>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</si>
  <si>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</si>
  <si>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</si>
  <si>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</si>
  <si>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</si>
  <si>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</si>
  <si>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</si>
  <si>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</si>
  <si>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</si>
  <si>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</si>
  <si>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</si>
  <si>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</si>
  <si>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</si>
  <si>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</si>
  <si>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</si>
  <si>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</si>
  <si>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32006</t>
  </si>
  <si>
    <t>HOUTHULST</t>
  </si>
  <si>
    <t>Cultuurgrond (ha)</t>
  </si>
  <si>
    <t>Paarden&amp;pony's 200 - 600 kg</t>
  </si>
  <si>
    <t>Paarden&amp;pony's &lt; 200 kg</t>
  </si>
  <si>
    <t>Fluvius</t>
  </si>
  <si>
    <t>referentietaak LNE (2017); Jaarverslag De Lijn</t>
  </si>
  <si>
    <t>SAP-Eneco Energie NV</t>
  </si>
  <si>
    <t>Zandvoortstraat C47 11, 2800 Mechelen</t>
  </si>
  <si>
    <t>WKK-0390 SAP Eneco Energie</t>
  </si>
  <si>
    <t>interne verbrandingsmotor</t>
  </si>
  <si>
    <t>WKK interne verbrandinsgmotor (gas)</t>
  </si>
  <si>
    <t>Heulegoedstraat 9 , 8650 Houthulst</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</si>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</sst>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99450.215764369728</c:v>
                </c:pt>
                <c:pt idx="1">
                  <c:v>27166.3022957781</c:v>
                </c:pt>
                <c:pt idx="2">
                  <c:v>894.12900000000002</c:v>
                </c:pt>
                <c:pt idx="3">
                  <c:v>39565.519844756891</c:v>
                </c:pt>
                <c:pt idx="4">
                  <c:v>9929.9917296479307</c:v>
                </c:pt>
                <c:pt idx="5">
                  <c:v>50030.535584092686</c:v>
                </c:pt>
                <c:pt idx="6">
                  <c:v>650.316058540109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99450.215764369728</c:v>
                </c:pt>
                <c:pt idx="1">
                  <c:v>27166.3022957781</c:v>
                </c:pt>
                <c:pt idx="2">
                  <c:v>894.12900000000002</c:v>
                </c:pt>
                <c:pt idx="3">
                  <c:v>39565.519844756891</c:v>
                </c:pt>
                <c:pt idx="4">
                  <c:v>9929.9917296479307</c:v>
                </c:pt>
                <c:pt idx="5">
                  <c:v>50030.535584092686</c:v>
                </c:pt>
                <c:pt idx="6">
                  <c:v>650.316058540109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19202.646325170492</c:v>
                </c:pt>
                <c:pt idx="2">
                  <c:v>5333.8138443245061</c:v>
                </c:pt>
                <c:pt idx="3">
                  <c:v>176.32354687547337</c:v>
                </c:pt>
                <c:pt idx="4">
                  <c:v>9764.891293060693</c:v>
                </c:pt>
                <c:pt idx="5">
                  <c:v>2117.1827644252198</c:v>
                </c:pt>
                <c:pt idx="6">
                  <c:v>12632.359627768692</c:v>
                </c:pt>
                <c:pt idx="7">
                  <c:v>166.23512470458849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19202.646325170492</c:v>
                </c:pt>
                <c:pt idx="2">
                  <c:v>5333.8138443245061</c:v>
                </c:pt>
                <c:pt idx="3">
                  <c:v>176.32354687547337</c:v>
                </c:pt>
                <c:pt idx="4">
                  <c:v>9764.891293060693</c:v>
                </c:pt>
                <c:pt idx="5">
                  <c:v>2117.1827644252198</c:v>
                </c:pt>
                <c:pt idx="6">
                  <c:v>12632.359627768692</c:v>
                </c:pt>
                <c:pt idx="7">
                  <c:v>166.23512470458849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32006</v>
      </c>
      <c r="B6" s="395"/>
      <c r="C6" s="396"/>
    </row>
    <row r="7" spans="1:7" s="393" customFormat="1" ht="15.75" customHeight="1">
      <c r="A7" s="397" t="str">
        <f>txtMunicipality</f>
        <v>HOUTHULST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0.19720146296057209</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0.19720146296057209</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3939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4093</v>
      </c>
      <c r="C14" s="332"/>
      <c r="D14" s="332"/>
      <c r="E14" s="332"/>
      <c r="F14" s="332"/>
    </row>
    <row r="15" spans="1:6">
      <c r="A15" s="1306" t="s">
        <v>183</v>
      </c>
      <c r="B15" s="1307">
        <v>53</v>
      </c>
      <c r="C15" s="332"/>
      <c r="D15" s="332"/>
      <c r="E15" s="332"/>
      <c r="F15" s="332"/>
    </row>
    <row r="16" spans="1:6">
      <c r="A16" s="1306" t="s">
        <v>6</v>
      </c>
      <c r="B16" s="1307">
        <v>1463</v>
      </c>
      <c r="C16" s="332"/>
      <c r="D16" s="332"/>
      <c r="E16" s="332"/>
      <c r="F16" s="332"/>
    </row>
    <row r="17" spans="1:6">
      <c r="A17" s="1306" t="s">
        <v>7</v>
      </c>
      <c r="B17" s="1307">
        <v>1330</v>
      </c>
      <c r="C17" s="332"/>
      <c r="D17" s="332"/>
      <c r="E17" s="332"/>
      <c r="F17" s="332"/>
    </row>
    <row r="18" spans="1:6">
      <c r="A18" s="1306" t="s">
        <v>8</v>
      </c>
      <c r="B18" s="1307">
        <v>1769</v>
      </c>
      <c r="C18" s="332"/>
      <c r="D18" s="332"/>
      <c r="E18" s="332"/>
      <c r="F18" s="332"/>
    </row>
    <row r="19" spans="1:6">
      <c r="A19" s="1306" t="s">
        <v>9</v>
      </c>
      <c r="B19" s="1307">
        <v>1552</v>
      </c>
      <c r="C19" s="332"/>
      <c r="D19" s="332"/>
      <c r="E19" s="332"/>
      <c r="F19" s="332"/>
    </row>
    <row r="20" spans="1:6">
      <c r="A20" s="1306" t="s">
        <v>10</v>
      </c>
      <c r="B20" s="1307">
        <v>1299</v>
      </c>
      <c r="C20" s="332"/>
      <c r="D20" s="332"/>
      <c r="E20" s="332"/>
      <c r="F20" s="332"/>
    </row>
    <row r="21" spans="1:6">
      <c r="A21" s="1306" t="s">
        <v>11</v>
      </c>
      <c r="B21" s="1307">
        <v>24982</v>
      </c>
      <c r="C21" s="332"/>
      <c r="D21" s="332"/>
      <c r="E21" s="332"/>
      <c r="F21" s="332"/>
    </row>
    <row r="22" spans="1:6">
      <c r="A22" s="1306" t="s">
        <v>12</v>
      </c>
      <c r="B22" s="1307">
        <v>42312</v>
      </c>
      <c r="C22" s="332"/>
      <c r="D22" s="332"/>
      <c r="E22" s="332"/>
      <c r="F22" s="332"/>
    </row>
    <row r="23" spans="1:6">
      <c r="A23" s="1306" t="s">
        <v>13</v>
      </c>
      <c r="B23" s="1307">
        <v>1341</v>
      </c>
      <c r="C23" s="332"/>
      <c r="D23" s="332"/>
      <c r="E23" s="332"/>
      <c r="F23" s="332"/>
    </row>
    <row r="24" spans="1:6">
      <c r="A24" s="1306" t="s">
        <v>14</v>
      </c>
      <c r="B24" s="1307">
        <v>51</v>
      </c>
      <c r="C24" s="332"/>
      <c r="D24" s="332"/>
      <c r="E24" s="332"/>
      <c r="F24" s="332"/>
    </row>
    <row r="25" spans="1:6">
      <c r="A25" s="1306" t="s">
        <v>15</v>
      </c>
      <c r="B25" s="1307">
        <v>6719</v>
      </c>
      <c r="C25" s="332"/>
      <c r="D25" s="332"/>
      <c r="E25" s="332"/>
      <c r="F25" s="332"/>
    </row>
    <row r="26" spans="1:6">
      <c r="A26" s="1306" t="s">
        <v>16</v>
      </c>
      <c r="B26" s="1307">
        <v>363</v>
      </c>
      <c r="C26" s="332"/>
      <c r="D26" s="332"/>
      <c r="E26" s="332"/>
      <c r="F26" s="332"/>
    </row>
    <row r="27" spans="1:6">
      <c r="A27" s="1306" t="s">
        <v>17</v>
      </c>
      <c r="B27" s="1307">
        <v>6</v>
      </c>
      <c r="C27" s="332"/>
      <c r="D27" s="332"/>
      <c r="E27" s="332"/>
      <c r="F27" s="332"/>
    </row>
    <row r="28" spans="1:6" s="43" customFormat="1">
      <c r="A28" s="1308" t="s">
        <v>18</v>
      </c>
      <c r="B28" s="1309">
        <v>106567</v>
      </c>
      <c r="C28" s="338"/>
      <c r="D28" s="338"/>
      <c r="E28" s="338"/>
      <c r="F28" s="338"/>
    </row>
    <row r="29" spans="1:6">
      <c r="A29" s="1308" t="s">
        <v>916</v>
      </c>
      <c r="B29" s="1309">
        <v>39</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162637.40471242799</v>
      </c>
      <c r="E38" s="1307">
        <v>1</v>
      </c>
      <c r="F38" s="1307">
        <v>7943.1967216865996</v>
      </c>
    </row>
    <row r="39" spans="1:6">
      <c r="A39" s="1306" t="s">
        <v>29</v>
      </c>
      <c r="B39" s="1306" t="s">
        <v>30</v>
      </c>
      <c r="C39" s="1307">
        <v>1443</v>
      </c>
      <c r="D39" s="1307">
        <v>23698017.313084099</v>
      </c>
      <c r="E39" s="1307">
        <v>3698</v>
      </c>
      <c r="F39" s="1307">
        <v>15266854.528191799</v>
      </c>
    </row>
    <row r="40" spans="1:6">
      <c r="A40" s="1306" t="s">
        <v>29</v>
      </c>
      <c r="B40" s="1306" t="s">
        <v>28</v>
      </c>
      <c r="C40" s="1307">
        <v>0</v>
      </c>
      <c r="D40" s="1307">
        <v>0</v>
      </c>
      <c r="E40" s="1307">
        <v>1</v>
      </c>
      <c r="F40" s="1307">
        <v>2819</v>
      </c>
    </row>
    <row r="41" spans="1:6">
      <c r="A41" s="1306" t="s">
        <v>31</v>
      </c>
      <c r="B41" s="1306" t="s">
        <v>32</v>
      </c>
      <c r="C41" s="1307">
        <v>32</v>
      </c>
      <c r="D41" s="1307">
        <v>588816.87328189099</v>
      </c>
      <c r="E41" s="1307">
        <v>89</v>
      </c>
      <c r="F41" s="1307">
        <v>3532353.29809578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50130.139185458902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12</v>
      </c>
      <c r="D48" s="1307">
        <v>354013.82350784598</v>
      </c>
      <c r="E48" s="1307">
        <v>28</v>
      </c>
      <c r="F48" s="1307">
        <v>664110.88905133703</v>
      </c>
    </row>
    <row r="49" spans="1:6">
      <c r="A49" s="1306" t="s">
        <v>31</v>
      </c>
      <c r="B49" s="1306" t="s">
        <v>39</v>
      </c>
      <c r="C49" s="1307">
        <v>0</v>
      </c>
      <c r="D49" s="1307">
        <v>0</v>
      </c>
      <c r="E49" s="1307">
        <v>0</v>
      </c>
      <c r="F49" s="1307">
        <v>0</v>
      </c>
    </row>
    <row r="50" spans="1:6">
      <c r="A50" s="1306" t="s">
        <v>31</v>
      </c>
      <c r="B50" s="1306" t="s">
        <v>40</v>
      </c>
      <c r="C50" s="1307">
        <v>3</v>
      </c>
      <c r="D50" s="1307">
        <v>225706.66541684899</v>
      </c>
      <c r="E50" s="1307">
        <v>8</v>
      </c>
      <c r="F50" s="1307">
        <v>272236.44980850298</v>
      </c>
    </row>
    <row r="51" spans="1:6">
      <c r="A51" s="1306" t="s">
        <v>41</v>
      </c>
      <c r="B51" s="1306" t="s">
        <v>42</v>
      </c>
      <c r="C51" s="1307">
        <v>5</v>
      </c>
      <c r="D51" s="1307">
        <v>87182.015279699597</v>
      </c>
      <c r="E51" s="1307">
        <v>191</v>
      </c>
      <c r="F51" s="1307">
        <v>4549539.7363978904</v>
      </c>
    </row>
    <row r="52" spans="1:6">
      <c r="A52" s="1306" t="s">
        <v>41</v>
      </c>
      <c r="B52" s="1306" t="s">
        <v>28</v>
      </c>
      <c r="C52" s="1307">
        <v>4</v>
      </c>
      <c r="D52" s="1307">
        <v>959049.80665655795</v>
      </c>
      <c r="E52" s="1307">
        <v>4</v>
      </c>
      <c r="F52" s="1307">
        <v>83356.164023934107</v>
      </c>
    </row>
    <row r="53" spans="1:6">
      <c r="A53" s="1306" t="s">
        <v>43</v>
      </c>
      <c r="B53" s="1306" t="s">
        <v>44</v>
      </c>
      <c r="C53" s="1307">
        <v>33</v>
      </c>
      <c r="D53" s="1307">
        <v>579092.87869795202</v>
      </c>
      <c r="E53" s="1307">
        <v>110</v>
      </c>
      <c r="F53" s="1307">
        <v>500978.43589261698</v>
      </c>
    </row>
    <row r="54" spans="1:6">
      <c r="A54" s="1306" t="s">
        <v>45</v>
      </c>
      <c r="B54" s="1306" t="s">
        <v>46</v>
      </c>
      <c r="C54" s="1307">
        <v>0</v>
      </c>
      <c r="D54" s="1307">
        <v>0</v>
      </c>
      <c r="E54" s="1307">
        <v>1</v>
      </c>
      <c r="F54" s="1307">
        <v>894129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v>
      </c>
      <c r="D57" s="1307">
        <v>625536.36007647403</v>
      </c>
      <c r="E57" s="1307">
        <v>80</v>
      </c>
      <c r="F57" s="1307">
        <v>979689.53055924806</v>
      </c>
    </row>
    <row r="58" spans="1:6">
      <c r="A58" s="1306" t="s">
        <v>48</v>
      </c>
      <c r="B58" s="1306" t="s">
        <v>50</v>
      </c>
      <c r="C58" s="1307">
        <v>11</v>
      </c>
      <c r="D58" s="1307">
        <v>5518759.2039127601</v>
      </c>
      <c r="E58" s="1307">
        <v>16</v>
      </c>
      <c r="F58" s="1307">
        <v>1832655.91932683</v>
      </c>
    </row>
    <row r="59" spans="1:6">
      <c r="A59" s="1306" t="s">
        <v>48</v>
      </c>
      <c r="B59" s="1306" t="s">
        <v>51</v>
      </c>
      <c r="C59" s="1307">
        <v>12</v>
      </c>
      <c r="D59" s="1307">
        <v>309998.78519854101</v>
      </c>
      <c r="E59" s="1307">
        <v>68</v>
      </c>
      <c r="F59" s="1307">
        <v>1936929.1805924301</v>
      </c>
    </row>
    <row r="60" spans="1:6">
      <c r="A60" s="1306" t="s">
        <v>48</v>
      </c>
      <c r="B60" s="1306" t="s">
        <v>52</v>
      </c>
      <c r="C60" s="1307">
        <v>15</v>
      </c>
      <c r="D60" s="1307">
        <v>495999.84472194198</v>
      </c>
      <c r="E60" s="1307">
        <v>35</v>
      </c>
      <c r="F60" s="1307">
        <v>601217.344915136</v>
      </c>
    </row>
    <row r="61" spans="1:6">
      <c r="A61" s="1306" t="s">
        <v>48</v>
      </c>
      <c r="B61" s="1306" t="s">
        <v>53</v>
      </c>
      <c r="C61" s="1307">
        <v>26</v>
      </c>
      <c r="D61" s="1307">
        <v>1455049.37151297</v>
      </c>
      <c r="E61" s="1307">
        <v>70</v>
      </c>
      <c r="F61" s="1307">
        <v>747784.903548809</v>
      </c>
    </row>
    <row r="62" spans="1:6">
      <c r="A62" s="1306" t="s">
        <v>48</v>
      </c>
      <c r="B62" s="1306" t="s">
        <v>54</v>
      </c>
      <c r="C62" s="1307">
        <v>3</v>
      </c>
      <c r="D62" s="1307">
        <v>321831.88201851002</v>
      </c>
      <c r="E62" s="1307">
        <v>0</v>
      </c>
      <c r="F62" s="1307">
        <v>0</v>
      </c>
    </row>
    <row r="63" spans="1:6">
      <c r="A63" s="1306" t="s">
        <v>48</v>
      </c>
      <c r="B63" s="1306" t="s">
        <v>28</v>
      </c>
      <c r="C63" s="1307">
        <v>62</v>
      </c>
      <c r="D63" s="1307">
        <v>1464354.13387792</v>
      </c>
      <c r="E63" s="1307">
        <v>90</v>
      </c>
      <c r="F63" s="1307">
        <v>7648329.6996015096</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76422.085837441598</v>
      </c>
      <c r="E68" s="1310">
        <v>8</v>
      </c>
      <c r="F68" s="1310">
        <v>98556.921264817094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29606866</v>
      </c>
      <c r="E73" s="456"/>
      <c r="F73" s="332"/>
    </row>
    <row r="74" spans="1:6">
      <c r="A74" s="1306" t="s">
        <v>63</v>
      </c>
      <c r="B74" s="1306" t="s">
        <v>724</v>
      </c>
      <c r="C74" s="1320" t="s">
        <v>725</v>
      </c>
      <c r="D74" s="1321">
        <v>2289006.9775171094</v>
      </c>
      <c r="E74" s="456"/>
      <c r="F74" s="332"/>
    </row>
    <row r="75" spans="1:6">
      <c r="A75" s="1306" t="s">
        <v>64</v>
      </c>
      <c r="B75" s="1306" t="s">
        <v>722</v>
      </c>
      <c r="C75" s="1320" t="s">
        <v>726</v>
      </c>
      <c r="D75" s="1321">
        <v>23226347</v>
      </c>
      <c r="E75" s="456"/>
      <c r="F75" s="332"/>
    </row>
    <row r="76" spans="1:6">
      <c r="A76" s="1306" t="s">
        <v>64</v>
      </c>
      <c r="B76" s="1306" t="s">
        <v>724</v>
      </c>
      <c r="C76" s="1320" t="s">
        <v>727</v>
      </c>
      <c r="D76" s="1321">
        <v>1107648.9775171094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172078.04496578121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2383.5428224609882</v>
      </c>
      <c r="C91" s="332"/>
      <c r="D91" s="332"/>
      <c r="E91" s="332"/>
      <c r="F91" s="332"/>
    </row>
    <row r="92" spans="1:6">
      <c r="A92" s="1301" t="s">
        <v>68</v>
      </c>
      <c r="B92" s="1302">
        <v>3093.0347573947656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340</v>
      </c>
      <c r="C97" s="332"/>
      <c r="D97" s="332"/>
      <c r="E97" s="332"/>
      <c r="F97" s="332"/>
    </row>
    <row r="98" spans="1:6">
      <c r="A98" s="1306" t="s">
        <v>71</v>
      </c>
      <c r="B98" s="1307">
        <v>1</v>
      </c>
      <c r="C98" s="332"/>
      <c r="D98" s="332"/>
      <c r="E98" s="332"/>
      <c r="F98" s="332"/>
    </row>
    <row r="99" spans="1:6">
      <c r="A99" s="1306" t="s">
        <v>72</v>
      </c>
      <c r="B99" s="1307">
        <v>307</v>
      </c>
      <c r="C99" s="332"/>
      <c r="D99" s="332"/>
      <c r="E99" s="332"/>
      <c r="F99" s="332"/>
    </row>
    <row r="100" spans="1:6">
      <c r="A100" s="1306" t="s">
        <v>73</v>
      </c>
      <c r="B100" s="1307">
        <v>296</v>
      </c>
      <c r="C100" s="332"/>
      <c r="D100" s="332"/>
      <c r="E100" s="332"/>
      <c r="F100" s="332"/>
    </row>
    <row r="101" spans="1:6">
      <c r="A101" s="1306" t="s">
        <v>74</v>
      </c>
      <c r="B101" s="1307">
        <v>121</v>
      </c>
      <c r="C101" s="332"/>
      <c r="D101" s="332"/>
      <c r="E101" s="332"/>
      <c r="F101" s="332"/>
    </row>
    <row r="102" spans="1:6">
      <c r="A102" s="1306" t="s">
        <v>75</v>
      </c>
      <c r="B102" s="1307">
        <v>54</v>
      </c>
      <c r="C102" s="332"/>
      <c r="D102" s="332"/>
      <c r="E102" s="332"/>
      <c r="F102" s="332"/>
    </row>
    <row r="103" spans="1:6">
      <c r="A103" s="1306" t="s">
        <v>76</v>
      </c>
      <c r="B103" s="1307">
        <v>320</v>
      </c>
      <c r="C103" s="332"/>
      <c r="D103" s="332"/>
      <c r="E103" s="332"/>
      <c r="F103" s="332"/>
    </row>
    <row r="104" spans="1:6">
      <c r="A104" s="1306" t="s">
        <v>77</v>
      </c>
      <c r="B104" s="1307">
        <v>1912</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104</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41948.937843385735</v>
      </c>
      <c r="C3" s="43" t="s">
        <v>169</v>
      </c>
      <c r="D3" s="43"/>
      <c r="E3" s="156"/>
      <c r="F3" s="43"/>
      <c r="G3" s="43"/>
      <c r="H3" s="43"/>
      <c r="I3" s="43"/>
      <c r="J3" s="43"/>
      <c r="K3" s="96"/>
    </row>
    <row r="4" spans="1:11">
      <c r="A4" s="363" t="s">
        <v>170</v>
      </c>
      <c r="B4" s="49">
        <f>IF(ISERROR('SEAP template'!B78+'SEAP template'!C78),0,'SEAP template'!B78+'SEAP template'!C78)</f>
        <v>18211.577579855752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3026.4352941176476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0.19720146296057209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4323.4789915966394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18192.857142857145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894.12900000000002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894.12900000000002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0.19720146296057209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176.32354687547337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15269.673528191799</v>
      </c>
      <c r="C5" s="17">
        <f>IF(ISERROR('Eigen informatie GS &amp; warmtenet'!B57),0,'Eigen informatie GS &amp; warmtenet'!B57)</f>
        <v>0</v>
      </c>
      <c r="D5" s="30">
        <f>(SUM(HH_hh_gas_kWh,HH_rest_gas_kWh)/1000)*0.902</f>
        <v>21375.611616401857</v>
      </c>
      <c r="E5" s="17">
        <f>B46*B57</f>
        <v>13204.689236731911</v>
      </c>
      <c r="F5" s="17">
        <f>B51*B62</f>
        <v>21635.289585374652</v>
      </c>
      <c r="G5" s="18"/>
      <c r="H5" s="17"/>
      <c r="I5" s="17"/>
      <c r="J5" s="17">
        <f>B50*B61+C50*C61</f>
        <v>7427.8133116268855</v>
      </c>
      <c r="K5" s="17"/>
      <c r="L5" s="17"/>
      <c r="M5" s="17"/>
      <c r="N5" s="17">
        <f>B48*B59+C48*C59</f>
        <v>17814.718996914955</v>
      </c>
      <c r="O5" s="17">
        <f>B69*B70*B71</f>
        <v>167.27666666666667</v>
      </c>
      <c r="P5" s="17">
        <f>B77*B78*B79/1000-B77*B78*B79/1000/B80</f>
        <v>171.6</v>
      </c>
    </row>
    <row r="6" spans="1:16">
      <c r="A6" s="16" t="s">
        <v>633</v>
      </c>
      <c r="B6" s="779">
        <f>kWh_PV_kleiner_dan_10kW</f>
        <v>2383.5428224609882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17653.216350652787</v>
      </c>
      <c r="C8" s="21">
        <f>C5</f>
        <v>0</v>
      </c>
      <c r="D8" s="21">
        <f>D5</f>
        <v>21375.611616401857</v>
      </c>
      <c r="E8" s="21">
        <f>E5</f>
        <v>13204.689236731911</v>
      </c>
      <c r="F8" s="21">
        <f>F5</f>
        <v>21635.289585374652</v>
      </c>
      <c r="G8" s="21"/>
      <c r="H8" s="21"/>
      <c r="I8" s="21"/>
      <c r="J8" s="21">
        <f>J5</f>
        <v>7427.8133116268855</v>
      </c>
      <c r="K8" s="21"/>
      <c r="L8" s="21">
        <f>L5</f>
        <v>0</v>
      </c>
      <c r="M8" s="21">
        <f>M5</f>
        <v>0</v>
      </c>
      <c r="N8" s="21">
        <f>N5</f>
        <v>17814.718996914955</v>
      </c>
      <c r="O8" s="21">
        <f>O5</f>
        <v>167.27666666666667</v>
      </c>
      <c r="P8" s="21">
        <f>P5</f>
        <v>171.6</v>
      </c>
    </row>
    <row r="9" spans="1:16">
      <c r="B9" s="19"/>
      <c r="C9" s="19"/>
      <c r="D9" s="261"/>
      <c r="E9" s="19"/>
      <c r="F9" s="19"/>
      <c r="G9" s="19"/>
      <c r="H9" s="19"/>
      <c r="I9" s="19"/>
      <c r="J9" s="19"/>
      <c r="K9" s="19"/>
      <c r="L9" s="19"/>
      <c r="M9" s="19"/>
      <c r="N9" s="19"/>
      <c r="O9" s="19"/>
      <c r="P9" s="19"/>
    </row>
    <row r="10" spans="1:16">
      <c r="A10" s="24" t="s">
        <v>213</v>
      </c>
      <c r="B10" s="25">
        <f ca="1">'EF ele_warmte'!B12</f>
        <v>0.19720146296057209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3481.2400903082212</v>
      </c>
      <c r="C12" s="23">
        <f ca="1">C10*C8</f>
        <v>0</v>
      </c>
      <c r="D12" s="23">
        <f>D8*D10</f>
        <v>4317.8735465131749</v>
      </c>
      <c r="E12" s="23">
        <f>E10*E8</f>
        <v>2997.4644567381438</v>
      </c>
      <c r="F12" s="23">
        <f>F10*F8</f>
        <v>5776.6223192950329</v>
      </c>
      <c r="G12" s="23"/>
      <c r="H12" s="23"/>
      <c r="I12" s="23"/>
      <c r="J12" s="23">
        <f>J10*J8</f>
        <v>2629.4459123159172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340</v>
      </c>
      <c r="C18" s="168" t="s">
        <v>110</v>
      </c>
      <c r="D18" s="230"/>
      <c r="E18" s="15"/>
    </row>
    <row r="19" spans="1:7">
      <c r="A19" s="173" t="s">
        <v>71</v>
      </c>
      <c r="B19" s="37">
        <f>aantalw2001_ander</f>
        <v>1</v>
      </c>
      <c r="C19" s="168" t="s">
        <v>110</v>
      </c>
      <c r="D19" s="231"/>
      <c r="E19" s="15"/>
    </row>
    <row r="20" spans="1:7">
      <c r="A20" s="173" t="s">
        <v>72</v>
      </c>
      <c r="B20" s="37">
        <f>aantalw2001_propaan</f>
        <v>307</v>
      </c>
      <c r="C20" s="169">
        <f>IF(ISERROR(B20/SUM($B$20,$B$21,$B$22)*100),0,B20/SUM($B$20,$B$21,$B$22)*100)</f>
        <v>42.403314917127069</v>
      </c>
      <c r="D20" s="231"/>
      <c r="E20" s="15"/>
    </row>
    <row r="21" spans="1:7">
      <c r="A21" s="173" t="s">
        <v>73</v>
      </c>
      <c r="B21" s="37">
        <f>aantalw2001_elektriciteit</f>
        <v>296</v>
      </c>
      <c r="C21" s="169">
        <f>IF(ISERROR(B21/SUM($B$20,$B$21,$B$22)*100),0,B21/SUM($B$20,$B$21,$B$22)*100)</f>
        <v>40.883977900552487</v>
      </c>
      <c r="D21" s="231"/>
      <c r="E21" s="15"/>
    </row>
    <row r="22" spans="1:7">
      <c r="A22" s="173" t="s">
        <v>74</v>
      </c>
      <c r="B22" s="37">
        <f>aantalw2001_hout</f>
        <v>121</v>
      </c>
      <c r="C22" s="169">
        <f>IF(ISERROR(B22/SUM($B$20,$B$21,$B$22)*100),0,B22/SUM($B$20,$B$21,$B$22)*100)</f>
        <v>16.71270718232044</v>
      </c>
      <c r="D22" s="231"/>
      <c r="E22" s="15"/>
    </row>
    <row r="23" spans="1:7">
      <c r="A23" s="173" t="s">
        <v>75</v>
      </c>
      <c r="B23" s="37">
        <f>aantalw2001_niet_gespec</f>
        <v>54</v>
      </c>
      <c r="C23" s="168" t="s">
        <v>110</v>
      </c>
      <c r="D23" s="230"/>
      <c r="E23" s="15"/>
    </row>
    <row r="24" spans="1:7">
      <c r="A24" s="173" t="s">
        <v>76</v>
      </c>
      <c r="B24" s="37">
        <f>aantalw2001_steenkool</f>
        <v>320</v>
      </c>
      <c r="C24" s="168" t="s">
        <v>110</v>
      </c>
      <c r="D24" s="231"/>
      <c r="E24" s="15"/>
    </row>
    <row r="25" spans="1:7">
      <c r="A25" s="173" t="s">
        <v>77</v>
      </c>
      <c r="B25" s="37">
        <f>aantalw2001_stookolie</f>
        <v>1912</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3939</v>
      </c>
      <c r="C28" s="36"/>
      <c r="D28" s="230"/>
    </row>
    <row r="29" spans="1:7" s="15" customFormat="1">
      <c r="A29" s="232" t="s">
        <v>743</v>
      </c>
      <c r="B29" s="37">
        <f>SUM(HH_hh_gas_aantal,HH_rest_gas_aantal)</f>
        <v>1443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1443</v>
      </c>
      <c r="C32" s="169">
        <f>IF(ISERROR(B32/SUM($B$32,$B$34,$B$35,$B$36,$B$38,$B$39)*100),0,B32/SUM($B$32,$B$34,$B$35,$B$36,$B$38,$B$39)*100)</f>
        <v>36.717557251908396</v>
      </c>
      <c r="D32" s="235"/>
      <c r="G32" s="15"/>
    </row>
    <row r="33" spans="1:7">
      <c r="A33" s="173" t="s">
        <v>71</v>
      </c>
      <c r="B33" s="34" t="s">
        <v>110</v>
      </c>
      <c r="C33" s="169"/>
      <c r="D33" s="235"/>
      <c r="G33" s="15"/>
    </row>
    <row r="34" spans="1:7">
      <c r="A34" s="173" t="s">
        <v>72</v>
      </c>
      <c r="B34" s="33">
        <f>IF((($B$28-$B$32-$B$39-$B$77-$B$38)*C20/100)&lt;0,0,($B$28-$B$32-$B$39-$B$77-$B$38)*C20/100)</f>
        <v>575.83701657458562</v>
      </c>
      <c r="C34" s="169">
        <f>IF(ISERROR(B34/SUM($B$32,$B$34,$B$35,$B$36,$B$38,$B$39)*100),0,B34/SUM($B$32,$B$34,$B$35,$B$36,$B$38,$B$39)*100)</f>
        <v>14.652341388666301</v>
      </c>
      <c r="D34" s="235"/>
      <c r="G34" s="15"/>
    </row>
    <row r="35" spans="1:7">
      <c r="A35" s="173" t="s">
        <v>73</v>
      </c>
      <c r="B35" s="33">
        <f>IF((($B$28-$B$32-$B$39-$B$77-$B$38)*C21/100)&lt;0,0,($B$28-$B$32-$B$39-$B$77-$B$38)*C21/100)</f>
        <v>555.20441988950279</v>
      </c>
      <c r="C35" s="169">
        <f>IF(ISERROR(B35/SUM($B$32,$B$34,$B$35,$B$36,$B$38,$B$39)*100),0,B35/SUM($B$32,$B$34,$B$35,$B$36,$B$38,$B$39)*100)</f>
        <v>14.127338928486077</v>
      </c>
      <c r="D35" s="235"/>
      <c r="G35" s="15"/>
    </row>
    <row r="36" spans="1:7">
      <c r="A36" s="173" t="s">
        <v>74</v>
      </c>
      <c r="B36" s="33">
        <f>IF((($B$28-$B$32-$B$39-$B$77-$B$38)*C22/100)&lt;0,0,($B$28-$B$32-$B$39-$B$77-$B$38)*C22/100)</f>
        <v>226.95856353591157</v>
      </c>
      <c r="C36" s="169">
        <f>IF(ISERROR(B36/SUM($B$32,$B$34,$B$35,$B$36,$B$38,$B$39)*100),0,B36/SUM($B$32,$B$34,$B$35,$B$36,$B$38,$B$39)*100)</f>
        <v>5.7750270619824819</v>
      </c>
      <c r="D36" s="235"/>
      <c r="G36" s="15"/>
    </row>
    <row r="37" spans="1:7">
      <c r="A37" s="173" t="s">
        <v>75</v>
      </c>
      <c r="B37" s="34" t="s">
        <v>110</v>
      </c>
      <c r="C37" s="169"/>
      <c r="D37" s="175"/>
      <c r="G37" s="15"/>
    </row>
    <row r="38" spans="1:7">
      <c r="A38" s="173" t="s">
        <v>76</v>
      </c>
      <c r="B38" s="33">
        <f>IF((B24-(B29-B18)*0.1)&lt;0,0,B24-(B29-B18)*0.1)</f>
        <v>209.7</v>
      </c>
      <c r="C38" s="169">
        <f>IF(ISERROR(B38/SUM($B$32,$B$34,$B$35,$B$36,$B$38,$B$39)*100),0,B38/SUM($B$32,$B$34,$B$35,$B$36,$B$38,$B$39)*100)</f>
        <v>5.3358778625954191</v>
      </c>
      <c r="D38" s="236"/>
      <c r="G38" s="15"/>
    </row>
    <row r="39" spans="1:7">
      <c r="A39" s="173" t="s">
        <v>77</v>
      </c>
      <c r="B39" s="33">
        <f>IF((B25-(B29-B18))&lt;0,0,B25-(B29-B18)*0.9)</f>
        <v>919.3</v>
      </c>
      <c r="C39" s="169">
        <f>IF(ISERROR(B39/SUM($B$32,$B$34,$B$35,$B$36,$B$38,$B$39)*100),0,B39/SUM($B$32,$B$34,$B$35,$B$36,$B$38,$B$39)*100)</f>
        <v>23.391857506361323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1443</v>
      </c>
      <c r="C44" s="34" t="s">
        <v>110</v>
      </c>
      <c r="D44" s="176"/>
    </row>
    <row r="45" spans="1:7">
      <c r="A45" s="173" t="s">
        <v>71</v>
      </c>
      <c r="B45" s="33" t="str">
        <f t="shared" si="0"/>
        <v>-</v>
      </c>
      <c r="C45" s="34" t="s">
        <v>110</v>
      </c>
      <c r="D45" s="176"/>
    </row>
    <row r="46" spans="1:7">
      <c r="A46" s="173" t="s">
        <v>72</v>
      </c>
      <c r="B46" s="33">
        <f t="shared" si="0"/>
        <v>575.83701657458562</v>
      </c>
      <c r="C46" s="34" t="s">
        <v>110</v>
      </c>
      <c r="D46" s="176"/>
    </row>
    <row r="47" spans="1:7">
      <c r="A47" s="173" t="s">
        <v>73</v>
      </c>
      <c r="B47" s="33">
        <f t="shared" si="0"/>
        <v>555.20441988950279</v>
      </c>
      <c r="C47" s="34" t="s">
        <v>110</v>
      </c>
      <c r="D47" s="176"/>
    </row>
    <row r="48" spans="1:7">
      <c r="A48" s="173" t="s">
        <v>74</v>
      </c>
      <c r="B48" s="33">
        <f t="shared" si="0"/>
        <v>226.95856353591157</v>
      </c>
      <c r="C48" s="33">
        <f>B48*10</f>
        <v>2269.5856353591157</v>
      </c>
      <c r="D48" s="236"/>
    </row>
    <row r="49" spans="1:6">
      <c r="A49" s="173" t="s">
        <v>75</v>
      </c>
      <c r="B49" s="33" t="str">
        <f t="shared" si="0"/>
        <v>-</v>
      </c>
      <c r="C49" s="34" t="s">
        <v>110</v>
      </c>
      <c r="D49" s="236"/>
    </row>
    <row r="50" spans="1:6">
      <c r="A50" s="173" t="s">
        <v>76</v>
      </c>
      <c r="B50" s="33">
        <f t="shared" si="0"/>
        <v>209.7</v>
      </c>
      <c r="C50" s="33">
        <f>B50*2</f>
        <v>419.4</v>
      </c>
      <c r="D50" s="236"/>
    </row>
    <row r="51" spans="1:6">
      <c r="A51" s="173" t="s">
        <v>77</v>
      </c>
      <c r="B51" s="33">
        <f t="shared" si="0"/>
        <v>919.3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13746.606578543964</v>
      </c>
      <c r="C5" s="17">
        <f>IF(ISERROR('Eigen informatie GS &amp; warmtenet'!B58),0,'Eigen informatie GS &amp; warmtenet'!B58)</f>
        <v>0</v>
      </c>
      <c r="D5" s="30">
        <f>SUM(D6:D12)</f>
        <v>9192.7596823498443</v>
      </c>
      <c r="E5" s="17">
        <f>SUM(E6:E12)</f>
        <v>163.92338886674747</v>
      </c>
      <c r="F5" s="17">
        <f>SUM(F6:F12)</f>
        <v>2729.6436373962206</v>
      </c>
      <c r="G5" s="18"/>
      <c r="H5" s="17"/>
      <c r="I5" s="17"/>
      <c r="J5" s="17">
        <f>SUM(J6:J12)</f>
        <v>0</v>
      </c>
      <c r="K5" s="17"/>
      <c r="L5" s="17"/>
      <c r="M5" s="17"/>
      <c r="N5" s="17">
        <f>SUM(N6:N12)</f>
        <v>1314.3023419546557</v>
      </c>
      <c r="O5" s="17">
        <f>B38*B39*B40</f>
        <v>0</v>
      </c>
      <c r="P5" s="17">
        <f>B46*B47*B48/1000-B46*B47*B48/1000/B49</f>
        <v>19.066666666666666</v>
      </c>
      <c r="R5" s="32"/>
    </row>
    <row r="6" spans="1:18">
      <c r="A6" s="32" t="s">
        <v>53</v>
      </c>
      <c r="B6" s="37">
        <f>B26</f>
        <v>747.78490354880898</v>
      </c>
      <c r="C6" s="33"/>
      <c r="D6" s="37">
        <f>IF(ISERROR(TER_kantoor_gas_kWh/1000),0,TER_kantoor_gas_kWh/1000)*0.902</f>
        <v>1312.4545331046988</v>
      </c>
      <c r="E6" s="33">
        <f>$C$26*'E Balans VL '!I12/100/3.6*1000000</f>
        <v>2.9053026655754199</v>
      </c>
      <c r="F6" s="33">
        <f>$C$26*('E Balans VL '!L12+'E Balans VL '!N12)/100/3.6*1000000</f>
        <v>113.7312795296374</v>
      </c>
      <c r="G6" s="34"/>
      <c r="H6" s="33"/>
      <c r="I6" s="33"/>
      <c r="J6" s="33">
        <f>$C$26*('E Balans VL '!D12+'E Balans VL '!E12)/100/3.6*1000000</f>
        <v>0</v>
      </c>
      <c r="K6" s="33"/>
      <c r="L6" s="33"/>
      <c r="M6" s="33"/>
      <c r="N6" s="33">
        <f>$C$26*'E Balans VL '!Y12/100/3.6*1000000</f>
        <v>0.41211906428069756</v>
      </c>
      <c r="O6" s="33"/>
      <c r="P6" s="33"/>
      <c r="R6" s="32"/>
    </row>
    <row r="7" spans="1:18">
      <c r="A7" s="32" t="s">
        <v>52</v>
      </c>
      <c r="B7" s="37">
        <f t="shared" ref="B7:B12" si="0">B27</f>
        <v>601.21734491513598</v>
      </c>
      <c r="C7" s="33"/>
      <c r="D7" s="37">
        <f>IF(ISERROR(TER_horeca_gas_kWh/1000),0,TER_horeca_gas_kWh/1000)*0.902</f>
        <v>447.3918599391917</v>
      </c>
      <c r="E7" s="33">
        <f>$C$27*'E Balans VL '!I9/100/3.6*1000000</f>
        <v>33.866733777956014</v>
      </c>
      <c r="F7" s="33">
        <f>$C$27*('E Balans VL '!L9+'E Balans VL '!N9)/100/3.6*1000000</f>
        <v>173.35508812586957</v>
      </c>
      <c r="G7" s="34"/>
      <c r="H7" s="33"/>
      <c r="I7" s="33"/>
      <c r="J7" s="33">
        <f>$C$27*('E Balans VL '!D9+'E Balans VL '!E9)/100/3.6*1000000</f>
        <v>0</v>
      </c>
      <c r="K7" s="33"/>
      <c r="L7" s="33"/>
      <c r="M7" s="33"/>
      <c r="N7" s="33">
        <f>$C$27*'E Balans VL '!Y9/100/3.6*1000000</f>
        <v>0.16599298471179663</v>
      </c>
      <c r="O7" s="33"/>
      <c r="P7" s="33"/>
      <c r="R7" s="32"/>
    </row>
    <row r="8" spans="1:18">
      <c r="A8" s="6" t="s">
        <v>51</v>
      </c>
      <c r="B8" s="37">
        <f t="shared" si="0"/>
        <v>1936.9291805924302</v>
      </c>
      <c r="C8" s="33"/>
      <c r="D8" s="37">
        <f>IF(ISERROR(TER_handel_gas_kWh/1000),0,TER_handel_gas_kWh/1000)*0.902</f>
        <v>279.61890424908398</v>
      </c>
      <c r="E8" s="33">
        <f>$C$28*'E Balans VL '!I13/100/3.6*1000000</f>
        <v>27.917720839357479</v>
      </c>
      <c r="F8" s="33">
        <f>$C$28*('E Balans VL '!L13+'E Balans VL '!N13)/100/3.6*1000000</f>
        <v>336.48970670568252</v>
      </c>
      <c r="G8" s="34"/>
      <c r="H8" s="33"/>
      <c r="I8" s="33"/>
      <c r="J8" s="33">
        <f>$C$28*('E Balans VL '!D13+'E Balans VL '!E13)/100/3.6*1000000</f>
        <v>0</v>
      </c>
      <c r="K8" s="33"/>
      <c r="L8" s="33"/>
      <c r="M8" s="33"/>
      <c r="N8" s="33">
        <f>$C$28*'E Balans VL '!Y13/100/3.6*1000000</f>
        <v>5.8032554484531786</v>
      </c>
      <c r="O8" s="33"/>
      <c r="P8" s="33"/>
      <c r="R8" s="32"/>
    </row>
    <row r="9" spans="1:18">
      <c r="A9" s="32" t="s">
        <v>50</v>
      </c>
      <c r="B9" s="37">
        <f t="shared" si="0"/>
        <v>1832.6559193268299</v>
      </c>
      <c r="C9" s="33"/>
      <c r="D9" s="37">
        <f>IF(ISERROR(TER_gezond_gas_kWh/1000),0,TER_gezond_gas_kWh/1000)*0.902</f>
        <v>4977.9208019293101</v>
      </c>
      <c r="E9" s="33">
        <f>$C$29*'E Balans VL '!I10/100/3.6*1000000</f>
        <v>1.9577515288112652</v>
      </c>
      <c r="F9" s="33">
        <f>$C$29*('E Balans VL '!L10+'E Balans VL '!N10)/100/3.6*1000000</f>
        <v>298.96187694561894</v>
      </c>
      <c r="G9" s="34"/>
      <c r="H9" s="33"/>
      <c r="I9" s="33"/>
      <c r="J9" s="33">
        <f>$C$29*('E Balans VL '!D10+'E Balans VL '!E10)/100/3.6*1000000</f>
        <v>0</v>
      </c>
      <c r="K9" s="33"/>
      <c r="L9" s="33"/>
      <c r="M9" s="33"/>
      <c r="N9" s="33">
        <f>$C$29*'E Balans VL '!Y10/100/3.6*1000000</f>
        <v>18.866146996864035</v>
      </c>
      <c r="O9" s="33"/>
      <c r="P9" s="33"/>
      <c r="R9" s="32"/>
    </row>
    <row r="10" spans="1:18">
      <c r="A10" s="32" t="s">
        <v>49</v>
      </c>
      <c r="B10" s="37">
        <f t="shared" si="0"/>
        <v>979.68953055924806</v>
      </c>
      <c r="C10" s="33"/>
      <c r="D10" s="37">
        <f>IF(ISERROR(TER_ander_gas_kWh/1000),0,TER_ander_gas_kWh/1000)*0.902</f>
        <v>564.23379678897959</v>
      </c>
      <c r="E10" s="33">
        <f>$C$30*'E Balans VL '!I14/100/3.6*1000000</f>
        <v>4.5054431292019519</v>
      </c>
      <c r="F10" s="33">
        <f>$C$30*('E Balans VL '!L14+'E Balans VL '!N14)/100/3.6*1000000</f>
        <v>293.64385449383627</v>
      </c>
      <c r="G10" s="34"/>
      <c r="H10" s="33"/>
      <c r="I10" s="33"/>
      <c r="J10" s="33">
        <f>$C$30*('E Balans VL '!D14+'E Balans VL '!E14)/100/3.6*1000000</f>
        <v>0</v>
      </c>
      <c r="K10" s="33"/>
      <c r="L10" s="33"/>
      <c r="M10" s="33"/>
      <c r="N10" s="33">
        <f>$C$30*'E Balans VL '!Y14/100/3.6*1000000</f>
        <v>681.92858332822209</v>
      </c>
      <c r="O10" s="33"/>
      <c r="P10" s="33"/>
      <c r="R10" s="32"/>
    </row>
    <row r="11" spans="1:18">
      <c r="A11" s="32" t="s">
        <v>54</v>
      </c>
      <c r="B11" s="37">
        <f t="shared" si="0"/>
        <v>0</v>
      </c>
      <c r="C11" s="33"/>
      <c r="D11" s="37">
        <f>IF(ISERROR(TER_onderwijs_gas_kWh/1000),0,TER_onderwijs_gas_kWh/1000)*0.902</f>
        <v>290.29235758069609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7648.3296996015097</v>
      </c>
      <c r="C12" s="33"/>
      <c r="D12" s="37">
        <f>IF(ISERROR(TER_rest_gas_kWh/1000),0,TER_rest_gas_kWh/1000)*0.902</f>
        <v>1320.847428757884</v>
      </c>
      <c r="E12" s="33">
        <f>$C$32*'E Balans VL '!I8/100/3.6*1000000</f>
        <v>92.77043692584536</v>
      </c>
      <c r="F12" s="33">
        <f>$C$32*('E Balans VL '!L8+'E Balans VL '!N8)/100/3.6*1000000</f>
        <v>1513.4618315955756</v>
      </c>
      <c r="G12" s="34"/>
      <c r="H12" s="33"/>
      <c r="I12" s="33"/>
      <c r="J12" s="33">
        <f>$C$32*('E Balans VL '!D8+'E Balans VL '!E8)/100/3.6*1000000</f>
        <v>0</v>
      </c>
      <c r="K12" s="33"/>
      <c r="L12" s="33"/>
      <c r="M12" s="33"/>
      <c r="N12" s="33">
        <f>$C$32*'E Balans VL '!Y8/100/3.6*1000000</f>
        <v>607.12624413212393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13746.606578543964</v>
      </c>
      <c r="C16" s="21">
        <f t="shared" ca="1" si="1"/>
        <v>0</v>
      </c>
      <c r="D16" s="21">
        <f t="shared" ca="1" si="1"/>
        <v>9192.7596823498443</v>
      </c>
      <c r="E16" s="21">
        <f t="shared" si="1"/>
        <v>163.92338886674747</v>
      </c>
      <c r="F16" s="21">
        <f t="shared" ca="1" si="1"/>
        <v>2729.6436373962206</v>
      </c>
      <c r="G16" s="21">
        <f t="shared" si="1"/>
        <v>0</v>
      </c>
      <c r="H16" s="21">
        <f t="shared" si="1"/>
        <v>0</v>
      </c>
      <c r="I16" s="21">
        <f t="shared" si="1"/>
        <v>0</v>
      </c>
      <c r="J16" s="21">
        <f t="shared" si="1"/>
        <v>0</v>
      </c>
      <c r="K16" s="21">
        <f t="shared" si="1"/>
        <v>0</v>
      </c>
      <c r="L16" s="21">
        <f t="shared" ca="1" si="1"/>
        <v>0</v>
      </c>
      <c r="M16" s="21">
        <f t="shared" si="1"/>
        <v>0</v>
      </c>
      <c r="N16" s="21">
        <f t="shared" ca="1" si="1"/>
        <v>1314.3023419546557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0.19720146296057209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2710.8509280322942</v>
      </c>
      <c r="C20" s="23">
        <f t="shared" ref="C20:P20" ca="1" si="2">C16*C18</f>
        <v>0</v>
      </c>
      <c r="D20" s="23">
        <f t="shared" ca="1" si="2"/>
        <v>1856.9374558346688</v>
      </c>
      <c r="E20" s="23">
        <f t="shared" si="2"/>
        <v>37.210609272751675</v>
      </c>
      <c r="F20" s="23">
        <f t="shared" ca="1" si="2"/>
        <v>728.81485118479088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747.78490354880898</v>
      </c>
      <c r="C26" s="39">
        <f>IF(ISERROR(B26*3.6/1000000/'E Balans VL '!Z12*100),0,B26*3.6/1000000/'E Balans VL '!Z12*100)</f>
        <v>1.5883321755865994E-2</v>
      </c>
      <c r="D26" s="239" t="s">
        <v>689</v>
      </c>
      <c r="F26" s="6"/>
    </row>
    <row r="27" spans="1:18">
      <c r="A27" s="233" t="s">
        <v>52</v>
      </c>
      <c r="B27" s="33">
        <f>IF(ISERROR(TER_horeca_ele_kWh/1000),0,TER_horeca_ele_kWh/1000)</f>
        <v>601.21734491513598</v>
      </c>
      <c r="C27" s="39">
        <f>IF(ISERROR(B27*3.6/1000000/'E Balans VL '!Z9*100),0,B27*3.6/1000000/'E Balans VL '!Z9*100)</f>
        <v>4.6748310027855136E-2</v>
      </c>
      <c r="D27" s="239" t="s">
        <v>689</v>
      </c>
      <c r="F27" s="6"/>
    </row>
    <row r="28" spans="1:18">
      <c r="A28" s="173" t="s">
        <v>51</v>
      </c>
      <c r="B28" s="33">
        <f>IF(ISERROR(TER_handel_ele_kWh/1000),0,TER_handel_ele_kWh/1000)</f>
        <v>1936.9291805924302</v>
      </c>
      <c r="C28" s="39">
        <f>IF(ISERROR(B28*3.6/1000000/'E Balans VL '!Z13*100),0,B28*3.6/1000000/'E Balans VL '!Z13*100)</f>
        <v>5.5417823394361257E-2</v>
      </c>
      <c r="D28" s="239" t="s">
        <v>689</v>
      </c>
      <c r="F28" s="6"/>
    </row>
    <row r="29" spans="1:18">
      <c r="A29" s="233" t="s">
        <v>50</v>
      </c>
      <c r="B29" s="33">
        <f>IF(ISERROR(TER_gezond_ele_kWh/1000),0,TER_gezond_ele_kWh/1000)</f>
        <v>1832.6559193268299</v>
      </c>
      <c r="C29" s="39">
        <f>IF(ISERROR(B29*3.6/1000000/'E Balans VL '!Z10*100),0,B29*3.6/1000000/'E Balans VL '!Z10*100)</f>
        <v>0.1998020810227949</v>
      </c>
      <c r="D29" s="239" t="s">
        <v>689</v>
      </c>
      <c r="F29" s="6"/>
    </row>
    <row r="30" spans="1:18">
      <c r="A30" s="233" t="s">
        <v>49</v>
      </c>
      <c r="B30" s="33">
        <f>IF(ISERROR(TER_ander_ele_kWh/1000),0,TER_ander_ele_kWh/1000)</f>
        <v>979.68953055924806</v>
      </c>
      <c r="C30" s="39">
        <f>IF(ISERROR(B30*3.6/1000000/'E Balans VL '!Z14*100),0,B30*3.6/1000000/'E Balans VL '!Z14*100)</f>
        <v>7.1691457473308046E-2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7648.3296996015097</v>
      </c>
      <c r="C32" s="39">
        <f>IF(ISERROR(B32*3.6/1000000/'E Balans VL '!Z8*100),0,B32*3.6/1000000/'E Balans VL '!Z8*100)</f>
        <v>6.232924551629028E-2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4518.8307761410788</v>
      </c>
      <c r="C5" s="17">
        <f>IF(ISERROR('Eigen informatie GS &amp; warmtenet'!B59),0,'Eigen informatie GS &amp; warmtenet'!B59)</f>
        <v>0</v>
      </c>
      <c r="D5" s="30">
        <f>SUM(D6:D15)</f>
        <v>1054.0207007103406</v>
      </c>
      <c r="E5" s="17">
        <f>SUM(E6:E15)</f>
        <v>1016.81487165664</v>
      </c>
      <c r="F5" s="17">
        <f>SUM(F6:F15)</f>
        <v>2927.8266977027324</v>
      </c>
      <c r="G5" s="18"/>
      <c r="H5" s="17"/>
      <c r="I5" s="17"/>
      <c r="J5" s="17">
        <f>SUM(J6:J15)</f>
        <v>1.7057593298478999</v>
      </c>
      <c r="K5" s="17"/>
      <c r="L5" s="17"/>
      <c r="M5" s="17"/>
      <c r="N5" s="17">
        <f>SUM(N6:N15)</f>
        <v>410.79292410729028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50.130139185458901</v>
      </c>
      <c r="C8" s="33"/>
      <c r="D8" s="37">
        <f>IF( ISERROR(IND_metaal_Gas_kWH/1000),0,IND_metaal_Gas_kWH/1000)*0.902</f>
        <v>0</v>
      </c>
      <c r="E8" s="33">
        <f>C30*'E Balans VL '!I18/100/3.6*1000000</f>
        <v>1.4399257628650148</v>
      </c>
      <c r="F8" s="33">
        <f>C30*'E Balans VL '!L18/100/3.6*1000000+C30*'E Balans VL '!N18/100/3.6*1000000</f>
        <v>12.857416559935711</v>
      </c>
      <c r="G8" s="34"/>
      <c r="H8" s="33"/>
      <c r="I8" s="33"/>
      <c r="J8" s="40">
        <f>C30*'E Balans VL '!D18/100/3.6*1000000+C30*'E Balans VL '!E18/100/3.6*1000000</f>
        <v>0</v>
      </c>
      <c r="K8" s="33"/>
      <c r="L8" s="33"/>
      <c r="M8" s="33"/>
      <c r="N8" s="33">
        <f>C30*'E Balans VL '!Y18/100/3.6*1000000</f>
        <v>1.361135608997184</v>
      </c>
      <c r="O8" s="33"/>
      <c r="P8" s="33"/>
      <c r="R8" s="32"/>
    </row>
    <row r="9" spans="1:18">
      <c r="A9" s="6" t="s">
        <v>32</v>
      </c>
      <c r="B9" s="37">
        <f t="shared" si="0"/>
        <v>3532.3532980957798</v>
      </c>
      <c r="C9" s="33"/>
      <c r="D9" s="37">
        <f>IF( ISERROR(IND_andere_gas_kWh/1000),0,IND_andere_gas_kWh/1000)*0.902</f>
        <v>531.11281970026573</v>
      </c>
      <c r="E9" s="33">
        <f>C31*'E Balans VL '!I19/100/3.6*1000000</f>
        <v>956.12118768111861</v>
      </c>
      <c r="F9" s="33">
        <f>C31*'E Balans VL '!L19/100/3.6*1000000+C31*'E Balans VL '!N19/100/3.6*1000000</f>
        <v>2352.9210975941255</v>
      </c>
      <c r="G9" s="34"/>
      <c r="H9" s="33"/>
      <c r="I9" s="33"/>
      <c r="J9" s="40">
        <f>C31*'E Balans VL '!D19/100/3.6*1000000+C31*'E Balans VL '!E19/100/3.6*1000000</f>
        <v>0</v>
      </c>
      <c r="K9" s="33"/>
      <c r="L9" s="33"/>
      <c r="M9" s="33"/>
      <c r="N9" s="33">
        <f>C31*'E Balans VL '!Y19/100/3.6*1000000</f>
        <v>298.63707218543766</v>
      </c>
      <c r="O9" s="33"/>
      <c r="P9" s="33"/>
      <c r="R9" s="32"/>
    </row>
    <row r="10" spans="1:18">
      <c r="A10" s="6" t="s">
        <v>40</v>
      </c>
      <c r="B10" s="37">
        <f t="shared" si="0"/>
        <v>272.23644980850298</v>
      </c>
      <c r="C10" s="33"/>
      <c r="D10" s="37">
        <f>IF( ISERROR(IND_voed_gas_kWh/1000),0,IND_voed_gas_kWh/1000)*0.902</f>
        <v>203.58741220599779</v>
      </c>
      <c r="E10" s="33">
        <f>C32*'E Balans VL '!I20/100/3.6*1000000</f>
        <v>22.204230293349962</v>
      </c>
      <c r="F10" s="33">
        <f>C32*'E Balans VL '!L20/100/3.6*1000000+C32*'E Balans VL '!N20/100/3.6*1000000</f>
        <v>405.92924611940271</v>
      </c>
      <c r="G10" s="34"/>
      <c r="H10" s="33"/>
      <c r="I10" s="33"/>
      <c r="J10" s="40">
        <f>C32*'E Balans VL '!D20/100/3.6*1000000+C32*'E Balans VL '!E20/100/3.6*1000000</f>
        <v>3.6013577802465929E-3</v>
      </c>
      <c r="K10" s="33"/>
      <c r="L10" s="33"/>
      <c r="M10" s="33"/>
      <c r="N10" s="33">
        <f>C32*'E Balans VL '!Y20/100/3.6*1000000</f>
        <v>79.973462765239177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664.11088905133704</v>
      </c>
      <c r="C15" s="33"/>
      <c r="D15" s="37">
        <f>IF( ISERROR(IND_rest_gas_kWh/1000),0,IND_rest_gas_kWh/1000)*0.902</f>
        <v>319.32046880407711</v>
      </c>
      <c r="E15" s="33">
        <f>C37*'E Balans VL '!I15/100/3.6*1000000</f>
        <v>37.049527919306513</v>
      </c>
      <c r="F15" s="33">
        <f>C37*'E Balans VL '!L15/100/3.6*1000000+C37*'E Balans VL '!N15/100/3.6*1000000</f>
        <v>156.11893742926867</v>
      </c>
      <c r="G15" s="34"/>
      <c r="H15" s="33"/>
      <c r="I15" s="33"/>
      <c r="J15" s="40">
        <f>C37*'E Balans VL '!D15/100/3.6*1000000+C37*'E Balans VL '!E15/100/3.6*1000000</f>
        <v>1.7021579720676534</v>
      </c>
      <c r="K15" s="33"/>
      <c r="L15" s="33"/>
      <c r="M15" s="33"/>
      <c r="N15" s="33">
        <f>C37*'E Balans VL '!Y15/100/3.6*1000000</f>
        <v>30.821253547616262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4518.8307761410788</v>
      </c>
      <c r="C18" s="21">
        <f>C5+C16</f>
        <v>0</v>
      </c>
      <c r="D18" s="21">
        <f>MAX((D5+D16),0)</f>
        <v>1054.0207007103406</v>
      </c>
      <c r="E18" s="21">
        <f>MAX((E5+E16),0)</f>
        <v>1016.81487165664</v>
      </c>
      <c r="F18" s="21">
        <f>MAX((F5+F16),0)</f>
        <v>2927.8266977027324</v>
      </c>
      <c r="G18" s="21"/>
      <c r="H18" s="21"/>
      <c r="I18" s="21"/>
      <c r="J18" s="21">
        <f>MAX((J5+J16),0)</f>
        <v>1.7057593298478999</v>
      </c>
      <c r="K18" s="21"/>
      <c r="L18" s="21">
        <f>MAX((L5+L16),0)</f>
        <v>0</v>
      </c>
      <c r="M18" s="21"/>
      <c r="N18" s="21">
        <f>MAX((N5+N16),0)</f>
        <v>410.79292410729028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0.19720146296057209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891.1200399262782</v>
      </c>
      <c r="C22" s="23">
        <f ca="1">C18*C20</f>
        <v>0</v>
      </c>
      <c r="D22" s="23">
        <f>D18*D20</f>
        <v>212.91218154348883</v>
      </c>
      <c r="E22" s="23">
        <f>E18*E20</f>
        <v>230.81697586605728</v>
      </c>
      <c r="F22" s="23">
        <f>F18*F20</f>
        <v>781.72972828662955</v>
      </c>
      <c r="G22" s="23"/>
      <c r="H22" s="23"/>
      <c r="I22" s="23"/>
      <c r="J22" s="23">
        <f>J18*J20</f>
        <v>0.60383880276615653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50.130139185458901</v>
      </c>
      <c r="C30" s="39">
        <f>IF(ISERROR(B30*3.6/1000000/'E Balans VL '!Z18*100),0,B30*3.6/1000000/'E Balans VL '!Z18*100)</f>
        <v>4.9326777272356796E-3</v>
      </c>
      <c r="D30" s="239" t="s">
        <v>689</v>
      </c>
    </row>
    <row r="31" spans="1:18">
      <c r="A31" s="6" t="s">
        <v>32</v>
      </c>
      <c r="B31" s="37">
        <f>IF( ISERROR(IND_ander_ele_kWh/1000),0,IND_ander_ele_kWh/1000)</f>
        <v>3532.3532980957798</v>
      </c>
      <c r="C31" s="39">
        <f>IF(ISERROR(B31*3.6/1000000/'E Balans VL '!Z19*100),0,B31*3.6/1000000/'E Balans VL '!Z19*100)</f>
        <v>0.1538311684016018</v>
      </c>
      <c r="D31" s="239" t="s">
        <v>689</v>
      </c>
    </row>
    <row r="32" spans="1:18">
      <c r="A32" s="173" t="s">
        <v>40</v>
      </c>
      <c r="B32" s="37">
        <f>IF( ISERROR(IND_voed_ele_kWh/1000),0,IND_voed_ele_kWh/1000)</f>
        <v>272.23644980850298</v>
      </c>
      <c r="C32" s="39">
        <f>IF(ISERROR(B32*3.6/1000000/'E Balans VL '!Z20*100),0,B32*3.6/1000000/'E Balans VL '!Z20*100)</f>
        <v>5.1652940274451088E-2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664.11088905133704</v>
      </c>
      <c r="C37" s="39">
        <f>IF(ISERROR(B37*3.6/1000000/'E Balans VL '!Z15*100),0,B37*3.6/1000000/'E Balans VL '!Z15*100)</f>
        <v>5.1177900964506015E-3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4632.8959004218241</v>
      </c>
      <c r="C5" s="17">
        <f>'Eigen informatie GS &amp; warmtenet'!B60</f>
        <v>0</v>
      </c>
      <c r="D5" s="30">
        <f>IF(ISERROR(SUM(LB_lb_gas_kWh,LB_rest_gas_kWh)/1000),0,SUM(LB_lb_gas_kWh,LB_rest_gas_kWh)/1000)*0.902</f>
        <v>943.70110338650431</v>
      </c>
      <c r="E5" s="17">
        <f>B17*'E Balans VL '!I25/3.6*1000000/100</f>
        <v>58.380456728729889</v>
      </c>
      <c r="F5" s="17">
        <f>B17*('E Balans VL '!L25/3.6*1000000+'E Balans VL '!N25/3.6*1000000)/100</f>
        <v>15984.651466227629</v>
      </c>
      <c r="G5" s="18"/>
      <c r="H5" s="17"/>
      <c r="I5" s="17"/>
      <c r="J5" s="17">
        <f>('E Balans VL '!D25+'E Balans VL '!E25)/3.6*1000000*landbouw!B17/100</f>
        <v>696.73487852156381</v>
      </c>
      <c r="K5" s="17"/>
      <c r="L5" s="17">
        <f>L6*(-1)</f>
        <v>0</v>
      </c>
      <c r="M5" s="17"/>
      <c r="N5" s="17">
        <f>N6*(-1)</f>
        <v>0</v>
      </c>
      <c r="O5" s="17"/>
      <c r="P5" s="17"/>
      <c r="R5" s="32"/>
    </row>
    <row r="6" spans="1:18">
      <c r="A6" s="16" t="s">
        <v>496</v>
      </c>
      <c r="B6" s="17" t="s">
        <v>210</v>
      </c>
      <c r="C6" s="17">
        <f>'lokale energieproductie'!O39+'lokale energieproductie'!O32</f>
        <v>18192.857142857145</v>
      </c>
      <c r="D6" s="310">
        <f>('lokale energieproductie'!P32+'lokale energieproductie'!P39)*(-1)</f>
        <v>-36385.71428571429</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4632.8959004218241</v>
      </c>
      <c r="C8" s="21">
        <f>C5+C6</f>
        <v>18192.857142857145</v>
      </c>
      <c r="D8" s="21">
        <f>MAX((D5+D6),0)</f>
        <v>0</v>
      </c>
      <c r="E8" s="21">
        <f>MAX((E5+E6),0)</f>
        <v>58.380456728729889</v>
      </c>
      <c r="F8" s="21">
        <f>MAX((F5+F6),0)</f>
        <v>15984.651466227629</v>
      </c>
      <c r="G8" s="21"/>
      <c r="H8" s="21"/>
      <c r="I8" s="21"/>
      <c r="J8" s="21">
        <f>MAX((J5+J6),0)</f>
        <v>696.73487852156381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0.19720146296057209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913.61384930722056</v>
      </c>
      <c r="C12" s="23">
        <f ca="1">C8*C10</f>
        <v>4323.4789915966394</v>
      </c>
      <c r="D12" s="23">
        <f>D8*D10</f>
        <v>0</v>
      </c>
      <c r="E12" s="23">
        <f>E8*E10</f>
        <v>13.252363677421686</v>
      </c>
      <c r="F12" s="23">
        <f>F8*F10</f>
        <v>4267.9019414827771</v>
      </c>
      <c r="G12" s="23"/>
      <c r="H12" s="23"/>
      <c r="I12" s="23"/>
      <c r="J12" s="23">
        <f>J8*J10</f>
        <v>246.64414699663357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0.64614295770600738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641.90144024159781</v>
      </c>
      <c r="C26" s="249">
        <f>B26*'GWP N2O_CH4'!B5</f>
        <v>13479.930245073554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417.8023030811533</v>
      </c>
      <c r="C27" s="249">
        <f>B27*'GWP N2O_CH4'!B5</f>
        <v>8773.8483647042194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9.4529690948501859</v>
      </c>
      <c r="C28" s="249">
        <f>B28*'GWP N2O_CH4'!B4</f>
        <v>2930.4204194035578</v>
      </c>
      <c r="D28" s="50"/>
    </row>
    <row r="29" spans="1:4">
      <c r="A29" s="41" t="s">
        <v>276</v>
      </c>
      <c r="B29" s="249">
        <f>B34*'ha_N2O bodem landbouw'!B4</f>
        <v>24.380462669192053</v>
      </c>
      <c r="C29" s="249">
        <f>B29*'GWP N2O_CH4'!B4</f>
        <v>7557.9434274495361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6.0875579121148797E-3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8.2108862404888503E-6</v>
      </c>
      <c r="C5" s="444" t="s">
        <v>210</v>
      </c>
      <c r="D5" s="429">
        <f>SUM(D6:D11)</f>
        <v>1.5896940724143452E-5</v>
      </c>
      <c r="E5" s="429">
        <f>SUM(E6:E11)</f>
        <v>5.5167068302715218E-4</v>
      </c>
      <c r="F5" s="442" t="s">
        <v>210</v>
      </c>
      <c r="G5" s="429">
        <f>SUM(G6:G11)</f>
        <v>0.14314584862184426</v>
      </c>
      <c r="H5" s="429">
        <f>SUM(H6:H11)</f>
        <v>2.8620455630853855E-2</v>
      </c>
      <c r="I5" s="444" t="s">
        <v>210</v>
      </c>
      <c r="J5" s="444" t="s">
        <v>210</v>
      </c>
      <c r="K5" s="444" t="s">
        <v>210</v>
      </c>
      <c r="L5" s="444" t="s">
        <v>210</v>
      </c>
      <c r="M5" s="429">
        <f>SUM(M6:M11)</f>
        <v>7.7678453400437802E-3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4.6012459750157003E-6</v>
      </c>
      <c r="C6" s="883"/>
      <c r="D6" s="883">
        <f>vkm_GW_PW*SUMIFS(TableVerdeelsleutelVkm[CNG],TableVerdeelsleutelVkm[Voertuigtype],"Lichte voertuigen")*SUMIFS(TableECFTransport[EnergieConsumptieFactor (PJ per km)],TableECFTransport[Index],CONCATENATE($A6,"_CNG_CNG"))</f>
        <v>6.8189094839911681E-6</v>
      </c>
      <c r="E6" s="883">
        <f>vkm_GW_PW*SUMIFS(TableVerdeelsleutelVkm[LPG],TableVerdeelsleutelVkm[Voertuigtype],"Lichte voertuigen")*SUMIFS(TableECFTransport[EnergieConsumptieFactor (PJ per km)],TableECFTransport[Index],CONCATENATE($A6,"_LPG_LPG"))</f>
        <v>2.4422842116255213E-4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4.9151704465941685E-2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1.2556505453524561E-2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2.7916453168721021E-3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2.1672763651667058E-2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5.0355247318643852E-7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9.7855910725559324E-4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3.60964026547315E-6</v>
      </c>
      <c r="C8" s="883"/>
      <c r="D8" s="432">
        <f>vkm_NGW_PW*SUMIFS(TableVerdeelsleutelVkm[CNG],TableVerdeelsleutelVkm[Voertuigtype],"Lichte voertuigen")*SUMIFS(TableECFTransport[EnergieConsumptieFactor (PJ per km)],TableECFTransport[Index],CONCATENATE($A8,"_CNG_CNG"))</f>
        <v>9.0780312401522821E-6</v>
      </c>
      <c r="E8" s="432">
        <f>vkm_NGW_PW*SUMIFS(TableVerdeelsleutelVkm[LPG],TableVerdeelsleutelVkm[Voertuigtype],"Lichte voertuigen")*SUMIFS(TableECFTransport[EnergieConsumptieFactor (PJ per km)],TableECFTransport[Index],CONCATENATE($A8,"_LPG_LPG"))</f>
        <v>3.0744226186460005E-4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5.8774986952020818E-2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1.6063081810742914E-2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3.3859978201767303E-3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1.3546393552214722E-2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3.6481411319214078E-7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6.116430957393542E-4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2.2808017334691248</v>
      </c>
      <c r="C14" s="21"/>
      <c r="D14" s="21">
        <f t="shared" ref="D14:M14" si="0">((D5)*10^9/3600)+D12</f>
        <v>4.4158168678176262</v>
      </c>
      <c r="E14" s="21">
        <f t="shared" si="0"/>
        <v>153.24185639643116</v>
      </c>
      <c r="F14" s="21"/>
      <c r="G14" s="21">
        <f t="shared" si="0"/>
        <v>39762.73572829007</v>
      </c>
      <c r="H14" s="21">
        <f t="shared" si="0"/>
        <v>7950.1265641260707</v>
      </c>
      <c r="I14" s="21"/>
      <c r="J14" s="21"/>
      <c r="K14" s="21"/>
      <c r="L14" s="21"/>
      <c r="M14" s="21">
        <f t="shared" si="0"/>
        <v>2157.7348166788279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0.19720146296057209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0.44977743856312025</v>
      </c>
      <c r="C18" s="23"/>
      <c r="D18" s="23">
        <f t="shared" ref="D18:M18" si="1">D14*D16</f>
        <v>0.89199500729916059</v>
      </c>
      <c r="E18" s="23">
        <f t="shared" si="1"/>
        <v>34.785901401989875</v>
      </c>
      <c r="F18" s="23"/>
      <c r="G18" s="23">
        <f t="shared" si="1"/>
        <v>10616.65043945345</v>
      </c>
      <c r="H18" s="23">
        <f t="shared" si="1"/>
        <v>1979.5815144673916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2.2413724679270358E-3</v>
      </c>
      <c r="H50" s="321">
        <f t="shared" si="2"/>
        <v>0</v>
      </c>
      <c r="I50" s="321">
        <f t="shared" si="2"/>
        <v>0</v>
      </c>
      <c r="J50" s="321">
        <f t="shared" si="2"/>
        <v>0</v>
      </c>
      <c r="K50" s="321">
        <f t="shared" si="2"/>
        <v>0</v>
      </c>
      <c r="L50" s="321">
        <f t="shared" si="2"/>
        <v>0</v>
      </c>
      <c r="M50" s="321">
        <f t="shared" si="2"/>
        <v>9.9765342817356579E-5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2.2413724679270358E-3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9.9765342817356579E-5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622.6034633130655</v>
      </c>
      <c r="H54" s="21">
        <f t="shared" si="3"/>
        <v>0</v>
      </c>
      <c r="I54" s="21">
        <f t="shared" si="3"/>
        <v>0</v>
      </c>
      <c r="J54" s="21">
        <f t="shared" si="3"/>
        <v>0</v>
      </c>
      <c r="K54" s="21">
        <f t="shared" si="3"/>
        <v>0</v>
      </c>
      <c r="L54" s="21">
        <f t="shared" si="3"/>
        <v>0</v>
      </c>
      <c r="M54" s="21">
        <f t="shared" si="3"/>
        <v>27.712595227043494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0.19720146296057209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166.23512470458849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14640.735578543965</v>
      </c>
      <c r="D10" s="686">
        <f ca="1">tertiair!C16</f>
        <v>0</v>
      </c>
      <c r="E10" s="686">
        <f ca="1">tertiair!D16</f>
        <v>9192.7596823498443</v>
      </c>
      <c r="F10" s="686">
        <f>tertiair!E16</f>
        <v>163.92338886674747</v>
      </c>
      <c r="G10" s="686">
        <f ca="1">tertiair!F16</f>
        <v>2729.6436373962206</v>
      </c>
      <c r="H10" s="686">
        <f>tertiair!G16</f>
        <v>0</v>
      </c>
      <c r="I10" s="686">
        <f>tertiair!H16</f>
        <v>0</v>
      </c>
      <c r="J10" s="686">
        <f>tertiair!I16</f>
        <v>0</v>
      </c>
      <c r="K10" s="686">
        <f>tertiair!J16</f>
        <v>0</v>
      </c>
      <c r="L10" s="686">
        <f>tertiair!K16</f>
        <v>0</v>
      </c>
      <c r="M10" s="686">
        <f ca="1">tertiair!L16</f>
        <v>0</v>
      </c>
      <c r="N10" s="686">
        <f>tertiair!M16</f>
        <v>0</v>
      </c>
      <c r="O10" s="686">
        <f ca="1">tertiair!N16</f>
        <v>1314.3023419546557</v>
      </c>
      <c r="P10" s="686">
        <f>tertiair!O16</f>
        <v>0</v>
      </c>
      <c r="Q10" s="687">
        <f>tertiair!P16</f>
        <v>19.066666666666666</v>
      </c>
      <c r="R10" s="689">
        <f ca="1">SUM(C10:Q10)</f>
        <v>28060.4312957781</v>
      </c>
      <c r="S10" s="67"/>
    </row>
    <row r="11" spans="1:19" s="454" customFormat="1">
      <c r="A11" s="801" t="s">
        <v>224</v>
      </c>
      <c r="B11" s="806"/>
      <c r="C11" s="686">
        <f>huishoudens!B8</f>
        <v>17653.216350652787</v>
      </c>
      <c r="D11" s="686">
        <f>huishoudens!C8</f>
        <v>0</v>
      </c>
      <c r="E11" s="686">
        <f>huishoudens!D8</f>
        <v>21375.611616401857</v>
      </c>
      <c r="F11" s="686">
        <f>huishoudens!E8</f>
        <v>13204.689236731911</v>
      </c>
      <c r="G11" s="686">
        <f>huishoudens!F8</f>
        <v>21635.289585374652</v>
      </c>
      <c r="H11" s="686">
        <f>huishoudens!G8</f>
        <v>0</v>
      </c>
      <c r="I11" s="686">
        <f>huishoudens!H8</f>
        <v>0</v>
      </c>
      <c r="J11" s="686">
        <f>huishoudens!I8</f>
        <v>0</v>
      </c>
      <c r="K11" s="686">
        <f>huishoudens!J8</f>
        <v>7427.8133116268855</v>
      </c>
      <c r="L11" s="686">
        <f>huishoudens!K8</f>
        <v>0</v>
      </c>
      <c r="M11" s="686">
        <f>huishoudens!L8</f>
        <v>0</v>
      </c>
      <c r="N11" s="686">
        <f>huishoudens!M8</f>
        <v>0</v>
      </c>
      <c r="O11" s="686">
        <f>huishoudens!N8</f>
        <v>17814.718996914955</v>
      </c>
      <c r="P11" s="686">
        <f>huishoudens!O8</f>
        <v>167.27666666666667</v>
      </c>
      <c r="Q11" s="687">
        <f>huishoudens!P8</f>
        <v>171.6</v>
      </c>
      <c r="R11" s="689">
        <f>SUM(C11:Q11)</f>
        <v>99450.215764369728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4518.8307761410788</v>
      </c>
      <c r="D13" s="686">
        <f>industrie!C18</f>
        <v>0</v>
      </c>
      <c r="E13" s="686">
        <f>industrie!D18</f>
        <v>1054.0207007103406</v>
      </c>
      <c r="F13" s="686">
        <f>industrie!E18</f>
        <v>1016.81487165664</v>
      </c>
      <c r="G13" s="686">
        <f>industrie!F18</f>
        <v>2927.8266977027324</v>
      </c>
      <c r="H13" s="686">
        <f>industrie!G18</f>
        <v>0</v>
      </c>
      <c r="I13" s="686">
        <f>industrie!H18</f>
        <v>0</v>
      </c>
      <c r="J13" s="686">
        <f>industrie!I18</f>
        <v>0</v>
      </c>
      <c r="K13" s="686">
        <f>industrie!J18</f>
        <v>1.7057593298478999</v>
      </c>
      <c r="L13" s="686">
        <f>industrie!K18</f>
        <v>0</v>
      </c>
      <c r="M13" s="686">
        <f>industrie!L18</f>
        <v>0</v>
      </c>
      <c r="N13" s="686">
        <f>industrie!M18</f>
        <v>0</v>
      </c>
      <c r="O13" s="686">
        <f>industrie!N18</f>
        <v>410.79292410729028</v>
      </c>
      <c r="P13" s="686">
        <f>industrie!O18</f>
        <v>0</v>
      </c>
      <c r="Q13" s="687">
        <f>industrie!P18</f>
        <v>0</v>
      </c>
      <c r="R13" s="689">
        <f>SUM(C13:Q13)</f>
        <v>9929.9917296479307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36812.782705337828</v>
      </c>
      <c r="D16" s="721">
        <f t="shared" ref="D16:R16" ca="1" si="0">SUM(D9:D15)</f>
        <v>0</v>
      </c>
      <c r="E16" s="721">
        <f t="shared" ca="1" si="0"/>
        <v>31622.391999462041</v>
      </c>
      <c r="F16" s="721">
        <f t="shared" si="0"/>
        <v>14385.427497255298</v>
      </c>
      <c r="G16" s="721">
        <f t="shared" ca="1" si="0"/>
        <v>27292.759920473603</v>
      </c>
      <c r="H16" s="721">
        <f t="shared" si="0"/>
        <v>0</v>
      </c>
      <c r="I16" s="721">
        <f t="shared" si="0"/>
        <v>0</v>
      </c>
      <c r="J16" s="721">
        <f t="shared" si="0"/>
        <v>0</v>
      </c>
      <c r="K16" s="721">
        <f t="shared" si="0"/>
        <v>7429.5190709567332</v>
      </c>
      <c r="L16" s="721">
        <f t="shared" si="0"/>
        <v>0</v>
      </c>
      <c r="M16" s="721">
        <f t="shared" ca="1" si="0"/>
        <v>0</v>
      </c>
      <c r="N16" s="721">
        <f t="shared" si="0"/>
        <v>0</v>
      </c>
      <c r="O16" s="721">
        <f t="shared" ca="1" si="0"/>
        <v>19539.814262976899</v>
      </c>
      <c r="P16" s="721">
        <f t="shared" si="0"/>
        <v>167.27666666666667</v>
      </c>
      <c r="Q16" s="721">
        <f t="shared" si="0"/>
        <v>190.66666666666666</v>
      </c>
      <c r="R16" s="721">
        <f t="shared" ca="1" si="0"/>
        <v>137440.63878979578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622.6034633130655</v>
      </c>
      <c r="I19" s="686">
        <f>transport!H54</f>
        <v>0</v>
      </c>
      <c r="J19" s="686">
        <f>transport!I54</f>
        <v>0</v>
      </c>
      <c r="K19" s="686">
        <f>transport!J54</f>
        <v>0</v>
      </c>
      <c r="L19" s="686">
        <f>transport!K54</f>
        <v>0</v>
      </c>
      <c r="M19" s="686">
        <f>transport!L54</f>
        <v>0</v>
      </c>
      <c r="N19" s="686">
        <f>transport!M54</f>
        <v>27.712595227043494</v>
      </c>
      <c r="O19" s="686">
        <f>transport!N54</f>
        <v>0</v>
      </c>
      <c r="P19" s="686">
        <f>transport!O54</f>
        <v>0</v>
      </c>
      <c r="Q19" s="687">
        <f>transport!P54</f>
        <v>0</v>
      </c>
      <c r="R19" s="689">
        <f>SUM(C19:Q19)</f>
        <v>650.316058540109</v>
      </c>
      <c r="S19" s="67"/>
    </row>
    <row r="20" spans="1:19" s="454" customFormat="1">
      <c r="A20" s="801" t="s">
        <v>306</v>
      </c>
      <c r="B20" s="806"/>
      <c r="C20" s="686">
        <f>transport!B14</f>
        <v>2.2808017334691248</v>
      </c>
      <c r="D20" s="686">
        <f>transport!C14</f>
        <v>0</v>
      </c>
      <c r="E20" s="686">
        <f>transport!D14</f>
        <v>4.4158168678176262</v>
      </c>
      <c r="F20" s="686">
        <f>transport!E14</f>
        <v>153.24185639643116</v>
      </c>
      <c r="G20" s="686">
        <f>transport!F14</f>
        <v>0</v>
      </c>
      <c r="H20" s="686">
        <f>transport!G14</f>
        <v>39762.73572829007</v>
      </c>
      <c r="I20" s="686">
        <f>transport!H14</f>
        <v>7950.1265641260707</v>
      </c>
      <c r="J20" s="686">
        <f>transport!I14</f>
        <v>0</v>
      </c>
      <c r="K20" s="686">
        <f>transport!J14</f>
        <v>0</v>
      </c>
      <c r="L20" s="686">
        <f>transport!K14</f>
        <v>0</v>
      </c>
      <c r="M20" s="686">
        <f>transport!L14</f>
        <v>0</v>
      </c>
      <c r="N20" s="686">
        <f>transport!M14</f>
        <v>2157.7348166788279</v>
      </c>
      <c r="O20" s="686">
        <f>transport!N14</f>
        <v>0</v>
      </c>
      <c r="P20" s="686">
        <f>transport!O14</f>
        <v>0</v>
      </c>
      <c r="Q20" s="687">
        <f>transport!P14</f>
        <v>0</v>
      </c>
      <c r="R20" s="689">
        <f>SUM(C20:Q20)</f>
        <v>50030.535584092686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2.2808017334691248</v>
      </c>
      <c r="D22" s="804">
        <f t="shared" ref="D22:R22" si="1">SUM(D18:D21)</f>
        <v>0</v>
      </c>
      <c r="E22" s="804">
        <f t="shared" si="1"/>
        <v>4.4158168678176262</v>
      </c>
      <c r="F22" s="804">
        <f t="shared" si="1"/>
        <v>153.24185639643116</v>
      </c>
      <c r="G22" s="804">
        <f t="shared" si="1"/>
        <v>0</v>
      </c>
      <c r="H22" s="804">
        <f t="shared" si="1"/>
        <v>40385.339191603132</v>
      </c>
      <c r="I22" s="804">
        <f t="shared" si="1"/>
        <v>7950.1265641260707</v>
      </c>
      <c r="J22" s="804">
        <f t="shared" si="1"/>
        <v>0</v>
      </c>
      <c r="K22" s="804">
        <f t="shared" si="1"/>
        <v>0</v>
      </c>
      <c r="L22" s="804">
        <f t="shared" si="1"/>
        <v>0</v>
      </c>
      <c r="M22" s="804">
        <f t="shared" si="1"/>
        <v>0</v>
      </c>
      <c r="N22" s="804">
        <f t="shared" si="1"/>
        <v>2185.4474119058714</v>
      </c>
      <c r="O22" s="804">
        <f t="shared" si="1"/>
        <v>0</v>
      </c>
      <c r="P22" s="804">
        <f t="shared" si="1"/>
        <v>0</v>
      </c>
      <c r="Q22" s="804">
        <f t="shared" si="1"/>
        <v>0</v>
      </c>
      <c r="R22" s="804">
        <f t="shared" si="1"/>
        <v>50680.851642632791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4632.8959004218241</v>
      </c>
      <c r="D24" s="686">
        <f>+landbouw!C8</f>
        <v>18192.857142857145</v>
      </c>
      <c r="E24" s="686">
        <f>+landbouw!D8</f>
        <v>0</v>
      </c>
      <c r="F24" s="686">
        <f>+landbouw!E8</f>
        <v>58.380456728729889</v>
      </c>
      <c r="G24" s="686">
        <f>+landbouw!F8</f>
        <v>15984.651466227629</v>
      </c>
      <c r="H24" s="686">
        <f>+landbouw!G8</f>
        <v>0</v>
      </c>
      <c r="I24" s="686">
        <f>+landbouw!H8</f>
        <v>0</v>
      </c>
      <c r="J24" s="686">
        <f>+landbouw!I8</f>
        <v>0</v>
      </c>
      <c r="K24" s="686">
        <f>+landbouw!J8</f>
        <v>696.73487852156381</v>
      </c>
      <c r="L24" s="686">
        <f>+landbouw!K8</f>
        <v>0</v>
      </c>
      <c r="M24" s="686">
        <f>+landbouw!L8</f>
        <v>0</v>
      </c>
      <c r="N24" s="686">
        <f>+landbouw!M8</f>
        <v>0</v>
      </c>
      <c r="O24" s="686">
        <f>+landbouw!N8</f>
        <v>0</v>
      </c>
      <c r="P24" s="686">
        <f>+landbouw!O8</f>
        <v>0</v>
      </c>
      <c r="Q24" s="687">
        <f>+landbouw!P8</f>
        <v>0</v>
      </c>
      <c r="R24" s="689">
        <f>SUM(C24:Q24)</f>
        <v>39565.519844756891</v>
      </c>
      <c r="S24" s="67"/>
    </row>
    <row r="25" spans="1:19" s="454" customFormat="1" ht="15" thickBot="1">
      <c r="A25" s="823" t="s">
        <v>856</v>
      </c>
      <c r="B25" s="991"/>
      <c r="C25" s="992">
        <f>IF(Onbekend_ele_kWh="---",0,Onbekend_ele_kWh)/1000+IF(REST_rest_ele_kWh="---",0,REST_rest_ele_kWh)/1000</f>
        <v>500.97843589261697</v>
      </c>
      <c r="D25" s="992"/>
      <c r="E25" s="992">
        <f>IF(onbekend_gas_kWh="---",0,onbekend_gas_kWh)/1000+IF(REST_rest_gas_kWh="---",0,REST_rest_gas_kWh)/1000</f>
        <v>579.09287869795207</v>
      </c>
      <c r="F25" s="992"/>
      <c r="G25" s="992"/>
      <c r="H25" s="992"/>
      <c r="I25" s="992"/>
      <c r="J25" s="992"/>
      <c r="K25" s="992"/>
      <c r="L25" s="992"/>
      <c r="M25" s="992"/>
      <c r="N25" s="992"/>
      <c r="O25" s="992"/>
      <c r="P25" s="992"/>
      <c r="Q25" s="993"/>
      <c r="R25" s="689">
        <f>SUM(C25:Q25)</f>
        <v>1080.071314590569</v>
      </c>
      <c r="S25" s="67"/>
    </row>
    <row r="26" spans="1:19" s="454" customFormat="1" ht="15.75" thickBot="1">
      <c r="A26" s="694" t="s">
        <v>857</v>
      </c>
      <c r="B26" s="809"/>
      <c r="C26" s="804">
        <f>SUM(C24:C25)</f>
        <v>5133.8743363144413</v>
      </c>
      <c r="D26" s="804">
        <f t="shared" ref="D26:R26" si="2">SUM(D24:D25)</f>
        <v>18192.857142857145</v>
      </c>
      <c r="E26" s="804">
        <f t="shared" si="2"/>
        <v>579.09287869795207</v>
      </c>
      <c r="F26" s="804">
        <f t="shared" si="2"/>
        <v>58.380456728729889</v>
      </c>
      <c r="G26" s="804">
        <f t="shared" si="2"/>
        <v>15984.651466227629</v>
      </c>
      <c r="H26" s="804">
        <f t="shared" si="2"/>
        <v>0</v>
      </c>
      <c r="I26" s="804">
        <f t="shared" si="2"/>
        <v>0</v>
      </c>
      <c r="J26" s="804">
        <f t="shared" si="2"/>
        <v>0</v>
      </c>
      <c r="K26" s="804">
        <f t="shared" si="2"/>
        <v>696.73487852156381</v>
      </c>
      <c r="L26" s="804">
        <f t="shared" si="2"/>
        <v>0</v>
      </c>
      <c r="M26" s="804">
        <f t="shared" si="2"/>
        <v>0</v>
      </c>
      <c r="N26" s="804">
        <f t="shared" si="2"/>
        <v>0</v>
      </c>
      <c r="O26" s="804">
        <f t="shared" si="2"/>
        <v>0</v>
      </c>
      <c r="P26" s="804">
        <f t="shared" si="2"/>
        <v>0</v>
      </c>
      <c r="Q26" s="804">
        <f t="shared" si="2"/>
        <v>0</v>
      </c>
      <c r="R26" s="804">
        <f t="shared" si="2"/>
        <v>40645.591159347459</v>
      </c>
      <c r="S26" s="67"/>
    </row>
    <row r="27" spans="1:19" s="454" customFormat="1" ht="17.25" thickTop="1" thickBot="1">
      <c r="A27" s="695" t="s">
        <v>115</v>
      </c>
      <c r="B27" s="796"/>
      <c r="C27" s="696">
        <f ca="1">C22+C16+C26</f>
        <v>41948.937843385735</v>
      </c>
      <c r="D27" s="696">
        <f t="shared" ref="D27:R27" ca="1" si="3">D22+D16+D26</f>
        <v>18192.857142857145</v>
      </c>
      <c r="E27" s="696">
        <f t="shared" ca="1" si="3"/>
        <v>32205.900695027813</v>
      </c>
      <c r="F27" s="696">
        <f t="shared" si="3"/>
        <v>14597.049810380458</v>
      </c>
      <c r="G27" s="696">
        <f t="shared" ca="1" si="3"/>
        <v>43277.411386701235</v>
      </c>
      <c r="H27" s="696">
        <f t="shared" si="3"/>
        <v>40385.339191603132</v>
      </c>
      <c r="I27" s="696">
        <f t="shared" si="3"/>
        <v>7950.1265641260707</v>
      </c>
      <c r="J27" s="696">
        <f t="shared" si="3"/>
        <v>0</v>
      </c>
      <c r="K27" s="696">
        <f t="shared" si="3"/>
        <v>8126.2539494782968</v>
      </c>
      <c r="L27" s="696">
        <f t="shared" si="3"/>
        <v>0</v>
      </c>
      <c r="M27" s="696">
        <f t="shared" ca="1" si="3"/>
        <v>0</v>
      </c>
      <c r="N27" s="696">
        <f t="shared" si="3"/>
        <v>2185.4474119058714</v>
      </c>
      <c r="O27" s="696">
        <f t="shared" ca="1" si="3"/>
        <v>19539.814262976899</v>
      </c>
      <c r="P27" s="696">
        <f t="shared" si="3"/>
        <v>167.27666666666667</v>
      </c>
      <c r="Q27" s="696">
        <f t="shared" si="3"/>
        <v>190.66666666666666</v>
      </c>
      <c r="R27" s="696">
        <f t="shared" ca="1" si="3"/>
        <v>228767.08159177605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2887.1744749077675</v>
      </c>
      <c r="D40" s="686">
        <f ca="1">tertiair!C20</f>
        <v>0</v>
      </c>
      <c r="E40" s="686">
        <f ca="1">tertiair!D20</f>
        <v>1856.9374558346688</v>
      </c>
      <c r="F40" s="686">
        <f>tertiair!E20</f>
        <v>37.210609272751675</v>
      </c>
      <c r="G40" s="686">
        <f ca="1">tertiair!F20</f>
        <v>728.81485118479088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5510.137391199979</v>
      </c>
    </row>
    <row r="41" spans="1:18">
      <c r="A41" s="814" t="s">
        <v>224</v>
      </c>
      <c r="B41" s="821"/>
      <c r="C41" s="686">
        <f ca="1">huishoudens!B12</f>
        <v>3481.2400903082212</v>
      </c>
      <c r="D41" s="686">
        <f ca="1">huishoudens!C12</f>
        <v>0</v>
      </c>
      <c r="E41" s="686">
        <f>huishoudens!D12</f>
        <v>4317.8735465131749</v>
      </c>
      <c r="F41" s="686">
        <f>huishoudens!E12</f>
        <v>2997.4644567381438</v>
      </c>
      <c r="G41" s="686">
        <f>huishoudens!F12</f>
        <v>5776.6223192950329</v>
      </c>
      <c r="H41" s="686">
        <f>huishoudens!G12</f>
        <v>0</v>
      </c>
      <c r="I41" s="686">
        <f>huishoudens!H12</f>
        <v>0</v>
      </c>
      <c r="J41" s="686">
        <f>huishoudens!I12</f>
        <v>0</v>
      </c>
      <c r="K41" s="686">
        <f>huishoudens!J12</f>
        <v>2629.4459123159172</v>
      </c>
      <c r="L41" s="686">
        <f>huishoudens!K12</f>
        <v>0</v>
      </c>
      <c r="M41" s="686">
        <f>huishoudens!L12</f>
        <v>0</v>
      </c>
      <c r="N41" s="686">
        <f>huishoudens!M12</f>
        <v>0</v>
      </c>
      <c r="O41" s="686">
        <f>huishoudens!N12</f>
        <v>0</v>
      </c>
      <c r="P41" s="686">
        <f>huishoudens!O12</f>
        <v>0</v>
      </c>
      <c r="Q41" s="763">
        <f>huishoudens!P12</f>
        <v>0</v>
      </c>
      <c r="R41" s="842">
        <f t="shared" ca="1" si="4"/>
        <v>19202.646325170492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891.1200399262782</v>
      </c>
      <c r="D43" s="686">
        <f ca="1">industrie!C22</f>
        <v>0</v>
      </c>
      <c r="E43" s="686">
        <f>industrie!D22</f>
        <v>212.91218154348883</v>
      </c>
      <c r="F43" s="686">
        <f>industrie!E22</f>
        <v>230.81697586605728</v>
      </c>
      <c r="G43" s="686">
        <f>industrie!F22</f>
        <v>781.72972828662955</v>
      </c>
      <c r="H43" s="686">
        <f>industrie!G22</f>
        <v>0</v>
      </c>
      <c r="I43" s="686">
        <f>industrie!H22</f>
        <v>0</v>
      </c>
      <c r="J43" s="686">
        <f>industrie!I22</f>
        <v>0</v>
      </c>
      <c r="K43" s="686">
        <f>industrie!J22</f>
        <v>0.60383880276615653</v>
      </c>
      <c r="L43" s="686">
        <f>industrie!K22</f>
        <v>0</v>
      </c>
      <c r="M43" s="686">
        <f>industrie!L22</f>
        <v>0</v>
      </c>
      <c r="N43" s="686">
        <f>industrie!M22</f>
        <v>0</v>
      </c>
      <c r="O43" s="686">
        <f>industrie!N22</f>
        <v>0</v>
      </c>
      <c r="P43" s="686">
        <f>industrie!O22</f>
        <v>0</v>
      </c>
      <c r="Q43" s="763">
        <f>industrie!P22</f>
        <v>0</v>
      </c>
      <c r="R43" s="841">
        <f t="shared" ca="1" si="4"/>
        <v>2117.1827644252198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7259.5346051422666</v>
      </c>
      <c r="D46" s="721">
        <f t="shared" ref="D46:Q46" ca="1" si="5">SUM(D39:D45)</f>
        <v>0</v>
      </c>
      <c r="E46" s="721">
        <f t="shared" ca="1" si="5"/>
        <v>6387.7231838913331</v>
      </c>
      <c r="F46" s="721">
        <f t="shared" si="5"/>
        <v>3265.492041876953</v>
      </c>
      <c r="G46" s="721">
        <f t="shared" ca="1" si="5"/>
        <v>7287.1668987664534</v>
      </c>
      <c r="H46" s="721">
        <f t="shared" si="5"/>
        <v>0</v>
      </c>
      <c r="I46" s="721">
        <f t="shared" si="5"/>
        <v>0</v>
      </c>
      <c r="J46" s="721">
        <f t="shared" si="5"/>
        <v>0</v>
      </c>
      <c r="K46" s="721">
        <f t="shared" si="5"/>
        <v>2630.0497511186832</v>
      </c>
      <c r="L46" s="721">
        <f t="shared" si="5"/>
        <v>0</v>
      </c>
      <c r="M46" s="721">
        <f t="shared" ca="1" si="5"/>
        <v>0</v>
      </c>
      <c r="N46" s="721">
        <f t="shared" si="5"/>
        <v>0</v>
      </c>
      <c r="O46" s="721">
        <f t="shared" ca="1" si="5"/>
        <v>0</v>
      </c>
      <c r="P46" s="721">
        <f t="shared" si="5"/>
        <v>0</v>
      </c>
      <c r="Q46" s="721">
        <f t="shared" si="5"/>
        <v>0</v>
      </c>
      <c r="R46" s="721">
        <f ca="1">SUM(R39:R45)</f>
        <v>26829.966480795691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166.23512470458849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166.23512470458849</v>
      </c>
    </row>
    <row r="50" spans="1:18">
      <c r="A50" s="817" t="s">
        <v>306</v>
      </c>
      <c r="B50" s="827"/>
      <c r="C50" s="692">
        <f ca="1">transport!B18</f>
        <v>0.44977743856312025</v>
      </c>
      <c r="D50" s="692">
        <f>transport!C18</f>
        <v>0</v>
      </c>
      <c r="E50" s="692">
        <f>transport!D18</f>
        <v>0.89199500729916059</v>
      </c>
      <c r="F50" s="692">
        <f>transport!E18</f>
        <v>34.785901401989875</v>
      </c>
      <c r="G50" s="692">
        <f>transport!F18</f>
        <v>0</v>
      </c>
      <c r="H50" s="692">
        <f>transport!G18</f>
        <v>10616.65043945345</v>
      </c>
      <c r="I50" s="692">
        <f>transport!H18</f>
        <v>1979.5815144673916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12632.359627768692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0.44977743856312025</v>
      </c>
      <c r="D52" s="721">
        <f t="shared" ref="D52:Q52" ca="1" si="6">SUM(D48:D51)</f>
        <v>0</v>
      </c>
      <c r="E52" s="721">
        <f t="shared" si="6"/>
        <v>0.89199500729916059</v>
      </c>
      <c r="F52" s="721">
        <f t="shared" si="6"/>
        <v>34.785901401989875</v>
      </c>
      <c r="G52" s="721">
        <f t="shared" si="6"/>
        <v>0</v>
      </c>
      <c r="H52" s="721">
        <f t="shared" si="6"/>
        <v>10782.885564158038</v>
      </c>
      <c r="I52" s="721">
        <f t="shared" si="6"/>
        <v>1979.5815144673916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12798.59475247328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913.61384930722056</v>
      </c>
      <c r="D54" s="692">
        <f ca="1">+landbouw!C12</f>
        <v>4323.4789915966394</v>
      </c>
      <c r="E54" s="692">
        <f>+landbouw!D12</f>
        <v>0</v>
      </c>
      <c r="F54" s="692">
        <f>+landbouw!E12</f>
        <v>13.252363677421686</v>
      </c>
      <c r="G54" s="692">
        <f>+landbouw!F12</f>
        <v>4267.9019414827771</v>
      </c>
      <c r="H54" s="692">
        <f>+landbouw!G12</f>
        <v>0</v>
      </c>
      <c r="I54" s="692">
        <f>+landbouw!H12</f>
        <v>0</v>
      </c>
      <c r="J54" s="692">
        <f>+landbouw!I12</f>
        <v>0</v>
      </c>
      <c r="K54" s="692">
        <f>+landbouw!J12</f>
        <v>246.64414699663357</v>
      </c>
      <c r="L54" s="692">
        <f>+landbouw!K12</f>
        <v>0</v>
      </c>
      <c r="M54" s="692">
        <f>+landbouw!L12</f>
        <v>0</v>
      </c>
      <c r="N54" s="692">
        <f>+landbouw!M12</f>
        <v>0</v>
      </c>
      <c r="O54" s="692">
        <f>+landbouw!N12</f>
        <v>0</v>
      </c>
      <c r="P54" s="692">
        <f>+landbouw!O12</f>
        <v>0</v>
      </c>
      <c r="Q54" s="693">
        <f>+landbouw!P12</f>
        <v>0</v>
      </c>
      <c r="R54" s="720">
        <f ca="1">SUM(C54:Q54)</f>
        <v>9764.891293060693</v>
      </c>
    </row>
    <row r="55" spans="1:18" ht="15" thickBot="1">
      <c r="A55" s="817" t="s">
        <v>856</v>
      </c>
      <c r="B55" s="827"/>
      <c r="C55" s="692">
        <f ca="1">C25*'EF ele_warmte'!B12</f>
        <v>98.793680469723242</v>
      </c>
      <c r="D55" s="692"/>
      <c r="E55" s="692">
        <f>E25*EF_CO2_aardgas</f>
        <v>116.97676149698633</v>
      </c>
      <c r="F55" s="692"/>
      <c r="G55" s="692"/>
      <c r="H55" s="692"/>
      <c r="I55" s="692"/>
      <c r="J55" s="692"/>
      <c r="K55" s="692"/>
      <c r="L55" s="692"/>
      <c r="M55" s="692"/>
      <c r="N55" s="692"/>
      <c r="O55" s="692"/>
      <c r="P55" s="692"/>
      <c r="Q55" s="693"/>
      <c r="R55" s="720">
        <f ca="1">SUM(C55:Q55)</f>
        <v>215.77044196670957</v>
      </c>
    </row>
    <row r="56" spans="1:18" ht="15.75" thickBot="1">
      <c r="A56" s="815" t="s">
        <v>857</v>
      </c>
      <c r="B56" s="828"/>
      <c r="C56" s="721">
        <f ca="1">SUM(C54:C55)</f>
        <v>1012.4075297769438</v>
      </c>
      <c r="D56" s="721">
        <f t="shared" ref="D56:Q56" ca="1" si="7">SUM(D54:D55)</f>
        <v>4323.4789915966394</v>
      </c>
      <c r="E56" s="721">
        <f t="shared" si="7"/>
        <v>116.97676149698633</v>
      </c>
      <c r="F56" s="721">
        <f t="shared" si="7"/>
        <v>13.252363677421686</v>
      </c>
      <c r="G56" s="721">
        <f t="shared" si="7"/>
        <v>4267.9019414827771</v>
      </c>
      <c r="H56" s="721">
        <f t="shared" si="7"/>
        <v>0</v>
      </c>
      <c r="I56" s="721">
        <f t="shared" si="7"/>
        <v>0</v>
      </c>
      <c r="J56" s="721">
        <f t="shared" si="7"/>
        <v>0</v>
      </c>
      <c r="K56" s="721">
        <f t="shared" si="7"/>
        <v>246.64414699663357</v>
      </c>
      <c r="L56" s="721">
        <f t="shared" si="7"/>
        <v>0</v>
      </c>
      <c r="M56" s="721">
        <f t="shared" si="7"/>
        <v>0</v>
      </c>
      <c r="N56" s="721">
        <f t="shared" si="7"/>
        <v>0</v>
      </c>
      <c r="O56" s="721">
        <f t="shared" si="7"/>
        <v>0</v>
      </c>
      <c r="P56" s="721">
        <f t="shared" si="7"/>
        <v>0</v>
      </c>
      <c r="Q56" s="722">
        <f t="shared" si="7"/>
        <v>0</v>
      </c>
      <c r="R56" s="723">
        <f ca="1">SUM(R54:R55)</f>
        <v>9980.6617350274028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8272.3919123577725</v>
      </c>
      <c r="D61" s="729">
        <f t="shared" ref="D61:Q61" ca="1" si="8">D46+D52+D56</f>
        <v>4323.4789915966394</v>
      </c>
      <c r="E61" s="729">
        <f t="shared" ca="1" si="8"/>
        <v>6505.5919403956186</v>
      </c>
      <c r="F61" s="729">
        <f t="shared" si="8"/>
        <v>3313.5303069563647</v>
      </c>
      <c r="G61" s="729">
        <f t="shared" ca="1" si="8"/>
        <v>11555.068840249231</v>
      </c>
      <c r="H61" s="729">
        <f t="shared" si="8"/>
        <v>10782.885564158038</v>
      </c>
      <c r="I61" s="729">
        <f t="shared" si="8"/>
        <v>1979.5815144673916</v>
      </c>
      <c r="J61" s="729">
        <f t="shared" si="8"/>
        <v>0</v>
      </c>
      <c r="K61" s="729">
        <f t="shared" si="8"/>
        <v>2876.6938981153166</v>
      </c>
      <c r="L61" s="729">
        <f t="shared" si="8"/>
        <v>0</v>
      </c>
      <c r="M61" s="729">
        <f t="shared" ca="1" si="8"/>
        <v>0</v>
      </c>
      <c r="N61" s="729">
        <f t="shared" si="8"/>
        <v>0</v>
      </c>
      <c r="O61" s="729">
        <f t="shared" ca="1" si="8"/>
        <v>0</v>
      </c>
      <c r="P61" s="729">
        <f t="shared" si="8"/>
        <v>0</v>
      </c>
      <c r="Q61" s="729">
        <f t="shared" si="8"/>
        <v>0</v>
      </c>
      <c r="R61" s="729">
        <f ca="1">R46+R52+R56</f>
        <v>49609.222968296373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0.19720146296057209</v>
      </c>
      <c r="D63" s="772">
        <f t="shared" ca="1" si="9"/>
        <v>0.23764705882352943</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5476.5775798557534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12735</v>
      </c>
      <c r="D76" s="1008">
        <f>'lokale energieproductie'!C8</f>
        <v>14982.352941176472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3026.4352941176476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5476.5775798557534</v>
      </c>
      <c r="C78" s="744">
        <f>SUM(C72:C77)</f>
        <v>12735</v>
      </c>
      <c r="D78" s="745">
        <f t="shared" ref="D78:H78" si="10">SUM(D76:D77)</f>
        <v>14982.352941176472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3026.4352941176476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18192.857142857145</v>
      </c>
      <c r="D87" s="766">
        <f>'lokale energieproductie'!C17</f>
        <v>21403.361344537818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4323.4789915966394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18192.857142857145</v>
      </c>
      <c r="D90" s="744">
        <f t="shared" ref="D90:H90" si="12">SUM(D87:D89)</f>
        <v>21403.361344537818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4323.4789915966394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5476.5775798557534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12735</v>
      </c>
      <c r="C8" s="556">
        <f>B48</f>
        <v>14982.352941176472</v>
      </c>
      <c r="D8" s="1015"/>
      <c r="E8" s="1015">
        <f>E48</f>
        <v>0</v>
      </c>
      <c r="F8" s="1016"/>
      <c r="G8" s="557"/>
      <c r="H8" s="1015">
        <f>I48</f>
        <v>0</v>
      </c>
      <c r="I8" s="1015">
        <f>G48+F48</f>
        <v>0</v>
      </c>
      <c r="J8" s="1015">
        <f>H48+D48+C48</f>
        <v>0</v>
      </c>
      <c r="K8" s="1015"/>
      <c r="L8" s="1015"/>
      <c r="M8" s="1015"/>
      <c r="N8" s="558"/>
      <c r="O8" s="559">
        <f>C8*$C$12+D8*$D$12+E8*$E$12+F8*$F$12+G8*$G$12+H8*$H$12+I8*$I$12+J8*$J$12</f>
        <v>3026.4352941176476</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18211.577579855752</v>
      </c>
      <c r="C10" s="569">
        <f t="shared" ref="C10:L10" si="0">SUM(C8:C9)</f>
        <v>14982.352941176472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3026.4352941176476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18192.857142857145</v>
      </c>
      <c r="C17" s="581">
        <f>B49</f>
        <v>21403.361344537818</v>
      </c>
      <c r="D17" s="582"/>
      <c r="E17" s="582">
        <f>E49</f>
        <v>0</v>
      </c>
      <c r="F17" s="1021"/>
      <c r="G17" s="583"/>
      <c r="H17" s="581">
        <f>I49</f>
        <v>0</v>
      </c>
      <c r="I17" s="582">
        <f>G49+F49</f>
        <v>0</v>
      </c>
      <c r="J17" s="582">
        <f>H49+D49+C49</f>
        <v>0</v>
      </c>
      <c r="K17" s="582"/>
      <c r="L17" s="582"/>
      <c r="M17" s="582"/>
      <c r="N17" s="1022"/>
      <c r="O17" s="584">
        <f>C17*$C$22+E17*$E$22+H17*$H$22+I17*$I$22+J17*$J$22+D17*$D$22+F17*$F$22+G17*$G$22+K17*$K$22+L17*$L$22</f>
        <v>4323.4789915966394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18192.857142857145</v>
      </c>
      <c r="C20" s="568">
        <f>SUM(C17:C19)</f>
        <v>21403.361344537818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4323.4789915966394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32006</v>
      </c>
      <c r="C28" s="787">
        <v>8650</v>
      </c>
      <c r="D28" s="640" t="s">
        <v>920</v>
      </c>
      <c r="E28" s="639" t="s">
        <v>921</v>
      </c>
      <c r="F28" s="639" t="s">
        <v>922</v>
      </c>
      <c r="G28" s="639" t="s">
        <v>923</v>
      </c>
      <c r="H28" s="639" t="s">
        <v>924</v>
      </c>
      <c r="I28" s="639" t="s">
        <v>925</v>
      </c>
      <c r="J28" s="786">
        <v>40919</v>
      </c>
      <c r="K28" s="786">
        <v>40919</v>
      </c>
      <c r="L28" s="639" t="s">
        <v>926</v>
      </c>
      <c r="M28" s="639">
        <v>2830</v>
      </c>
      <c r="N28" s="639">
        <v>12735</v>
      </c>
      <c r="O28" s="639">
        <v>18192.857142857145</v>
      </c>
      <c r="P28" s="639">
        <v>36385.71428571429</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2830</v>
      </c>
      <c r="N29" s="597">
        <f>SUM(N28:N28)</f>
        <v>12735</v>
      </c>
      <c r="O29" s="597">
        <f>SUM(O28:O28)</f>
        <v>18192.857142857145</v>
      </c>
      <c r="P29" s="597">
        <f>SUM(P28:P28)</f>
        <v>36385.71428571429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2830</v>
      </c>
      <c r="N32" s="602">
        <f>SUMIF($Z$28:$Z$28,"landbouw",N28:N28)</f>
        <v>12735</v>
      </c>
      <c r="O32" s="602">
        <f>SUMIF($Z$28:$Z$28,"landbouw",O28:O28)</f>
        <v>18192.857142857145</v>
      </c>
      <c r="P32" s="602">
        <f>SUMIF($Z$28:$Z$28,"landbouw",P28:P28)</f>
        <v>36385.71428571429</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14982.352941176472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21403.361344537818</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17653.216350652787</v>
      </c>
      <c r="C4" s="458">
        <f>huishoudens!C8</f>
        <v>0</v>
      </c>
      <c r="D4" s="458">
        <f>huishoudens!D8</f>
        <v>21375.611616401857</v>
      </c>
      <c r="E4" s="458">
        <f>huishoudens!E8</f>
        <v>13204.689236731911</v>
      </c>
      <c r="F4" s="458">
        <f>huishoudens!F8</f>
        <v>21635.289585374652</v>
      </c>
      <c r="G4" s="458">
        <f>huishoudens!G8</f>
        <v>0</v>
      </c>
      <c r="H4" s="458">
        <f>huishoudens!H8</f>
        <v>0</v>
      </c>
      <c r="I4" s="458">
        <f>huishoudens!I8</f>
        <v>0</v>
      </c>
      <c r="J4" s="458">
        <f>huishoudens!J8</f>
        <v>7427.8133116268855</v>
      </c>
      <c r="K4" s="458">
        <f>huishoudens!K8</f>
        <v>0</v>
      </c>
      <c r="L4" s="458">
        <f>huishoudens!L8</f>
        <v>0</v>
      </c>
      <c r="M4" s="458">
        <f>huishoudens!M8</f>
        <v>0</v>
      </c>
      <c r="N4" s="458">
        <f>huishoudens!N8</f>
        <v>17814.718996914955</v>
      </c>
      <c r="O4" s="458">
        <f>huishoudens!O8</f>
        <v>167.27666666666667</v>
      </c>
      <c r="P4" s="459">
        <f>huishoudens!P8</f>
        <v>171.6</v>
      </c>
      <c r="Q4" s="460">
        <f>SUM(B4:P4)</f>
        <v>99450.215764369728</v>
      </c>
    </row>
    <row r="5" spans="1:17">
      <c r="A5" s="457" t="s">
        <v>155</v>
      </c>
      <c r="B5" s="458">
        <f ca="1">tertiair!B16</f>
        <v>13746.606578543964</v>
      </c>
      <c r="C5" s="458">
        <f ca="1">tertiair!C16</f>
        <v>0</v>
      </c>
      <c r="D5" s="458">
        <f ca="1">tertiair!D16</f>
        <v>9192.7596823498443</v>
      </c>
      <c r="E5" s="458">
        <f>tertiair!E16</f>
        <v>163.92338886674747</v>
      </c>
      <c r="F5" s="458">
        <f ca="1">tertiair!F16</f>
        <v>2729.6436373962206</v>
      </c>
      <c r="G5" s="458">
        <f>tertiair!G16</f>
        <v>0</v>
      </c>
      <c r="H5" s="458">
        <f>tertiair!H16</f>
        <v>0</v>
      </c>
      <c r="I5" s="458">
        <f>tertiair!I16</f>
        <v>0</v>
      </c>
      <c r="J5" s="458">
        <f>tertiair!J16</f>
        <v>0</v>
      </c>
      <c r="K5" s="458">
        <f>tertiair!K16</f>
        <v>0</v>
      </c>
      <c r="L5" s="458">
        <f ca="1">tertiair!L16</f>
        <v>0</v>
      </c>
      <c r="M5" s="458">
        <f>tertiair!M16</f>
        <v>0</v>
      </c>
      <c r="N5" s="458">
        <f ca="1">tertiair!N16</f>
        <v>1314.3023419546557</v>
      </c>
      <c r="O5" s="458">
        <f>tertiair!O16</f>
        <v>0</v>
      </c>
      <c r="P5" s="459">
        <f>tertiair!P16</f>
        <v>19.066666666666666</v>
      </c>
      <c r="Q5" s="457">
        <f t="shared" ref="Q5:Q14" ca="1" si="0">SUM(B5:P5)</f>
        <v>27166.3022957781</v>
      </c>
    </row>
    <row r="6" spans="1:17">
      <c r="A6" s="457" t="s">
        <v>193</v>
      </c>
      <c r="B6" s="458">
        <f>'openbare verlichting'!B8</f>
        <v>894.12900000000002</v>
      </c>
      <c r="C6" s="458"/>
      <c r="D6" s="458"/>
      <c r="E6" s="458"/>
      <c r="F6" s="458"/>
      <c r="G6" s="458"/>
      <c r="H6" s="458"/>
      <c r="I6" s="458"/>
      <c r="J6" s="458"/>
      <c r="K6" s="458"/>
      <c r="L6" s="458"/>
      <c r="M6" s="458"/>
      <c r="N6" s="458"/>
      <c r="O6" s="458"/>
      <c r="P6" s="459"/>
      <c r="Q6" s="457">
        <f t="shared" si="0"/>
        <v>894.12900000000002</v>
      </c>
    </row>
    <row r="7" spans="1:17">
      <c r="A7" s="457" t="s">
        <v>111</v>
      </c>
      <c r="B7" s="458">
        <f>landbouw!B8</f>
        <v>4632.8959004218241</v>
      </c>
      <c r="C7" s="458">
        <f>landbouw!C8</f>
        <v>18192.857142857145</v>
      </c>
      <c r="D7" s="458">
        <f>landbouw!D8</f>
        <v>0</v>
      </c>
      <c r="E7" s="458">
        <f>landbouw!E8</f>
        <v>58.380456728729889</v>
      </c>
      <c r="F7" s="458">
        <f>landbouw!F8</f>
        <v>15984.651466227629</v>
      </c>
      <c r="G7" s="458">
        <f>landbouw!G8</f>
        <v>0</v>
      </c>
      <c r="H7" s="458">
        <f>landbouw!H8</f>
        <v>0</v>
      </c>
      <c r="I7" s="458">
        <f>landbouw!I8</f>
        <v>0</v>
      </c>
      <c r="J7" s="458">
        <f>landbouw!J8</f>
        <v>696.73487852156381</v>
      </c>
      <c r="K7" s="458">
        <f>landbouw!K8</f>
        <v>0</v>
      </c>
      <c r="L7" s="458">
        <f>landbouw!L8</f>
        <v>0</v>
      </c>
      <c r="M7" s="458">
        <f>landbouw!M8</f>
        <v>0</v>
      </c>
      <c r="N7" s="458">
        <f>landbouw!N8</f>
        <v>0</v>
      </c>
      <c r="O7" s="458">
        <f>landbouw!O8</f>
        <v>0</v>
      </c>
      <c r="P7" s="459">
        <f>landbouw!P8</f>
        <v>0</v>
      </c>
      <c r="Q7" s="457">
        <f t="shared" si="0"/>
        <v>39565.519844756891</v>
      </c>
    </row>
    <row r="8" spans="1:17">
      <c r="A8" s="457" t="s">
        <v>655</v>
      </c>
      <c r="B8" s="458">
        <f>industrie!B18</f>
        <v>4518.8307761410788</v>
      </c>
      <c r="C8" s="458">
        <f>industrie!C18</f>
        <v>0</v>
      </c>
      <c r="D8" s="458">
        <f>industrie!D18</f>
        <v>1054.0207007103406</v>
      </c>
      <c r="E8" s="458">
        <f>industrie!E18</f>
        <v>1016.81487165664</v>
      </c>
      <c r="F8" s="458">
        <f>industrie!F18</f>
        <v>2927.8266977027324</v>
      </c>
      <c r="G8" s="458">
        <f>industrie!G18</f>
        <v>0</v>
      </c>
      <c r="H8" s="458">
        <f>industrie!H18</f>
        <v>0</v>
      </c>
      <c r="I8" s="458">
        <f>industrie!I18</f>
        <v>0</v>
      </c>
      <c r="J8" s="458">
        <f>industrie!J18</f>
        <v>1.7057593298478999</v>
      </c>
      <c r="K8" s="458">
        <f>industrie!K18</f>
        <v>0</v>
      </c>
      <c r="L8" s="458">
        <f>industrie!L18</f>
        <v>0</v>
      </c>
      <c r="M8" s="458">
        <f>industrie!M18</f>
        <v>0</v>
      </c>
      <c r="N8" s="458">
        <f>industrie!N18</f>
        <v>410.79292410729028</v>
      </c>
      <c r="O8" s="458">
        <f>industrie!O18</f>
        <v>0</v>
      </c>
      <c r="P8" s="459">
        <f>industrie!P18</f>
        <v>0</v>
      </c>
      <c r="Q8" s="457">
        <f t="shared" si="0"/>
        <v>9929.9917296479307</v>
      </c>
    </row>
    <row r="9" spans="1:17" s="463" customFormat="1">
      <c r="A9" s="461" t="s">
        <v>573</v>
      </c>
      <c r="B9" s="462">
        <f>transport!B14</f>
        <v>2.2808017334691248</v>
      </c>
      <c r="C9" s="462">
        <f>transport!C14</f>
        <v>0</v>
      </c>
      <c r="D9" s="462">
        <f>transport!D14</f>
        <v>4.4158168678176262</v>
      </c>
      <c r="E9" s="462">
        <f>transport!E14</f>
        <v>153.24185639643116</v>
      </c>
      <c r="F9" s="462">
        <f>transport!F14</f>
        <v>0</v>
      </c>
      <c r="G9" s="462">
        <f>transport!G14</f>
        <v>39762.73572829007</v>
      </c>
      <c r="H9" s="462">
        <f>transport!H14</f>
        <v>7950.1265641260707</v>
      </c>
      <c r="I9" s="462">
        <f>transport!I14</f>
        <v>0</v>
      </c>
      <c r="J9" s="462">
        <f>transport!J14</f>
        <v>0</v>
      </c>
      <c r="K9" s="462">
        <f>transport!K14</f>
        <v>0</v>
      </c>
      <c r="L9" s="462">
        <f>transport!L14</f>
        <v>0</v>
      </c>
      <c r="M9" s="462">
        <f>transport!M14</f>
        <v>2157.7348166788279</v>
      </c>
      <c r="N9" s="462">
        <f>transport!N14</f>
        <v>0</v>
      </c>
      <c r="O9" s="462">
        <f>transport!O14</f>
        <v>0</v>
      </c>
      <c r="P9" s="462">
        <f>transport!P14</f>
        <v>0</v>
      </c>
      <c r="Q9" s="461">
        <f>SUM(B9:P9)</f>
        <v>50030.535584092686</v>
      </c>
    </row>
    <row r="10" spans="1:17">
      <c r="A10" s="457" t="s">
        <v>563</v>
      </c>
      <c r="B10" s="458">
        <f>transport!B54</f>
        <v>0</v>
      </c>
      <c r="C10" s="458">
        <f>transport!C54</f>
        <v>0</v>
      </c>
      <c r="D10" s="458">
        <f>transport!D54</f>
        <v>0</v>
      </c>
      <c r="E10" s="458">
        <f>transport!E54</f>
        <v>0</v>
      </c>
      <c r="F10" s="458">
        <f>transport!F54</f>
        <v>0</v>
      </c>
      <c r="G10" s="458">
        <f>transport!G54</f>
        <v>622.6034633130655</v>
      </c>
      <c r="H10" s="458">
        <f>transport!H54</f>
        <v>0</v>
      </c>
      <c r="I10" s="458">
        <f>transport!I54</f>
        <v>0</v>
      </c>
      <c r="J10" s="458">
        <f>transport!J54</f>
        <v>0</v>
      </c>
      <c r="K10" s="458">
        <f>transport!K54</f>
        <v>0</v>
      </c>
      <c r="L10" s="458">
        <f>transport!L54</f>
        <v>0</v>
      </c>
      <c r="M10" s="458">
        <f>transport!M54</f>
        <v>27.712595227043494</v>
      </c>
      <c r="N10" s="458">
        <f>transport!N54</f>
        <v>0</v>
      </c>
      <c r="O10" s="458">
        <f>transport!O54</f>
        <v>0</v>
      </c>
      <c r="P10" s="459">
        <f>transport!P54</f>
        <v>0</v>
      </c>
      <c r="Q10" s="457">
        <f t="shared" si="0"/>
        <v>650.316058540109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500.97843589261697</v>
      </c>
      <c r="C14" s="465"/>
      <c r="D14" s="465">
        <f>'SEAP template'!E25</f>
        <v>579.09287869795207</v>
      </c>
      <c r="E14" s="465"/>
      <c r="F14" s="465"/>
      <c r="G14" s="465"/>
      <c r="H14" s="465"/>
      <c r="I14" s="465"/>
      <c r="J14" s="465"/>
      <c r="K14" s="465"/>
      <c r="L14" s="465"/>
      <c r="M14" s="465"/>
      <c r="N14" s="465"/>
      <c r="O14" s="465"/>
      <c r="P14" s="466"/>
      <c r="Q14" s="457">
        <f t="shared" si="0"/>
        <v>1080.071314590569</v>
      </c>
    </row>
    <row r="15" spans="1:17" s="470" customFormat="1">
      <c r="A15" s="467" t="s">
        <v>567</v>
      </c>
      <c r="B15" s="468">
        <f ca="1">SUM(B4:B14)</f>
        <v>41948.937843385742</v>
      </c>
      <c r="C15" s="468">
        <f t="shared" ref="C15:Q15" ca="1" si="1">SUM(C4:C14)</f>
        <v>18192.857142857145</v>
      </c>
      <c r="D15" s="468">
        <f t="shared" ca="1" si="1"/>
        <v>32205.900695027813</v>
      </c>
      <c r="E15" s="468">
        <f t="shared" si="1"/>
        <v>14597.049810380458</v>
      </c>
      <c r="F15" s="468">
        <f t="shared" ca="1" si="1"/>
        <v>43277.411386701235</v>
      </c>
      <c r="G15" s="468">
        <f t="shared" si="1"/>
        <v>40385.339191603132</v>
      </c>
      <c r="H15" s="468">
        <f t="shared" si="1"/>
        <v>7950.1265641260707</v>
      </c>
      <c r="I15" s="468">
        <f t="shared" si="1"/>
        <v>0</v>
      </c>
      <c r="J15" s="468">
        <f t="shared" si="1"/>
        <v>8126.2539494782968</v>
      </c>
      <c r="K15" s="468">
        <f t="shared" si="1"/>
        <v>0</v>
      </c>
      <c r="L15" s="468">
        <f t="shared" ca="1" si="1"/>
        <v>0</v>
      </c>
      <c r="M15" s="468">
        <f t="shared" si="1"/>
        <v>2185.4474119058714</v>
      </c>
      <c r="N15" s="468">
        <f t="shared" ca="1" si="1"/>
        <v>19539.814262976899</v>
      </c>
      <c r="O15" s="468">
        <f t="shared" si="1"/>
        <v>167.27666666666667</v>
      </c>
      <c r="P15" s="468">
        <f t="shared" si="1"/>
        <v>190.66666666666666</v>
      </c>
      <c r="Q15" s="468">
        <f t="shared" ca="1" si="1"/>
        <v>228767.08159177602</v>
      </c>
    </row>
    <row r="17" spans="1:17">
      <c r="A17" s="471" t="s">
        <v>568</v>
      </c>
      <c r="B17" s="777">
        <f ca="1">huishoudens!B10</f>
        <v>0.19720146296057209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3481.2400903082212</v>
      </c>
      <c r="C22" s="458">
        <f t="shared" ref="C22:C32" ca="1" si="3">C4*$C$17</f>
        <v>0</v>
      </c>
      <c r="D22" s="458">
        <f t="shared" ref="D22:D32" si="4">D4*$D$17</f>
        <v>4317.8735465131749</v>
      </c>
      <c r="E22" s="458">
        <f t="shared" ref="E22:E32" si="5">E4*$E$17</f>
        <v>2997.4644567381438</v>
      </c>
      <c r="F22" s="458">
        <f t="shared" ref="F22:F32" si="6">F4*$F$17</f>
        <v>5776.6223192950329</v>
      </c>
      <c r="G22" s="458">
        <f t="shared" ref="G22:G32" si="7">G4*$G$17</f>
        <v>0</v>
      </c>
      <c r="H22" s="458">
        <f t="shared" ref="H22:H32" si="8">H4*$H$17</f>
        <v>0</v>
      </c>
      <c r="I22" s="458">
        <f t="shared" ref="I22:I32" si="9">I4*$I$17</f>
        <v>0</v>
      </c>
      <c r="J22" s="458">
        <f t="shared" ref="J22:J32" si="10">J4*$J$17</f>
        <v>2629.4459123159172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19202.646325170492</v>
      </c>
    </row>
    <row r="23" spans="1:17">
      <c r="A23" s="457" t="s">
        <v>155</v>
      </c>
      <c r="B23" s="458">
        <f t="shared" ca="1" si="2"/>
        <v>2710.8509280322942</v>
      </c>
      <c r="C23" s="458">
        <f t="shared" ca="1" si="3"/>
        <v>0</v>
      </c>
      <c r="D23" s="458">
        <f t="shared" ca="1" si="4"/>
        <v>1856.9374558346688</v>
      </c>
      <c r="E23" s="458">
        <f t="shared" si="5"/>
        <v>37.210609272751675</v>
      </c>
      <c r="F23" s="458">
        <f t="shared" ca="1" si="6"/>
        <v>728.81485118479088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5333.8138443245061</v>
      </c>
    </row>
    <row r="24" spans="1:17">
      <c r="A24" s="457" t="s">
        <v>193</v>
      </c>
      <c r="B24" s="458">
        <f t="shared" ca="1" si="2"/>
        <v>176.32354687547337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176.32354687547337</v>
      </c>
    </row>
    <row r="25" spans="1:17">
      <c r="A25" s="457" t="s">
        <v>111</v>
      </c>
      <c r="B25" s="458">
        <f t="shared" ca="1" si="2"/>
        <v>913.61384930722056</v>
      </c>
      <c r="C25" s="458">
        <f t="shared" ca="1" si="3"/>
        <v>4323.4789915966394</v>
      </c>
      <c r="D25" s="458">
        <f t="shared" si="4"/>
        <v>0</v>
      </c>
      <c r="E25" s="458">
        <f t="shared" si="5"/>
        <v>13.252363677421686</v>
      </c>
      <c r="F25" s="458">
        <f t="shared" si="6"/>
        <v>4267.9019414827771</v>
      </c>
      <c r="G25" s="458">
        <f t="shared" si="7"/>
        <v>0</v>
      </c>
      <c r="H25" s="458">
        <f t="shared" si="8"/>
        <v>0</v>
      </c>
      <c r="I25" s="458">
        <f t="shared" si="9"/>
        <v>0</v>
      </c>
      <c r="J25" s="458">
        <f t="shared" si="10"/>
        <v>246.64414699663357</v>
      </c>
      <c r="K25" s="458">
        <f t="shared" si="11"/>
        <v>0</v>
      </c>
      <c r="L25" s="458">
        <f t="shared" si="12"/>
        <v>0</v>
      </c>
      <c r="M25" s="458">
        <f t="shared" si="13"/>
        <v>0</v>
      </c>
      <c r="N25" s="458">
        <f t="shared" si="14"/>
        <v>0</v>
      </c>
      <c r="O25" s="458">
        <f t="shared" si="15"/>
        <v>0</v>
      </c>
      <c r="P25" s="459">
        <f t="shared" si="16"/>
        <v>0</v>
      </c>
      <c r="Q25" s="457">
        <f t="shared" ca="1" si="17"/>
        <v>9764.891293060693</v>
      </c>
    </row>
    <row r="26" spans="1:17">
      <c r="A26" s="457" t="s">
        <v>655</v>
      </c>
      <c r="B26" s="458">
        <f t="shared" ca="1" si="2"/>
        <v>891.1200399262782</v>
      </c>
      <c r="C26" s="458">
        <f t="shared" ca="1" si="3"/>
        <v>0</v>
      </c>
      <c r="D26" s="458">
        <f t="shared" si="4"/>
        <v>212.91218154348883</v>
      </c>
      <c r="E26" s="458">
        <f t="shared" si="5"/>
        <v>230.81697586605728</v>
      </c>
      <c r="F26" s="458">
        <f t="shared" si="6"/>
        <v>781.72972828662955</v>
      </c>
      <c r="G26" s="458">
        <f t="shared" si="7"/>
        <v>0</v>
      </c>
      <c r="H26" s="458">
        <f t="shared" si="8"/>
        <v>0</v>
      </c>
      <c r="I26" s="458">
        <f t="shared" si="9"/>
        <v>0</v>
      </c>
      <c r="J26" s="458">
        <f t="shared" si="10"/>
        <v>0.60383880276615653</v>
      </c>
      <c r="K26" s="458">
        <f t="shared" si="11"/>
        <v>0</v>
      </c>
      <c r="L26" s="458">
        <f t="shared" si="12"/>
        <v>0</v>
      </c>
      <c r="M26" s="458">
        <f t="shared" si="13"/>
        <v>0</v>
      </c>
      <c r="N26" s="458">
        <f t="shared" si="14"/>
        <v>0</v>
      </c>
      <c r="O26" s="458">
        <f t="shared" si="15"/>
        <v>0</v>
      </c>
      <c r="P26" s="459">
        <f t="shared" si="16"/>
        <v>0</v>
      </c>
      <c r="Q26" s="457">
        <f t="shared" ca="1" si="17"/>
        <v>2117.1827644252198</v>
      </c>
    </row>
    <row r="27" spans="1:17" s="463" customFormat="1">
      <c r="A27" s="461" t="s">
        <v>573</v>
      </c>
      <c r="B27" s="771">
        <f t="shared" ca="1" si="2"/>
        <v>0.44977743856312025</v>
      </c>
      <c r="C27" s="462">
        <f t="shared" ca="1" si="3"/>
        <v>0</v>
      </c>
      <c r="D27" s="462">
        <f t="shared" si="4"/>
        <v>0.89199500729916059</v>
      </c>
      <c r="E27" s="462">
        <f t="shared" si="5"/>
        <v>34.785901401989875</v>
      </c>
      <c r="F27" s="462">
        <f t="shared" si="6"/>
        <v>0</v>
      </c>
      <c r="G27" s="462">
        <f t="shared" si="7"/>
        <v>10616.65043945345</v>
      </c>
      <c r="H27" s="462">
        <f t="shared" si="8"/>
        <v>1979.5815144673916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12632.359627768692</v>
      </c>
    </row>
    <row r="28" spans="1:17">
      <c r="A28" s="457" t="s">
        <v>563</v>
      </c>
      <c r="B28" s="458">
        <f t="shared" ca="1" si="2"/>
        <v>0</v>
      </c>
      <c r="C28" s="458">
        <f t="shared" ca="1" si="3"/>
        <v>0</v>
      </c>
      <c r="D28" s="458">
        <f t="shared" si="4"/>
        <v>0</v>
      </c>
      <c r="E28" s="458">
        <f t="shared" si="5"/>
        <v>0</v>
      </c>
      <c r="F28" s="458">
        <f t="shared" si="6"/>
        <v>0</v>
      </c>
      <c r="G28" s="458">
        <f t="shared" si="7"/>
        <v>166.23512470458849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166.23512470458849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98.793680469723242</v>
      </c>
      <c r="C32" s="458">
        <f t="shared" ca="1" si="3"/>
        <v>0</v>
      </c>
      <c r="D32" s="458">
        <f t="shared" si="4"/>
        <v>116.97676149698633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215.77044196670957</v>
      </c>
    </row>
    <row r="33" spans="1:17" s="470" customFormat="1">
      <c r="A33" s="467" t="s">
        <v>567</v>
      </c>
      <c r="B33" s="468">
        <f ca="1">SUM(B22:B32)</f>
        <v>8272.3919123577743</v>
      </c>
      <c r="C33" s="468">
        <f t="shared" ref="C33:Q33" ca="1" si="18">SUM(C22:C32)</f>
        <v>4323.4789915966394</v>
      </c>
      <c r="D33" s="468">
        <f t="shared" ca="1" si="18"/>
        <v>6505.5919403956186</v>
      </c>
      <c r="E33" s="468">
        <f t="shared" si="18"/>
        <v>3313.5303069563647</v>
      </c>
      <c r="F33" s="468">
        <f t="shared" ca="1" si="18"/>
        <v>11555.068840249231</v>
      </c>
      <c r="G33" s="468">
        <f t="shared" si="18"/>
        <v>10782.885564158038</v>
      </c>
      <c r="H33" s="468">
        <f t="shared" si="18"/>
        <v>1979.5815144673916</v>
      </c>
      <c r="I33" s="468">
        <f t="shared" si="18"/>
        <v>0</v>
      </c>
      <c r="J33" s="468">
        <f t="shared" si="18"/>
        <v>2876.6938981153166</v>
      </c>
      <c r="K33" s="468">
        <f t="shared" si="18"/>
        <v>0</v>
      </c>
      <c r="L33" s="468">
        <f t="shared" ca="1" si="18"/>
        <v>0</v>
      </c>
      <c r="M33" s="468">
        <f t="shared" si="18"/>
        <v>0</v>
      </c>
      <c r="N33" s="468">
        <f t="shared" ca="1" si="18"/>
        <v>0</v>
      </c>
      <c r="O33" s="468">
        <f t="shared" si="18"/>
        <v>0</v>
      </c>
      <c r="P33" s="468">
        <f t="shared" si="18"/>
        <v>0</v>
      </c>
      <c r="Q33" s="468">
        <f t="shared" ca="1" si="18"/>
        <v>49609.222968296359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5476.5775798557534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12735</v>
      </c>
      <c r="D8" s="1034">
        <f>'SEAP template'!D76</f>
        <v>14982.352941176472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3026.4352941176476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5476.5775798557534</v>
      </c>
      <c r="C10" s="1038">
        <f>SUM(C4:C9)</f>
        <v>12735</v>
      </c>
      <c r="D10" s="1038">
        <f t="shared" ref="D10:H10" si="0">SUM(D8:D9)</f>
        <v>14982.352941176472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3026.4352941176476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0.19720146296057209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18192.857142857145</v>
      </c>
      <c r="D17" s="1035">
        <f>'SEAP template'!D87</f>
        <v>21403.361344537818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4323.4789915966394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18192.857142857145</v>
      </c>
      <c r="D20" s="1038">
        <f t="shared" ref="D20:H20" si="2">SUM(D17:D19)</f>
        <v>21403.361344537818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4323.4789915966394</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0.19720146296057209</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2020-06-20T16:18:25Z</dcterms:modified>
</cp:coreProperties>
</file>