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G10" i="18" s="1"/>
  <c r="F9" i="18"/>
  <c r="F10" i="18" s="1"/>
  <c r="D9" i="18"/>
  <c r="B46" i="18"/>
  <c r="I50" i="18" s="1"/>
  <c r="H17" i="18" s="1"/>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B17" i="18"/>
  <c r="G12" i="18"/>
  <c r="F12" i="18"/>
  <c r="E12" i="18"/>
  <c r="D12" i="18"/>
  <c r="C12" i="18"/>
  <c r="L10" i="18"/>
  <c r="K10" i="18"/>
  <c r="D10" i="18"/>
  <c r="B6" i="18"/>
  <c r="B5" i="18"/>
  <c r="B4" i="18"/>
  <c r="B50" i="18" l="1"/>
  <c r="C17" i="18" s="1"/>
  <c r="C46" i="18"/>
  <c r="B20" i="18"/>
  <c r="F50" i="18"/>
  <c r="C50" i="18"/>
  <c r="G50" i="18"/>
  <c r="I17" i="18" s="1"/>
  <c r="I20" i="18" s="1"/>
  <c r="F20" i="18"/>
  <c r="O18" i="18"/>
  <c r="H20" i="18"/>
  <c r="G20" i="18"/>
  <c r="K20" i="18"/>
  <c r="B10" i="18"/>
  <c r="O19" i="18"/>
  <c r="O9" i="18"/>
  <c r="C20" i="18"/>
  <c r="D50" i="18"/>
  <c r="H50" i="18"/>
  <c r="E49" i="18"/>
  <c r="E8" i="18" s="1"/>
  <c r="E10" i="18" s="1"/>
  <c r="E50" i="18"/>
  <c r="E17" i="18" s="1"/>
  <c r="E20" i="18" s="1"/>
  <c r="N6" i="17"/>
  <c r="I49" i="18" l="1"/>
  <c r="H8" i="18" s="1"/>
  <c r="H10" i="18" s="1"/>
  <c r="G49" i="18"/>
  <c r="F49" i="18"/>
  <c r="D49" i="18"/>
  <c r="C49" i="18"/>
  <c r="B49" i="18"/>
  <c r="C8" i="18" s="1"/>
  <c r="C10" i="18" s="1"/>
  <c r="H49"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4" i="48"/>
  <c r="P22" i="48" s="1"/>
  <c r="Q11" i="14"/>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R10" i="14"/>
  <c r="H63" i="14"/>
  <c r="E8" i="48"/>
  <c r="E26" i="48" s="1"/>
  <c r="F13" i="14"/>
  <c r="F16" i="14" s="1"/>
  <c r="F27" i="14" s="1"/>
  <c r="F63" i="14" s="1"/>
  <c r="N63" i="14"/>
  <c r="J22" i="16"/>
  <c r="K43" i="14" s="1"/>
  <c r="K46" i="14" s="1"/>
  <c r="K61" i="14" s="1"/>
  <c r="K63" i="14" s="1"/>
  <c r="K13" i="14"/>
  <c r="K16" i="14" s="1"/>
  <c r="K27" i="14" s="1"/>
  <c r="J8" i="48"/>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<sst xmlns="http://schemas.openxmlformats.org/spreadsheetml/2006/main" count="2474" uniqueCount="939">
  <si>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</si>
  <si>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</si>
  <si>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</si>
  <si>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</si>
  <si>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</si>
  <si>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</si>
  <si>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</si>
  <si>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</si>
  <si>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</si>
  <si>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</si>
  <si>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</si>
  <si>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</si>
  <si>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</si>
  <si>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</si>
  <si>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</si>
  <si>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</si>
  <si>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</si>
  <si>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</si>
  <si>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</si>
  <si>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</si>
  <si>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</si>
  <si>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</si>
  <si>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</si>
  <si>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</si>
  <si>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</si>
  <si>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</si>
  <si>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</si>
  <si>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</si>
  <si>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</si>
  <si>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</si>
  <si>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</si>
  <si>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</si>
  <si>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</si>
  <si>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</si>
  <si>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</si>
  <si>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</si>
  <si>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</si>
  <si>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</si>
  <si>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</si>
  <si>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</si>
  <si>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</si>
  <si>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</si>
  <si>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</si>
  <si>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</si>
  <si>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</si>
  <si>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</si>
  <si>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</si>
  <si>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</si>
  <si>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</si>
  <si>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</si>
  <si>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</si>
  <si>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</si>
  <si>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</si>
  <si>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</si>
  <si>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</si>
  <si>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</si>
  <si>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</si>
  <si>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</si>
  <si>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</si>
  <si>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</si>
  <si>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</si>
  <si>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</si>
  <si>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</si>
  <si>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</si>
  <si>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</si>
  <si>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</si>
  <si>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</si>
  <si>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</si>
  <si>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</si>
  <si>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</si>
  <si>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</si>
  <si>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</si>
  <si>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</si>
  <si>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</si>
  <si>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</si>
  <si>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</si>
  <si>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</si>
  <si>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</si>
  <si>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</si>
  <si>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</si>
  <si>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</si>
  <si>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</si>
  <si>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</si>
  <si>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</si>
  <si>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</si>
  <si>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</si>
  <si>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</si>
  <si>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</si>
  <si>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</si>
  <si>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</si>
  <si>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</si>
  <si>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</si>
  <si>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</si>
  <si>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</si>
  <si>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</si>
  <si>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</si>
  <si>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</si>
  <si>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</si>
  <si>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</si>
  <si>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</si>
  <si>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</si>
  <si>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</si>
  <si>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</si>
  <si>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</si>
  <si>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</si>
  <si>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</si>
  <si>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</si>
  <si>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</si>
  <si>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</si>
  <si>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</si>
  <si>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</si>
  <si>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</si>
  <si>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</si>
  <si>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</si>
  <si>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</si>
  <si>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</si>
  <si>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</si>
  <si>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</si>
  <si>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</si>
  <si>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</si>
  <si>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</si>
  <si>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</si>
  <si>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</si>
  <si>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</si>
  <si>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</si>
  <si>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</si>
  <si>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</si>
  <si>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</si>
  <si>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</si>
  <si>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</si>
  <si>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</si>
  <si>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</si>
  <si>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</si>
  <si>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</si>
  <si>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</si>
  <si>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</si>
  <si>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</si>
  <si>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</si>
  <si>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</si>
  <si>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</si>
  <si>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</si>
  <si>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</si>
  <si>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</si>
  <si>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</si>
  <si>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</si>
  <si>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</si>
  <si>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</si>
  <si>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</si>
  <si>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</si>
  <si>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</si>
  <si>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</si>
  <si>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</si>
  <si>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</si>
  <si>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</si>
  <si>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</si>
  <si>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</si>
  <si>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</si>
  <si>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</si>
  <si>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</si>
  <si>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</si>
  <si>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</si>
  <si>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</si>
  <si>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</si>
  <si>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</si>
  <si>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</si>
  <si>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</si>
  <si>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</si>
  <si>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</si>
  <si>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</si>
  <si>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</si>
  <si>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</si>
  <si>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</si>
  <si>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</si>
  <si>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</si>
  <si>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</si>
  <si>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</si>
  <si>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</si>
  <si>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</si>
  <si>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</si>
  <si>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</si>
  <si>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</si>
  <si>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</si>
  <si>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</si>
  <si>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</si>
  <si>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</si>
  <si>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</si>
  <si>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</si>
  <si>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</si>
  <si>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</si>
  <si>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</si>
  <si>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</si>
  <si>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</si>
  <si>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</si>
  <si>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</si>
  <si>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</si>
  <si>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</si>
  <si>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</si>
  <si>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</si>
  <si>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</si>
  <si>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</si>
  <si>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</si>
  <si>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</si>
  <si>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</si>
  <si>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</si>
  <si>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</si>
  <si>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</si>
  <si>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</si>
  <si>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</si>
  <si>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</si>
  <si>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</si>
  <si>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</si>
  <si>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</si>
  <si>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</si>
  <si>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</si>
  <si>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</si>
  <si>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</si>
  <si>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</si>
  <si>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</si>
  <si>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</si>
  <si>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</si>
  <si>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</si>
  <si>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</si>
  <si>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</si>
  <si>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</si>
  <si>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</si>
  <si>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</si>
  <si>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</si>
  <si>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</si>
  <si>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</si>
  <si>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</si>
  <si>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</si>
  <si>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</si>
  <si>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</si>
  <si>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</si>
  <si>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</si>
  <si>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</si>
  <si>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</si>
  <si>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</si>
  <si>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</si>
  <si>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</si>
  <si>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</si>
  <si>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</si>
  <si>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</si>
  <si>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</si>
  <si>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</si>
  <si>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</si>
  <si>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</si>
  <si>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</si>
  <si>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</si>
  <si>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</si>
  <si>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</si>
  <si>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</si>
  <si>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</si>
  <si>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</si>
  <si>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</si>
  <si>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</si>
  <si>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</si>
  <si>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</si>
  <si>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</si>
  <si>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</si>
  <si>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</si>
  <si>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</si>
  <si>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</si>
  <si>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</si>
  <si>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</si>
  <si>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</si>
  <si>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</si>
  <si>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</si>
  <si>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</si>
  <si>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</si>
  <si>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</si>
  <si>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</si>
  <si>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</si>
  <si>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</si>
  <si>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</si>
  <si>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</si>
  <si>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</si>
  <si>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</si>
  <si>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</si>
  <si>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</si>
  <si>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</si>
  <si>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</si>
  <si>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</si>
  <si>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</si>
  <si>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</si>
  <si>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</si>
  <si>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</si>
  <si>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</si>
  <si>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</si>
  <si>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</si>
  <si>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</si>
  <si>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</si>
  <si>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</si>
  <si>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</si>
  <si>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</si>
  <si>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</si>
  <si>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</si>
  <si>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</si>
  <si>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</si>
  <si>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</si>
  <si>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</si>
  <si>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</si>
  <si>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</si>
  <si>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</si>
  <si>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</si>
  <si>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</si>
  <si>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</si>
  <si>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</si>
  <si>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</si>
  <si>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</si>
  <si>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</si>
  <si>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</si>
  <si>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</si>
  <si>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</si>
  <si>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</si>
  <si>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</si>
  <si>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</si>
  <si>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</si>
  <si>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</si>
  <si>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</si>
  <si>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</si>
  <si>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</si>
  <si>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</si>
  <si>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</si>
  <si>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</si>
  <si>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</si>
  <si>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</si>
  <si>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</si>
  <si>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</si>
  <si>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</si>
  <si>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</si>
  <si>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</si>
  <si>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</si>
  <si>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</si>
  <si>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</si>
  <si>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</si>
  <si>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</si>
  <si>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</si>
  <si>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</si>
  <si>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</si>
  <si>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</si>
  <si>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</si>
  <si>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</si>
  <si>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</si>
  <si>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</si>
  <si>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</si>
  <si>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</si>
  <si>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</si>
  <si>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</si>
  <si>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</si>
  <si>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</si>
  <si>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</si>
  <si>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</si>
  <si>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</si>
  <si>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</si>
  <si>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</si>
  <si>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</si>
  <si>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</si>
  <si>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</si>
  <si>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</si>
  <si>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</si>
  <si>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</si>
  <si>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</si>
  <si>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</si>
  <si>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</si>
  <si>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</si>
  <si>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</si>
  <si>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</si>
  <si>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</si>
  <si>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</si>
  <si>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</si>
  <si>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</si>
  <si>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</si>
  <si>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</si>
  <si>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</si>
  <si>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</si>
  <si>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</si>
  <si>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</si>
  <si>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</si>
  <si>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</si>
  <si>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</si>
  <si>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</si>
  <si>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</si>
  <si>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</si>
  <si>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</si>
  <si>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</si>
  <si>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</si>
  <si>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</si>
  <si>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</si>
  <si>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</si>
  <si>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</si>
  <si>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</si>
  <si>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</si>
  <si>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</si>
  <si>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</si>
  <si>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</si>
  <si>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</si>
  <si>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</si>
  <si>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</si>
  <si>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</si>
  <si>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</si>
  <si>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</si>
  <si>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</si>
  <si>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</si>
  <si>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</si>
  <si>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</si>
  <si>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</si>
  <si>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</si>
  <si>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</si>
  <si>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</si>
  <si>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</si>
  <si>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</si>
  <si>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</si>
  <si>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</si>
  <si>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</si>
  <si>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</si>
  <si>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</si>
  <si>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</si>
  <si>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</si>
  <si>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</si>
  <si>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</si>
  <si>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</si>
  <si>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</si>
  <si>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</si>
  <si>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</si>
  <si>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</si>
  <si>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</si>
  <si>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</si>
  <si>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</si>
  <si>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</si>
  <si>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</si>
  <si>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</si>
  <si>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</si>
  <si>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</si>
  <si>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</si>
  <si>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</si>
  <si>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</si>
  <si>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</si>
  <si>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</si>
  <si>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</si>
  <si>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</si>
  <si>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</si>
  <si>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</si>
  <si>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</si>
  <si>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</si>
  <si>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</si>
  <si>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</si>
  <si>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</si>
  <si>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</si>
  <si>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</si>
  <si>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</si>
  <si>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</si>
  <si>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</si>
  <si>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</si>
  <si>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</si>
  <si>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</si>
  <si>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</si>
  <si>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</si>
  <si>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</si>
  <si>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</si>
  <si>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</si>
  <si>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</si>
  <si>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</si>
  <si>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</si>
  <si>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</si>
  <si>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</si>
  <si>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</si>
  <si>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</si>
  <si>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</si>
  <si>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</si>
  <si>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</si>
  <si>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</si>
  <si>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</si>
  <si>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</si>
  <si>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</si>
  <si>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</si>
  <si>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</si>
  <si>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</si>
  <si>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</si>
  <si>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</si>
  <si>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</si>
  <si>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</si>
  <si>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</si>
  <si>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</si>
  <si>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</si>
  <si>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</si>
  <si>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</si>
  <si>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</si>
  <si>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</si>
  <si>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</si>
  <si>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</si>
  <si>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</si>
  <si>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</si>
  <si>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</si>
  <si>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</si>
  <si>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</si>
  <si>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</si>
  <si>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</si>
  <si>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</si>
  <si>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</si>
  <si>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</si>
  <si>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</si>
  <si>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</si>
  <si>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</si>
  <si>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</si>
  <si>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</si>
  <si>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</si>
  <si>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</si>
  <si>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</si>
  <si>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</si>
  <si>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</si>
  <si>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</si>
  <si>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</si>
  <si>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</si>
  <si>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</si>
  <si>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</si>
  <si>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</si>
  <si>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</si>
  <si>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</si>
  <si>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</si>
  <si>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</si>
  <si>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</si>
  <si>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</si>
  <si>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</si>
  <si>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</si>
  <si>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</si>
  <si>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</si>
  <si>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</si>
  <si>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</si>
  <si>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</si>
  <si>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</si>
  <si>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</si>
  <si>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</si>
  <si>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</si>
  <si>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</si>
  <si>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</si>
  <si>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</si>
  <si>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</si>
  <si>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</si>
  <si>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</si>
  <si>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</si>
  <si>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</si>
  <si>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</si>
  <si>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</si>
  <si>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</si>
  <si>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</si>
  <si>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</si>
  <si>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</si>
  <si>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</si>
  <si>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</si>
  <si>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</si>
  <si>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</si>
  <si>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</si>
  <si>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</si>
  <si>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</si>
  <si>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</si>
  <si>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</si>
  <si>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</si>
  <si>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</si>
  <si>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</si>
  <si>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</si>
  <si>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</si>
  <si>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</si>
  <si>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</si>
  <si>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</si>
  <si>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</si>
  <si>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</si>
  <si>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</si>
  <si>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</si>
  <si>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</si>
  <si>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</si>
  <si>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</si>
  <si>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</si>
  <si>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</si>
  <si>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</si>
  <si>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</si>
  <si>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</si>
  <si>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</si>
  <si>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</si>
  <si>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</si>
  <si>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</si>
  <si>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</si>
  <si>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</si>
  <si>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</si>
  <si>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</si>
  <si>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</si>
  <si>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</si>
  <si>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</si>
  <si>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</si>
  <si>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</si>
  <si>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</si>
  <si>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</si>
  <si>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</si>
  <si>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</si>
  <si>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</si>
  <si>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</si>
  <si>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</si>
  <si>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</si>
  <si>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</si>
  <si>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</si>
  <si>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</si>
  <si>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</si>
  <si>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</si>
  <si>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</si>
  <si>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</si>
  <si>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</si>
  <si>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</si>
  <si>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</si>
  <si>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</si>
  <si>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</si>
  <si>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</si>
  <si>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</si>
  <si>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</si>
  <si>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</si>
  <si>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</si>
  <si>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</si>
  <si>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</si>
  <si>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</si>
  <si>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</si>
  <si>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</si>
  <si>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</si>
  <si>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</si>
  <si>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</si>
  <si>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</si>
  <si>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</si>
  <si>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</si>
  <si>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</si>
  <si>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</si>
  <si>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</si>
  <si>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</si>
  <si>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</si>
  <si>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</si>
  <si>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</si>
  <si>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</si>
  <si>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</si>
  <si>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</si>
  <si>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</si>
  <si>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</si>
  <si>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</si>
  <si>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</si>
  <si>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</si>
  <si>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</si>
  <si>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</si>
  <si>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</si>
  <si>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</si>
  <si>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</si>
  <si>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</si>
  <si>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</si>
  <si>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</si>
  <si>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</si>
  <si>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</si>
  <si>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</si>
  <si>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</si>
  <si>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</si>
  <si>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</si>
  <si>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</si>
  <si>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</si>
  <si>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</si>
  <si>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</si>
  <si>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</si>
  <si>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</si>
  <si>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</si>
  <si>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</si>
  <si>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</si>
  <si>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</si>
  <si>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</si>
  <si>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</si>
  <si>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</si>
  <si>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</si>
  <si>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</si>
  <si>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</si>
  <si>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</si>
  <si>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</si>
  <si>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</si>
  <si>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</si>
  <si>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</si>
  <si>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</si>
  <si>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</si>
  <si>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</si>
  <si>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</si>
  <si>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</si>
  <si>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</si>
  <si>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</si>
  <si>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</si>
  <si>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</si>
  <si>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</si>
  <si>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</si>
  <si>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</si>
  <si>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</si>
  <si>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</si>
  <si>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</si>
  <si>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</si>
  <si>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</si>
  <si>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</si>
  <si>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</si>
  <si>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</si>
  <si>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</si>
  <si>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</si>
  <si>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</si>
  <si>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</si>
  <si>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</si>
  <si>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</si>
  <si>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</si>
  <si>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</si>
  <si>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</si>
  <si>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</si>
  <si>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</si>
  <si>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</si>
  <si>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</si>
  <si>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</si>
  <si>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</si>
  <si>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</si>
  <si>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</si>
  <si>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</si>
  <si>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</si>
  <si>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</si>
  <si>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</si>
  <si>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</si>
  <si>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</si>
  <si>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</si>
  <si>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</si>
  <si>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</si>
  <si>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</si>
  <si>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</si>
  <si>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</si>
  <si>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</si>
  <si>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</si>
  <si>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</si>
  <si>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</si>
  <si>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</si>
  <si>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</si>
  <si>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</si>
  <si>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</si>
  <si>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</si>
  <si>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</si>
  <si>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</si>
  <si>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</si>
  <si>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</si>
  <si>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</si>
  <si>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</si>
  <si>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</si>
  <si>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</si>
  <si>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</si>
  <si>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</si>
  <si>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</si>
  <si>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</si>
  <si>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</si>
  <si>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</si>
  <si>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</si>
  <si>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</si>
  <si>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</si>
  <si>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</si>
  <si>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</si>
  <si>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</si>
  <si>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</si>
  <si>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</si>
  <si>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</si>
  <si>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</si>
  <si>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</si>
  <si>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</si>
  <si>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</si>
  <si>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</si>
  <si>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</si>
  <si>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</si>
  <si>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</si>
  <si>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</si>
  <si>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</si>
  <si>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</si>
  <si>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</si>
  <si>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</si>
  <si>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</si>
  <si>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</si>
  <si>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</si>
  <si>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</si>
  <si>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</si>
  <si>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</si>
  <si>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</si>
  <si>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</si>
  <si>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</si>
  <si>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</si>
  <si>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</si>
  <si>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</si>
  <si>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</si>
  <si>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</si>
  <si>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</si>
  <si>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</si>
  <si>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</si>
  <si>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</si>
  <si>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</si>
  <si>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</si>
  <si>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</si>
  <si>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</si>
  <si>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</si>
  <si>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</si>
  <si>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</si>
  <si>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</si>
  <si>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</si>
  <si>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</si>
  <si>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</si>
  <si>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</si>
  <si>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</si>
  <si>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</si>
  <si>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</si>
  <si>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</si>
  <si>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</si>
  <si>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</si>
  <si>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</si>
  <si>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</si>
  <si>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</si>
  <si>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</si>
  <si>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</si>
  <si>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</si>
  <si>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</si>
  <si>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</si>
  <si>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</si>
  <si>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</si>
  <si>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</si>
  <si>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</si>
  <si>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</si>
  <si>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</si>
  <si>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</si>
  <si>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</si>
  <si>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</si>
  <si>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</si>
  <si>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</si>
  <si>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</si>
  <si>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</si>
  <si>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</si>
  <si>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</si>
  <si>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</si>
  <si>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</si>
  <si>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</si>
  <si>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</si>
  <si>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</si>
  <si>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</si>
  <si>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</si>
  <si>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</si>
  <si>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</si>
  <si>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</si>
  <si>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</si>
  <si>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</si>
  <si>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</si>
  <si>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</si>
  <si>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</si>
  <si>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</si>
  <si>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</si>
  <si>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</si>
  <si>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</si>
  <si>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</si>
  <si>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</si>
  <si>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</si>
  <si>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</si>
  <si>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</si>
  <si>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</si>
  <si>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</si>
  <si>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</si>
  <si>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</si>
  <si>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</si>
  <si>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</si>
  <si>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</si>
  <si>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</si>
  <si>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</si>
  <si>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</si>
  <si>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</si>
  <si>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</si>
  <si>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</si>
  <si>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</si>
  <si>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</si>
  <si>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</si>
  <si>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</si>
  <si>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</si>
  <si>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</si>
  <si>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</si>
  <si>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</si>
  <si>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</si>
  <si>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</si>
  <si>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</si>
  <si>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</si>
  <si>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</si>
  <si>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</si>
  <si>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</si>
  <si>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</si>
  <si>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</si>
  <si>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</si>
  <si>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</si>
  <si>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</si>
  <si>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</si>
  <si>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</si>
  <si>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</si>
  <si>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</si>
  <si>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</si>
  <si>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</si>
  <si>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</si>
  <si>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</si>
  <si>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</si>
  <si>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</si>
  <si>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</si>
  <si>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</si>
  <si>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</si>
  <si>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</si>
  <si>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</si>
  <si>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</si>
  <si>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</si>
  <si>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</si>
  <si>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</si>
  <si>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</si>
  <si>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</si>
  <si>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</si>
  <si>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</si>
  <si>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</si>
  <si>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</si>
  <si>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</si>
  <si>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</si>
  <si>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32003</t>
  </si>
  <si>
    <t>DIKSMUIDE</t>
  </si>
  <si>
    <t>Cultuurgrond (ha)</t>
  </si>
  <si>
    <t>Paarden&amp;pony's 200 - 600 kg</t>
  </si>
  <si>
    <t>Paarden&amp;pony's &lt; 200 kg</t>
  </si>
  <si>
    <t>Fluvius</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</si>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</sst>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150937.85784401628</c:v>
                </c:pt>
                <c:pt idx="1">
                  <c:v>58178.920154504318</c:v>
                </c:pt>
                <c:pt idx="2">
                  <c:v>1459.9169999999999</c:v>
                </c:pt>
                <c:pt idx="3">
                  <c:v>49552.790706331798</c:v>
                </c:pt>
                <c:pt idx="4">
                  <c:v>50908.936651680437</c:v>
                </c:pt>
                <c:pt idx="5">
                  <c:v>134560.21283649062</c:v>
                </c:pt>
                <c:pt idx="6">
                  <c:v>2006.0971729538612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150937.85784401628</c:v>
                </c:pt>
                <c:pt idx="1">
                  <c:v>58178.920154504318</c:v>
                </c:pt>
                <c:pt idx="2">
                  <c:v>1459.9169999999999</c:v>
                </c:pt>
                <c:pt idx="3">
                  <c:v>49552.790706331798</c:v>
                </c:pt>
                <c:pt idx="4">
                  <c:v>50908.936651680437</c:v>
                </c:pt>
                <c:pt idx="5">
                  <c:v>134560.21283649062</c:v>
                </c:pt>
                <c:pt idx="6">
                  <c:v>2006.0971729538612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25361.192410904183</c:v>
                </c:pt>
                <c:pt idx="2">
                  <c:v>10462.694864343699</c:v>
                </c:pt>
                <c:pt idx="3">
                  <c:v>278.4711676127871</c:v>
                </c:pt>
                <c:pt idx="4">
                  <c:v>12477.963322818578</c:v>
                </c:pt>
                <c:pt idx="5">
                  <c:v>10644.481204000087</c:v>
                </c:pt>
                <c:pt idx="6">
                  <c:v>34014.277489966618</c:v>
                </c:pt>
                <c:pt idx="7">
                  <c:v>512.80267392465066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25361.192410904183</c:v>
                </c:pt>
                <c:pt idx="2">
                  <c:v>10462.694864343699</c:v>
                </c:pt>
                <c:pt idx="3">
                  <c:v>278.4711676127871</c:v>
                </c:pt>
                <c:pt idx="4">
                  <c:v>12477.963322818578</c:v>
                </c:pt>
                <c:pt idx="5">
                  <c:v>10644.481204000087</c:v>
                </c:pt>
                <c:pt idx="6">
                  <c:v>34014.277489966618</c:v>
                </c:pt>
                <c:pt idx="7">
                  <c:v>512.80267392465066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32003</v>
      </c>
      <c r="B6" s="395"/>
      <c r="C6" s="396"/>
    </row>
    <row r="7" spans="1:7" s="393" customFormat="1" ht="15.75" customHeight="1">
      <c r="A7" s="397" t="str">
        <f>txtMunicipality</f>
        <v>DIKSMUIDE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0.19074452014243765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0.19074452014243765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6934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12267</v>
      </c>
      <c r="C14" s="332"/>
      <c r="D14" s="332"/>
      <c r="E14" s="332"/>
      <c r="F14" s="332"/>
    </row>
    <row r="15" spans="1:6">
      <c r="A15" s="1306" t="s">
        <v>183</v>
      </c>
      <c r="B15" s="1307">
        <v>177</v>
      </c>
      <c r="C15" s="332"/>
      <c r="D15" s="332"/>
      <c r="E15" s="332"/>
      <c r="F15" s="332"/>
    </row>
    <row r="16" spans="1:6">
      <c r="A16" s="1306" t="s">
        <v>6</v>
      </c>
      <c r="B16" s="1307">
        <v>6500</v>
      </c>
      <c r="C16" s="332"/>
      <c r="D16" s="332"/>
      <c r="E16" s="332"/>
      <c r="F16" s="332"/>
    </row>
    <row r="17" spans="1:6">
      <c r="A17" s="1306" t="s">
        <v>7</v>
      </c>
      <c r="B17" s="1307">
        <v>3369</v>
      </c>
      <c r="C17" s="332"/>
      <c r="D17" s="332"/>
      <c r="E17" s="332"/>
      <c r="F17" s="332"/>
    </row>
    <row r="18" spans="1:6">
      <c r="A18" s="1306" t="s">
        <v>8</v>
      </c>
      <c r="B18" s="1307">
        <v>6050</v>
      </c>
      <c r="C18" s="332"/>
      <c r="D18" s="332"/>
      <c r="E18" s="332"/>
      <c r="F18" s="332"/>
    </row>
    <row r="19" spans="1:6">
      <c r="A19" s="1306" t="s">
        <v>9</v>
      </c>
      <c r="B19" s="1307">
        <v>5881</v>
      </c>
      <c r="C19" s="332"/>
      <c r="D19" s="332"/>
      <c r="E19" s="332"/>
      <c r="F19" s="332"/>
    </row>
    <row r="20" spans="1:6">
      <c r="A20" s="1306" t="s">
        <v>10</v>
      </c>
      <c r="B20" s="1307">
        <v>4109</v>
      </c>
      <c r="C20" s="332"/>
      <c r="D20" s="332"/>
      <c r="E20" s="332"/>
      <c r="F20" s="332"/>
    </row>
    <row r="21" spans="1:6">
      <c r="A21" s="1306" t="s">
        <v>11</v>
      </c>
      <c r="B21" s="1307">
        <v>56534</v>
      </c>
      <c r="C21" s="332"/>
      <c r="D21" s="332"/>
      <c r="E21" s="332"/>
      <c r="F21" s="332"/>
    </row>
    <row r="22" spans="1:6">
      <c r="A22" s="1306" t="s">
        <v>12</v>
      </c>
      <c r="B22" s="1307">
        <v>111310</v>
      </c>
      <c r="C22" s="332"/>
      <c r="D22" s="332"/>
      <c r="E22" s="332"/>
      <c r="F22" s="332"/>
    </row>
    <row r="23" spans="1:6">
      <c r="A23" s="1306" t="s">
        <v>13</v>
      </c>
      <c r="B23" s="1307">
        <v>1649</v>
      </c>
      <c r="C23" s="332"/>
      <c r="D23" s="332"/>
      <c r="E23" s="332"/>
      <c r="F23" s="332"/>
    </row>
    <row r="24" spans="1:6">
      <c r="A24" s="1306" t="s">
        <v>14</v>
      </c>
      <c r="B24" s="1307">
        <v>101</v>
      </c>
      <c r="C24" s="332"/>
      <c r="D24" s="332"/>
      <c r="E24" s="332"/>
      <c r="F24" s="332"/>
    </row>
    <row r="25" spans="1:6">
      <c r="A25" s="1306" t="s">
        <v>15</v>
      </c>
      <c r="B25" s="1307">
        <v>12723</v>
      </c>
      <c r="C25" s="332"/>
      <c r="D25" s="332"/>
      <c r="E25" s="332"/>
      <c r="F25" s="332"/>
    </row>
    <row r="26" spans="1:6">
      <c r="A26" s="1306" t="s">
        <v>16</v>
      </c>
      <c r="B26" s="1307">
        <v>1633</v>
      </c>
      <c r="C26" s="332"/>
      <c r="D26" s="332"/>
      <c r="E26" s="332"/>
      <c r="F26" s="332"/>
    </row>
    <row r="27" spans="1:6">
      <c r="A27" s="1306" t="s">
        <v>17</v>
      </c>
      <c r="B27" s="1307">
        <v>9</v>
      </c>
      <c r="C27" s="332"/>
      <c r="D27" s="332"/>
      <c r="E27" s="332"/>
      <c r="F27" s="332"/>
    </row>
    <row r="28" spans="1:6" s="43" customFormat="1">
      <c r="A28" s="1308" t="s">
        <v>18</v>
      </c>
      <c r="B28" s="1309">
        <v>301916</v>
      </c>
      <c r="C28" s="338"/>
      <c r="D28" s="338"/>
      <c r="E28" s="338"/>
      <c r="F28" s="338"/>
    </row>
    <row r="29" spans="1:6">
      <c r="A29" s="1308" t="s">
        <v>916</v>
      </c>
      <c r="B29" s="1309">
        <v>155</v>
      </c>
      <c r="C29" s="338"/>
      <c r="D29" s="338"/>
      <c r="E29" s="338"/>
      <c r="F29" s="338"/>
    </row>
    <row r="30" spans="1:6">
      <c r="A30" s="1301" t="s">
        <v>917</v>
      </c>
      <c r="B30" s="1310">
        <v>29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13</v>
      </c>
      <c r="F36" s="1307">
        <v>179121</v>
      </c>
    </row>
    <row r="37" spans="1:6">
      <c r="A37" s="1306" t="s">
        <v>24</v>
      </c>
      <c r="B37" s="1306" t="s">
        <v>27</v>
      </c>
      <c r="C37" s="1307">
        <v>0</v>
      </c>
      <c r="D37" s="1307">
        <v>0</v>
      </c>
      <c r="E37" s="1307">
        <v>0</v>
      </c>
      <c r="F37" s="1307">
        <v>0</v>
      </c>
    </row>
    <row r="38" spans="1:6">
      <c r="A38" s="1306" t="s">
        <v>24</v>
      </c>
      <c r="B38" s="1306" t="s">
        <v>28</v>
      </c>
      <c r="C38" s="1307">
        <v>2</v>
      </c>
      <c r="D38" s="1307">
        <v>1324592</v>
      </c>
      <c r="E38" s="1307">
        <v>0</v>
      </c>
      <c r="F38" s="1307">
        <v>0</v>
      </c>
    </row>
    <row r="39" spans="1:6">
      <c r="A39" s="1306" t="s">
        <v>29</v>
      </c>
      <c r="B39" s="1306" t="s">
        <v>30</v>
      </c>
      <c r="C39" s="1307">
        <v>4261</v>
      </c>
      <c r="D39" s="1307">
        <v>70161705</v>
      </c>
      <c r="E39" s="1307">
        <v>6589</v>
      </c>
      <c r="F39" s="1307">
        <v>26749712.933550511</v>
      </c>
    </row>
    <row r="40" spans="1:6">
      <c r="A40" s="1306" t="s">
        <v>29</v>
      </c>
      <c r="B40" s="1306" t="s">
        <v>28</v>
      </c>
      <c r="C40" s="1307">
        <v>0</v>
      </c>
      <c r="D40" s="1307">
        <v>0</v>
      </c>
      <c r="E40" s="1307">
        <v>0</v>
      </c>
      <c r="F40" s="1307">
        <v>0</v>
      </c>
    </row>
    <row r="41" spans="1:6">
      <c r="A41" s="1306" t="s">
        <v>31</v>
      </c>
      <c r="B41" s="1306" t="s">
        <v>32</v>
      </c>
      <c r="C41" s="1307">
        <v>76</v>
      </c>
      <c r="D41" s="1307">
        <v>9087951</v>
      </c>
      <c r="E41" s="1307">
        <v>180</v>
      </c>
      <c r="F41" s="1307">
        <v>9969584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12</v>
      </c>
      <c r="D44" s="1307">
        <v>1534421</v>
      </c>
      <c r="E44" s="1307">
        <v>50</v>
      </c>
      <c r="F44" s="1307">
        <v>3583857</v>
      </c>
    </row>
    <row r="45" spans="1:6">
      <c r="A45" s="1306" t="s">
        <v>31</v>
      </c>
      <c r="B45" s="1306" t="s">
        <v>36</v>
      </c>
      <c r="C45" s="1307">
        <v>0</v>
      </c>
      <c r="D45" s="1307">
        <v>0</v>
      </c>
      <c r="E45" s="1307">
        <v>3</v>
      </c>
      <c r="F45" s="1307">
        <v>304024</v>
      </c>
    </row>
    <row r="46" spans="1:6">
      <c r="A46" s="1306" t="s">
        <v>31</v>
      </c>
      <c r="B46" s="1306" t="s">
        <v>37</v>
      </c>
      <c r="C46" s="1307">
        <v>0</v>
      </c>
      <c r="D46" s="1307">
        <v>0</v>
      </c>
      <c r="E46" s="1307">
        <v>0</v>
      </c>
      <c r="F46" s="1307">
        <v>0</v>
      </c>
    </row>
    <row r="47" spans="1:6">
      <c r="A47" s="1306" t="s">
        <v>31</v>
      </c>
      <c r="B47" s="1306" t="s">
        <v>38</v>
      </c>
      <c r="C47" s="1307">
        <v>3</v>
      </c>
      <c r="D47" s="1307">
        <v>95515</v>
      </c>
      <c r="E47" s="1307">
        <v>5</v>
      </c>
      <c r="F47" s="1307">
        <v>153365</v>
      </c>
    </row>
    <row r="48" spans="1:6">
      <c r="A48" s="1306" t="s">
        <v>31</v>
      </c>
      <c r="B48" s="1306" t="s">
        <v>28</v>
      </c>
      <c r="C48" s="1307">
        <v>2</v>
      </c>
      <c r="D48" s="1307">
        <v>141898</v>
      </c>
      <c r="E48" s="1307">
        <v>3</v>
      </c>
      <c r="F48" s="1307">
        <v>53550</v>
      </c>
    </row>
    <row r="49" spans="1:6">
      <c r="A49" s="1306" t="s">
        <v>31</v>
      </c>
      <c r="B49" s="1306" t="s">
        <v>39</v>
      </c>
      <c r="C49" s="1307">
        <v>0</v>
      </c>
      <c r="D49" s="1307">
        <v>0</v>
      </c>
      <c r="E49" s="1307">
        <v>0</v>
      </c>
      <c r="F49" s="1307">
        <v>0</v>
      </c>
    </row>
    <row r="50" spans="1:6">
      <c r="A50" s="1306" t="s">
        <v>31</v>
      </c>
      <c r="B50" s="1306" t="s">
        <v>40</v>
      </c>
      <c r="C50" s="1307">
        <v>16</v>
      </c>
      <c r="D50" s="1307">
        <v>1082469</v>
      </c>
      <c r="E50" s="1307">
        <v>37</v>
      </c>
      <c r="F50" s="1307">
        <v>5090923</v>
      </c>
    </row>
    <row r="51" spans="1:6">
      <c r="A51" s="1306" t="s">
        <v>41</v>
      </c>
      <c r="B51" s="1306" t="s">
        <v>42</v>
      </c>
      <c r="C51" s="1307">
        <v>33</v>
      </c>
      <c r="D51" s="1307">
        <v>1144979</v>
      </c>
      <c r="E51" s="1307">
        <v>375</v>
      </c>
      <c r="F51" s="1307">
        <v>10465520</v>
      </c>
    </row>
    <row r="52" spans="1:6">
      <c r="A52" s="1306" t="s">
        <v>41</v>
      </c>
      <c r="B52" s="1306" t="s">
        <v>28</v>
      </c>
      <c r="C52" s="1307">
        <v>0</v>
      </c>
      <c r="D52" s="1307">
        <v>0</v>
      </c>
      <c r="E52" s="1307">
        <v>1</v>
      </c>
      <c r="F52" s="1307">
        <v>38520.095372996999</v>
      </c>
    </row>
    <row r="53" spans="1:6">
      <c r="A53" s="1306" t="s">
        <v>43</v>
      </c>
      <c r="B53" s="1306" t="s">
        <v>44</v>
      </c>
      <c r="C53" s="1307">
        <v>0</v>
      </c>
      <c r="D53" s="1307">
        <v>0</v>
      </c>
      <c r="E53" s="1307">
        <v>0</v>
      </c>
      <c r="F53" s="1307">
        <v>0</v>
      </c>
    </row>
    <row r="54" spans="1:6">
      <c r="A54" s="1306" t="s">
        <v>45</v>
      </c>
      <c r="B54" s="1306" t="s">
        <v>46</v>
      </c>
      <c r="C54" s="1307">
        <v>0</v>
      </c>
      <c r="D54" s="1307">
        <v>0</v>
      </c>
      <c r="E54" s="1307">
        <v>86</v>
      </c>
      <c r="F54" s="1307">
        <v>1459917</v>
      </c>
    </row>
    <row r="55" spans="1:6">
      <c r="A55" s="1306" t="s">
        <v>45</v>
      </c>
      <c r="B55" s="1306" t="s">
        <v>28</v>
      </c>
      <c r="C55" s="1307">
        <v>0</v>
      </c>
      <c r="D55" s="1307">
        <v>0</v>
      </c>
      <c r="E55" s="1307">
        <v>0</v>
      </c>
      <c r="F55" s="1307">
        <v>0</v>
      </c>
    </row>
    <row r="56" spans="1:6">
      <c r="A56" s="1306" t="s">
        <v>47</v>
      </c>
      <c r="B56" s="1306" t="s">
        <v>28</v>
      </c>
      <c r="C56" s="1307">
        <v>136</v>
      </c>
      <c r="D56" s="1307">
        <v>6001795</v>
      </c>
      <c r="E56" s="1307">
        <v>136</v>
      </c>
      <c r="F56" s="1307">
        <v>686376</v>
      </c>
    </row>
    <row r="57" spans="1:6">
      <c r="A57" s="1306" t="s">
        <v>48</v>
      </c>
      <c r="B57" s="1306" t="s">
        <v>49</v>
      </c>
      <c r="C57" s="1307">
        <v>30</v>
      </c>
      <c r="D57" s="1307">
        <v>1495680</v>
      </c>
      <c r="E57" s="1307">
        <v>114</v>
      </c>
      <c r="F57" s="1307">
        <v>9876628</v>
      </c>
    </row>
    <row r="58" spans="1:6">
      <c r="A58" s="1306" t="s">
        <v>48</v>
      </c>
      <c r="B58" s="1306" t="s">
        <v>50</v>
      </c>
      <c r="C58" s="1307">
        <v>23</v>
      </c>
      <c r="D58" s="1307">
        <v>1524895</v>
      </c>
      <c r="E58" s="1307">
        <v>40</v>
      </c>
      <c r="F58" s="1307">
        <v>1429188</v>
      </c>
    </row>
    <row r="59" spans="1:6">
      <c r="A59" s="1306" t="s">
        <v>48</v>
      </c>
      <c r="B59" s="1306" t="s">
        <v>51</v>
      </c>
      <c r="C59" s="1307">
        <v>113</v>
      </c>
      <c r="D59" s="1307">
        <v>4465429</v>
      </c>
      <c r="E59" s="1307">
        <v>322</v>
      </c>
      <c r="F59" s="1307">
        <v>9571379</v>
      </c>
    </row>
    <row r="60" spans="1:6">
      <c r="A60" s="1306" t="s">
        <v>48</v>
      </c>
      <c r="B60" s="1306" t="s">
        <v>52</v>
      </c>
      <c r="C60" s="1307">
        <v>45</v>
      </c>
      <c r="D60" s="1307">
        <v>2838827</v>
      </c>
      <c r="E60" s="1307">
        <v>97</v>
      </c>
      <c r="F60" s="1307">
        <v>2549871</v>
      </c>
    </row>
    <row r="61" spans="1:6">
      <c r="A61" s="1306" t="s">
        <v>48</v>
      </c>
      <c r="B61" s="1306" t="s">
        <v>53</v>
      </c>
      <c r="C61" s="1307">
        <v>101</v>
      </c>
      <c r="D61" s="1307">
        <v>4707139</v>
      </c>
      <c r="E61" s="1307">
        <v>378</v>
      </c>
      <c r="F61" s="1307">
        <v>4691244</v>
      </c>
    </row>
    <row r="62" spans="1:6">
      <c r="A62" s="1306" t="s">
        <v>48</v>
      </c>
      <c r="B62" s="1306" t="s">
        <v>54</v>
      </c>
      <c r="C62" s="1307">
        <v>14</v>
      </c>
      <c r="D62" s="1307">
        <v>1779439</v>
      </c>
      <c r="E62" s="1307">
        <v>25</v>
      </c>
      <c r="F62" s="1307">
        <v>962368</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181827</v>
      </c>
      <c r="E68" s="1310">
        <v>20</v>
      </c>
      <c r="F68" s="1310">
        <v>395479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127529221</v>
      </c>
      <c r="E73" s="456"/>
      <c r="F73" s="332"/>
    </row>
    <row r="74" spans="1:6">
      <c r="A74" s="1306" t="s">
        <v>63</v>
      </c>
      <c r="B74" s="1306" t="s">
        <v>724</v>
      </c>
      <c r="C74" s="1320" t="s">
        <v>725</v>
      </c>
      <c r="D74" s="1321">
        <v>12333437.532963501</v>
      </c>
      <c r="E74" s="456"/>
      <c r="F74" s="332"/>
    </row>
    <row r="75" spans="1:6">
      <c r="A75" s="1306" t="s">
        <v>64</v>
      </c>
      <c r="B75" s="1306" t="s">
        <v>722</v>
      </c>
      <c r="C75" s="1320" t="s">
        <v>726</v>
      </c>
      <c r="D75" s="1321">
        <v>22265979</v>
      </c>
      <c r="E75" s="456"/>
      <c r="F75" s="332"/>
    </row>
    <row r="76" spans="1:6">
      <c r="A76" s="1306" t="s">
        <v>64</v>
      </c>
      <c r="B76" s="1306" t="s">
        <v>724</v>
      </c>
      <c r="C76" s="1320" t="s">
        <v>727</v>
      </c>
      <c r="D76" s="1321">
        <v>636841.53296350199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530826.93407299602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2944.2472849999999</v>
      </c>
      <c r="C90" s="332"/>
      <c r="D90" s="332"/>
      <c r="E90" s="332"/>
      <c r="F90" s="332"/>
    </row>
    <row r="91" spans="1:6">
      <c r="A91" s="1306" t="s">
        <v>67</v>
      </c>
      <c r="B91" s="1307">
        <v>3523.6664867990539</v>
      </c>
      <c r="C91" s="332"/>
      <c r="D91" s="332"/>
      <c r="E91" s="332"/>
      <c r="F91" s="332"/>
    </row>
    <row r="92" spans="1:6">
      <c r="A92" s="1301" t="s">
        <v>68</v>
      </c>
      <c r="B92" s="1302">
        <v>4124.3227538058345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2561</v>
      </c>
      <c r="C97" s="332"/>
      <c r="D97" s="332"/>
      <c r="E97" s="332"/>
      <c r="F97" s="332"/>
    </row>
    <row r="98" spans="1:6">
      <c r="A98" s="1306" t="s">
        <v>71</v>
      </c>
      <c r="B98" s="1307">
        <v>4</v>
      </c>
      <c r="C98" s="332"/>
      <c r="D98" s="332"/>
      <c r="E98" s="332"/>
      <c r="F98" s="332"/>
    </row>
    <row r="99" spans="1:6">
      <c r="A99" s="1306" t="s">
        <v>72</v>
      </c>
      <c r="B99" s="1307">
        <v>213</v>
      </c>
      <c r="C99" s="332"/>
      <c r="D99" s="332"/>
      <c r="E99" s="332"/>
      <c r="F99" s="332"/>
    </row>
    <row r="100" spans="1:6">
      <c r="A100" s="1306" t="s">
        <v>73</v>
      </c>
      <c r="B100" s="1307">
        <v>556</v>
      </c>
      <c r="C100" s="332"/>
      <c r="D100" s="332"/>
      <c r="E100" s="332"/>
      <c r="F100" s="332"/>
    </row>
    <row r="101" spans="1:6">
      <c r="A101" s="1306" t="s">
        <v>74</v>
      </c>
      <c r="B101" s="1307">
        <v>182</v>
      </c>
      <c r="C101" s="332"/>
      <c r="D101" s="332"/>
      <c r="E101" s="332"/>
      <c r="F101" s="332"/>
    </row>
    <row r="102" spans="1:6">
      <c r="A102" s="1306" t="s">
        <v>75</v>
      </c>
      <c r="B102" s="1307">
        <v>108</v>
      </c>
      <c r="C102" s="332"/>
      <c r="D102" s="332"/>
      <c r="E102" s="332"/>
      <c r="F102" s="332"/>
    </row>
    <row r="103" spans="1:6">
      <c r="A103" s="1306" t="s">
        <v>76</v>
      </c>
      <c r="B103" s="1307">
        <v>282</v>
      </c>
      <c r="C103" s="332"/>
      <c r="D103" s="332"/>
      <c r="E103" s="332"/>
      <c r="F103" s="332"/>
    </row>
    <row r="104" spans="1:6">
      <c r="A104" s="1306" t="s">
        <v>77</v>
      </c>
      <c r="B104" s="1307">
        <v>2006</v>
      </c>
      <c r="C104" s="332"/>
      <c r="D104" s="332"/>
      <c r="E104" s="332"/>
      <c r="F104" s="332"/>
    </row>
    <row r="105" spans="1:6">
      <c r="A105" s="1301" t="s">
        <v>78</v>
      </c>
      <c r="B105" s="1310">
        <v>12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8</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120</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91166.160151621196</v>
      </c>
      <c r="C3" s="43" t="s">
        <v>169</v>
      </c>
      <c r="D3" s="43"/>
      <c r="E3" s="156"/>
      <c r="F3" s="43"/>
      <c r="G3" s="43"/>
      <c r="H3" s="43"/>
      <c r="I3" s="43"/>
      <c r="J3" s="43"/>
      <c r="K3" s="96"/>
    </row>
    <row r="4" spans="1:11">
      <c r="A4" s="363" t="s">
        <v>170</v>
      </c>
      <c r="B4" s="49">
        <f>IF(ISERROR('SEAP template'!B78+'SEAP template'!C78),0,'SEAP template'!B78+'SEAP template'!C78)</f>
        <v>12480.886525604888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0.19074452014243765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62.357142857142847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1459.9169999999999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1459.9169999999999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0.19074452014243765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278.4711676127871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26749.712933550509</v>
      </c>
      <c r="C5" s="17">
        <f>IF(ISERROR('Eigen informatie GS &amp; warmtenet'!B57),0,'Eigen informatie GS &amp; warmtenet'!B57)</f>
        <v>0</v>
      </c>
      <c r="D5" s="30">
        <f>(SUM(HH_hh_gas_kWh,HH_rest_gas_kWh)/1000)*0.902</f>
        <v>63285.857910000006</v>
      </c>
      <c r="E5" s="17">
        <f>B46*B57</f>
        <v>10605.905376222361</v>
      </c>
      <c r="F5" s="17">
        <f>B51*B62</f>
        <v>11202.434289827406</v>
      </c>
      <c r="G5" s="18"/>
      <c r="H5" s="17"/>
      <c r="I5" s="17"/>
      <c r="J5" s="17">
        <f>B50*B61+C50*C61</f>
        <v>3967.1678154611882</v>
      </c>
      <c r="K5" s="17"/>
      <c r="L5" s="17"/>
      <c r="M5" s="17"/>
      <c r="N5" s="17">
        <f>B48*B59+C48*C59</f>
        <v>31020.109698822416</v>
      </c>
      <c r="O5" s="17">
        <f>B69*B70*B71</f>
        <v>201.67000000000004</v>
      </c>
      <c r="P5" s="17">
        <f>B77*B78*B79/1000-B77*B78*B79/1000/B80</f>
        <v>381.33333333333337</v>
      </c>
    </row>
    <row r="6" spans="1:16">
      <c r="A6" s="16" t="s">
        <v>633</v>
      </c>
      <c r="B6" s="779">
        <f>kWh_PV_kleiner_dan_10kW</f>
        <v>3523.6664867990539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30273.379420349564</v>
      </c>
      <c r="C8" s="21">
        <f>C5</f>
        <v>0</v>
      </c>
      <c r="D8" s="21">
        <f>D5</f>
        <v>63285.857910000006</v>
      </c>
      <c r="E8" s="21">
        <f>E5</f>
        <v>10605.905376222361</v>
      </c>
      <c r="F8" s="21">
        <f>F5</f>
        <v>11202.434289827406</v>
      </c>
      <c r="G8" s="21"/>
      <c r="H8" s="21"/>
      <c r="I8" s="21"/>
      <c r="J8" s="21">
        <f>J5</f>
        <v>3967.1678154611882</v>
      </c>
      <c r="K8" s="21"/>
      <c r="L8" s="21">
        <f>L5</f>
        <v>0</v>
      </c>
      <c r="M8" s="21">
        <f>M5</f>
        <v>0</v>
      </c>
      <c r="N8" s="21">
        <f>N5</f>
        <v>31020.109698822416</v>
      </c>
      <c r="O8" s="21">
        <f>O5</f>
        <v>201.67000000000004</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0.19074452014243765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5774.4812306245249</v>
      </c>
      <c r="C12" s="23">
        <f ca="1">C10*C8</f>
        <v>0</v>
      </c>
      <c r="D12" s="23">
        <f>D8*D10</f>
        <v>12783.743297820001</v>
      </c>
      <c r="E12" s="23">
        <f>E10*E8</f>
        <v>2407.540520402476</v>
      </c>
      <c r="F12" s="23">
        <f>F10*F8</f>
        <v>2991.0499553839177</v>
      </c>
      <c r="G12" s="23"/>
      <c r="H12" s="23"/>
      <c r="I12" s="23"/>
      <c r="J12" s="23">
        <f>J10*J8</f>
        <v>1404.3774066732606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2561</v>
      </c>
      <c r="C18" s="168" t="s">
        <v>110</v>
      </c>
      <c r="D18" s="230"/>
      <c r="E18" s="15"/>
    </row>
    <row r="19" spans="1:7">
      <c r="A19" s="173" t="s">
        <v>71</v>
      </c>
      <c r="B19" s="37">
        <f>aantalw2001_ander</f>
        <v>4</v>
      </c>
      <c r="C19" s="168" t="s">
        <v>110</v>
      </c>
      <c r="D19" s="231"/>
      <c r="E19" s="15"/>
    </row>
    <row r="20" spans="1:7">
      <c r="A20" s="173" t="s">
        <v>72</v>
      </c>
      <c r="B20" s="37">
        <f>aantalw2001_propaan</f>
        <v>213</v>
      </c>
      <c r="C20" s="169">
        <f>IF(ISERROR(B20/SUM($B$20,$B$21,$B$22)*100),0,B20/SUM($B$20,$B$21,$B$22)*100)</f>
        <v>22.397476340694006</v>
      </c>
      <c r="D20" s="231"/>
      <c r="E20" s="15"/>
    </row>
    <row r="21" spans="1:7">
      <c r="A21" s="173" t="s">
        <v>73</v>
      </c>
      <c r="B21" s="37">
        <f>aantalw2001_elektriciteit</f>
        <v>556</v>
      </c>
      <c r="C21" s="169">
        <f>IF(ISERROR(B21/SUM($B$20,$B$21,$B$22)*100),0,B21/SUM($B$20,$B$21,$B$22)*100)</f>
        <v>58.464773922187177</v>
      </c>
      <c r="D21" s="231"/>
      <c r="E21" s="15"/>
    </row>
    <row r="22" spans="1:7">
      <c r="A22" s="173" t="s">
        <v>74</v>
      </c>
      <c r="B22" s="37">
        <f>aantalw2001_hout</f>
        <v>182</v>
      </c>
      <c r="C22" s="169">
        <f>IF(ISERROR(B22/SUM($B$20,$B$21,$B$22)*100),0,B22/SUM($B$20,$B$21,$B$22)*100)</f>
        <v>19.137749737118824</v>
      </c>
      <c r="D22" s="231"/>
      <c r="E22" s="15"/>
    </row>
    <row r="23" spans="1:7">
      <c r="A23" s="173" t="s">
        <v>75</v>
      </c>
      <c r="B23" s="37">
        <f>aantalw2001_niet_gespec</f>
        <v>108</v>
      </c>
      <c r="C23" s="168" t="s">
        <v>110</v>
      </c>
      <c r="D23" s="230"/>
      <c r="E23" s="15"/>
    </row>
    <row r="24" spans="1:7">
      <c r="A24" s="173" t="s">
        <v>76</v>
      </c>
      <c r="B24" s="37">
        <f>aantalw2001_steenkool</f>
        <v>282</v>
      </c>
      <c r="C24" s="168" t="s">
        <v>110</v>
      </c>
      <c r="D24" s="231"/>
      <c r="E24" s="15"/>
    </row>
    <row r="25" spans="1:7">
      <c r="A25" s="173" t="s">
        <v>77</v>
      </c>
      <c r="B25" s="37">
        <f>aantalw2001_stookolie</f>
        <v>2006</v>
      </c>
      <c r="C25" s="168" t="s">
        <v>110</v>
      </c>
      <c r="D25" s="230"/>
      <c r="E25" s="52"/>
    </row>
    <row r="26" spans="1:7">
      <c r="A26" s="173" t="s">
        <v>78</v>
      </c>
      <c r="B26" s="37">
        <f>aantalw2001_WP</f>
        <v>12</v>
      </c>
      <c r="C26" s="168" t="s">
        <v>110</v>
      </c>
      <c r="D26" s="230"/>
      <c r="E26" s="15"/>
    </row>
    <row r="27" spans="1:7" s="15" customFormat="1">
      <c r="A27" s="173"/>
      <c r="B27" s="29"/>
      <c r="C27" s="36"/>
      <c r="D27" s="230"/>
    </row>
    <row r="28" spans="1:7" s="15" customFormat="1">
      <c r="A28" s="232" t="s">
        <v>742</v>
      </c>
      <c r="B28" s="37">
        <f>aantalHuishoudens</f>
        <v>6934</v>
      </c>
      <c r="C28" s="36"/>
      <c r="D28" s="230"/>
    </row>
    <row r="29" spans="1:7" s="15" customFormat="1">
      <c r="A29" s="232" t="s">
        <v>743</v>
      </c>
      <c r="B29" s="37">
        <f>SUM(HH_hh_gas_aantal,HH_rest_gas_aantal)</f>
        <v>4261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4261</v>
      </c>
      <c r="C32" s="169">
        <f>IF(ISERROR(B32/SUM($B$32,$B$34,$B$35,$B$36,$B$38,$B$39)*100),0,B32/SUM($B$32,$B$34,$B$35,$B$36,$B$38,$B$39)*100)</f>
        <v>61.628579693375762</v>
      </c>
      <c r="D32" s="235"/>
      <c r="G32" s="15"/>
    </row>
    <row r="33" spans="1:7">
      <c r="A33" s="173" t="s">
        <v>71</v>
      </c>
      <c r="B33" s="34" t="s">
        <v>110</v>
      </c>
      <c r="C33" s="169"/>
      <c r="D33" s="235"/>
      <c r="G33" s="15"/>
    </row>
    <row r="34" spans="1:7">
      <c r="A34" s="173" t="s">
        <v>72</v>
      </c>
      <c r="B34" s="33">
        <f>IF((($B$28-$B$32-$B$39-$B$77-$B$38)*C20/100)&lt;0,0,($B$28-$B$32-$B$39-$B$77-$B$38)*C20/100)</f>
        <v>462.50788643533122</v>
      </c>
      <c r="C34" s="169">
        <f>IF(ISERROR(B34/SUM($B$32,$B$34,$B$35,$B$36,$B$38,$B$39)*100),0,B34/SUM($B$32,$B$34,$B$35,$B$36,$B$38,$B$39)*100)</f>
        <v>6.6894400699353662</v>
      </c>
      <c r="D34" s="235"/>
      <c r="G34" s="15"/>
    </row>
    <row r="35" spans="1:7">
      <c r="A35" s="173" t="s">
        <v>73</v>
      </c>
      <c r="B35" s="33">
        <f>IF((($B$28-$B$32-$B$39-$B$77-$B$38)*C21/100)&lt;0,0,($B$28-$B$32-$B$39-$B$77-$B$38)*C21/100)</f>
        <v>1207.2975814931651</v>
      </c>
      <c r="C35" s="169">
        <f>IF(ISERROR(B35/SUM($B$32,$B$34,$B$35,$B$36,$B$38,$B$39)*100),0,B35/SUM($B$32,$B$34,$B$35,$B$36,$B$38,$B$39)*100)</f>
        <v>17.461636990066026</v>
      </c>
      <c r="D35" s="235"/>
      <c r="G35" s="15"/>
    </row>
    <row r="36" spans="1:7">
      <c r="A36" s="173" t="s">
        <v>74</v>
      </c>
      <c r="B36" s="33">
        <f>IF((($B$28-$B$32-$B$39-$B$77-$B$38)*C22/100)&lt;0,0,($B$28-$B$32-$B$39-$B$77-$B$38)*C22/100)</f>
        <v>395.19453207150372</v>
      </c>
      <c r="C36" s="169">
        <f>IF(ISERROR(B36/SUM($B$32,$B$34,$B$35,$B$36,$B$38,$B$39)*100),0,B36/SUM($B$32,$B$34,$B$35,$B$36,$B$38,$B$39)*100)</f>
        <v>5.7158595902734124</v>
      </c>
      <c r="D36" s="235"/>
      <c r="G36" s="15"/>
    </row>
    <row r="37" spans="1:7">
      <c r="A37" s="173" t="s">
        <v>75</v>
      </c>
      <c r="B37" s="34" t="s">
        <v>110</v>
      </c>
      <c r="C37" s="169"/>
      <c r="D37" s="175"/>
      <c r="G37" s="15"/>
    </row>
    <row r="38" spans="1:7">
      <c r="A38" s="173" t="s">
        <v>76</v>
      </c>
      <c r="B38" s="33">
        <f>IF((B24-(B29-B18)*0.1)&lt;0,0,B24-(B29-B18)*0.1)</f>
        <v>112</v>
      </c>
      <c r="C38" s="169">
        <f>IF(ISERROR(B38/SUM($B$32,$B$34,$B$35,$B$36,$B$38,$B$39)*100),0,B38/SUM($B$32,$B$34,$B$35,$B$36,$B$38,$B$39)*100)</f>
        <v>1.6199016488284639</v>
      </c>
      <c r="D38" s="236"/>
      <c r="G38" s="15"/>
    </row>
    <row r="39" spans="1:7">
      <c r="A39" s="173" t="s">
        <v>77</v>
      </c>
      <c r="B39" s="33">
        <f>IF((B25-(B29-B18))&lt;0,0,B25-(B29-B18)*0.9)</f>
        <v>476</v>
      </c>
      <c r="C39" s="169">
        <f>IF(ISERROR(B39/SUM($B$32,$B$34,$B$35,$B$36,$B$38,$B$39)*100),0,B39/SUM($B$32,$B$34,$B$35,$B$36,$B$38,$B$39)*100)</f>
        <v>6.8845820075209714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4261</v>
      </c>
      <c r="C44" s="34" t="s">
        <v>110</v>
      </c>
      <c r="D44" s="176"/>
    </row>
    <row r="45" spans="1:7">
      <c r="A45" s="173" t="s">
        <v>71</v>
      </c>
      <c r="B45" s="33" t="str">
        <f t="shared" si="0"/>
        <v>-</v>
      </c>
      <c r="C45" s="34" t="s">
        <v>110</v>
      </c>
      <c r="D45" s="176"/>
    </row>
    <row r="46" spans="1:7">
      <c r="A46" s="173" t="s">
        <v>72</v>
      </c>
      <c r="B46" s="33">
        <f t="shared" si="0"/>
        <v>462.50788643533122</v>
      </c>
      <c r="C46" s="34" t="s">
        <v>110</v>
      </c>
      <c r="D46" s="176"/>
    </row>
    <row r="47" spans="1:7">
      <c r="A47" s="173" t="s">
        <v>73</v>
      </c>
      <c r="B47" s="33">
        <f t="shared" si="0"/>
        <v>1207.2975814931651</v>
      </c>
      <c r="C47" s="34" t="s">
        <v>110</v>
      </c>
      <c r="D47" s="176"/>
    </row>
    <row r="48" spans="1:7">
      <c r="A48" s="173" t="s">
        <v>74</v>
      </c>
      <c r="B48" s="33">
        <f t="shared" si="0"/>
        <v>395.19453207150372</v>
      </c>
      <c r="C48" s="33">
        <f>B48*10</f>
        <v>3951.9453207150373</v>
      </c>
      <c r="D48" s="236"/>
    </row>
    <row r="49" spans="1:6">
      <c r="A49" s="173" t="s">
        <v>75</v>
      </c>
      <c r="B49" s="33" t="str">
        <f t="shared" si="0"/>
        <v>-</v>
      </c>
      <c r="C49" s="34" t="s">
        <v>110</v>
      </c>
      <c r="D49" s="236"/>
    </row>
    <row r="50" spans="1:6">
      <c r="A50" s="173" t="s">
        <v>76</v>
      </c>
      <c r="B50" s="33">
        <f t="shared" si="0"/>
        <v>112</v>
      </c>
      <c r="C50" s="33">
        <f>B50*2</f>
        <v>224</v>
      </c>
      <c r="D50" s="236"/>
    </row>
    <row r="51" spans="1:6">
      <c r="A51" s="173" t="s">
        <v>77</v>
      </c>
      <c r="B51" s="33">
        <f t="shared" si="0"/>
        <v>476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29080.678</v>
      </c>
      <c r="C5" s="17">
        <f>IF(ISERROR('Eigen informatie GS &amp; warmtenet'!B58),0,'Eigen informatie GS &amp; warmtenet'!B58)</f>
        <v>0</v>
      </c>
      <c r="D5" s="30">
        <f>SUM(D6:D12)</f>
        <v>15163.890918000001</v>
      </c>
      <c r="E5" s="17">
        <f>SUM(E6:E12)</f>
        <v>347.65801105662865</v>
      </c>
      <c r="F5" s="17">
        <f>SUM(F6:F12)</f>
        <v>6643.0358047606833</v>
      </c>
      <c r="G5" s="18"/>
      <c r="H5" s="17"/>
      <c r="I5" s="17"/>
      <c r="J5" s="17">
        <f>SUM(J6:J12)</f>
        <v>0</v>
      </c>
      <c r="K5" s="17"/>
      <c r="L5" s="17"/>
      <c r="M5" s="17"/>
      <c r="N5" s="17">
        <f>SUM(N6:N12)</f>
        <v>6921.4640873536728</v>
      </c>
      <c r="O5" s="17">
        <f>B38*B39*B40</f>
        <v>3.1266666666666669</v>
      </c>
      <c r="P5" s="17">
        <f>B46*B47*B48/1000-B46*B47*B48/1000/B49</f>
        <v>19.066666666666666</v>
      </c>
      <c r="R5" s="32"/>
    </row>
    <row r="6" spans="1:18">
      <c r="A6" s="32" t="s">
        <v>53</v>
      </c>
      <c r="B6" s="37">
        <f>B26</f>
        <v>4691.2439999999997</v>
      </c>
      <c r="C6" s="33"/>
      <c r="D6" s="37">
        <f>IF(ISERROR(TER_kantoor_gas_kWh/1000),0,TER_kantoor_gas_kWh/1000)*0.902</f>
        <v>4245.8393780000006</v>
      </c>
      <c r="E6" s="33">
        <f>$C$26*'E Balans VL '!I12/100/3.6*1000000</f>
        <v>18.226476134223105</v>
      </c>
      <c r="F6" s="33">
        <f>$C$26*('E Balans VL '!L12+'E Balans VL '!N12)/100/3.6*1000000</f>
        <v>713.49552548289637</v>
      </c>
      <c r="G6" s="34"/>
      <c r="H6" s="33"/>
      <c r="I6" s="33"/>
      <c r="J6" s="33">
        <f>$C$26*('E Balans VL '!D12+'E Balans VL '!E12)/100/3.6*1000000</f>
        <v>0</v>
      </c>
      <c r="K6" s="33"/>
      <c r="L6" s="33"/>
      <c r="M6" s="33"/>
      <c r="N6" s="33">
        <f>$C$26*'E Balans VL '!Y12/100/3.6*1000000</f>
        <v>2.5854374411909271</v>
      </c>
      <c r="O6" s="33"/>
      <c r="P6" s="33"/>
      <c r="R6" s="32"/>
    </row>
    <row r="7" spans="1:18">
      <c r="A7" s="32" t="s">
        <v>52</v>
      </c>
      <c r="B7" s="37">
        <f t="shared" ref="B7:B12" si="0">B27</f>
        <v>2549.8710000000001</v>
      </c>
      <c r="C7" s="33"/>
      <c r="D7" s="37">
        <f>IF(ISERROR(TER_horeca_gas_kWh/1000),0,TER_horeca_gas_kWh/1000)*0.902</f>
        <v>2560.6219540000002</v>
      </c>
      <c r="E7" s="33">
        <f>$C$27*'E Balans VL '!I9/100/3.6*1000000</f>
        <v>143.63491515255595</v>
      </c>
      <c r="F7" s="33">
        <f>$C$27*('E Balans VL '!L9+'E Balans VL '!N9)/100/3.6*1000000</f>
        <v>735.23013873958325</v>
      </c>
      <c r="G7" s="34"/>
      <c r="H7" s="33"/>
      <c r="I7" s="33"/>
      <c r="J7" s="33">
        <f>$C$27*('E Balans VL '!D9+'E Balans VL '!E9)/100/3.6*1000000</f>
        <v>0</v>
      </c>
      <c r="K7" s="33"/>
      <c r="L7" s="33"/>
      <c r="M7" s="33"/>
      <c r="N7" s="33">
        <f>$C$27*'E Balans VL '!Y9/100/3.6*1000000</f>
        <v>0.70400613272359702</v>
      </c>
      <c r="O7" s="33"/>
      <c r="P7" s="33"/>
      <c r="R7" s="32"/>
    </row>
    <row r="8" spans="1:18">
      <c r="A8" s="6" t="s">
        <v>51</v>
      </c>
      <c r="B8" s="37">
        <f t="shared" si="0"/>
        <v>9571.3790000000008</v>
      </c>
      <c r="C8" s="33"/>
      <c r="D8" s="37">
        <f>IF(ISERROR(TER_handel_gas_kWh/1000),0,TER_handel_gas_kWh/1000)*0.902</f>
        <v>4027.8169580000003</v>
      </c>
      <c r="E8" s="33">
        <f>$C$28*'E Balans VL '!I13/100/3.6*1000000</f>
        <v>137.95604384872723</v>
      </c>
      <c r="F8" s="33">
        <f>$C$28*('E Balans VL '!L13+'E Balans VL '!N13)/100/3.6*1000000</f>
        <v>1662.7714346757134</v>
      </c>
      <c r="G8" s="34"/>
      <c r="H8" s="33"/>
      <c r="I8" s="33"/>
      <c r="J8" s="33">
        <f>$C$28*('E Balans VL '!D13+'E Balans VL '!E13)/100/3.6*1000000</f>
        <v>0</v>
      </c>
      <c r="K8" s="33"/>
      <c r="L8" s="33"/>
      <c r="M8" s="33"/>
      <c r="N8" s="33">
        <f>$C$28*'E Balans VL '!Y13/100/3.6*1000000</f>
        <v>28.676916991859905</v>
      </c>
      <c r="O8" s="33"/>
      <c r="P8" s="33"/>
      <c r="R8" s="32"/>
    </row>
    <row r="9" spans="1:18">
      <c r="A9" s="32" t="s">
        <v>50</v>
      </c>
      <c r="B9" s="37">
        <f t="shared" si="0"/>
        <v>1429.1880000000001</v>
      </c>
      <c r="C9" s="33"/>
      <c r="D9" s="37">
        <f>IF(ISERROR(TER_gezond_gas_kWh/1000),0,TER_gezond_gas_kWh/1000)*0.902</f>
        <v>1375.4552900000001</v>
      </c>
      <c r="E9" s="33">
        <f>$C$29*'E Balans VL '!I10/100/3.6*1000000</f>
        <v>1.5267432159259187</v>
      </c>
      <c r="F9" s="33">
        <f>$C$29*('E Balans VL '!L10+'E Balans VL '!N10)/100/3.6*1000000</f>
        <v>233.14399745321577</v>
      </c>
      <c r="G9" s="34"/>
      <c r="H9" s="33"/>
      <c r="I9" s="33"/>
      <c r="J9" s="33">
        <f>$C$29*('E Balans VL '!D10+'E Balans VL '!E10)/100/3.6*1000000</f>
        <v>0</v>
      </c>
      <c r="K9" s="33"/>
      <c r="L9" s="33"/>
      <c r="M9" s="33"/>
      <c r="N9" s="33">
        <f>$C$29*'E Balans VL '!Y10/100/3.6*1000000</f>
        <v>14.712674981596246</v>
      </c>
      <c r="O9" s="33"/>
      <c r="P9" s="33"/>
      <c r="R9" s="32"/>
    </row>
    <row r="10" spans="1:18">
      <c r="A10" s="32" t="s">
        <v>49</v>
      </c>
      <c r="B10" s="37">
        <f t="shared" si="0"/>
        <v>9876.6280000000006</v>
      </c>
      <c r="C10" s="33"/>
      <c r="D10" s="37">
        <f>IF(ISERROR(TER_ander_gas_kWh/1000),0,TER_ander_gas_kWh/1000)*0.902</f>
        <v>1349.1033600000001</v>
      </c>
      <c r="E10" s="33">
        <f>$C$30*'E Balans VL '!I14/100/3.6*1000000</f>
        <v>45.421109825356559</v>
      </c>
      <c r="F10" s="33">
        <f>$C$30*('E Balans VL '!L14+'E Balans VL '!N14)/100/3.6*1000000</f>
        <v>2960.3369484475224</v>
      </c>
      <c r="G10" s="34"/>
      <c r="H10" s="33"/>
      <c r="I10" s="33"/>
      <c r="J10" s="33">
        <f>$C$30*('E Balans VL '!D14+'E Balans VL '!E14)/100/3.6*1000000</f>
        <v>0</v>
      </c>
      <c r="K10" s="33"/>
      <c r="L10" s="33"/>
      <c r="M10" s="33"/>
      <c r="N10" s="33">
        <f>$C$30*'E Balans VL '!Y14/100/3.6*1000000</f>
        <v>6874.7850518063024</v>
      </c>
      <c r="O10" s="33"/>
      <c r="P10" s="33"/>
      <c r="R10" s="32"/>
    </row>
    <row r="11" spans="1:18">
      <c r="A11" s="32" t="s">
        <v>54</v>
      </c>
      <c r="B11" s="37">
        <f t="shared" si="0"/>
        <v>962.36800000000005</v>
      </c>
      <c r="C11" s="33"/>
      <c r="D11" s="37">
        <f>IF(ISERROR(TER_onderwijs_gas_kWh/1000),0,TER_onderwijs_gas_kWh/1000)*0.902</f>
        <v>1605.0539780000001</v>
      </c>
      <c r="E11" s="33">
        <f>$C$31*'E Balans VL '!I11/100/3.6*1000000</f>
        <v>0.89272287983988152</v>
      </c>
      <c r="F11" s="33">
        <f>$C$31*('E Balans VL '!L11+'E Balans VL '!N11)/100/3.6*1000000</f>
        <v>338.05775996175191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energieproductie'!N39+'lokale energieproductie'!N31</f>
        <v>0</v>
      </c>
      <c r="C13" s="249">
        <f ca="1">'lokale energieproductie'!O39+'lokale energieproductie'!O31</f>
        <v>0</v>
      </c>
      <c r="D13" s="310">
        <f ca="1">('lokale energieproductie'!P31+'lokale energieproductie'!P39)*(-1)</f>
        <v>0</v>
      </c>
      <c r="E13" s="250"/>
      <c r="F13" s="310">
        <f ca="1">('lokale energieproductie'!S31+'lokale energieproductie'!S39)*(-1)</f>
        <v>0</v>
      </c>
      <c r="G13" s="251"/>
      <c r="H13" s="250"/>
      <c r="I13" s="250"/>
      <c r="J13" s="250"/>
      <c r="K13" s="250"/>
      <c r="L13" s="310">
        <f ca="1">('lokale energieproductie'!U31+'lokale energieproductie'!T31+'lokale energieproductie'!U39+'lokale energieproductie'!T39)*(-1)</f>
        <v>0</v>
      </c>
      <c r="M13" s="250"/>
      <c r="N13" s="310">
        <f ca="1">('lokale energieproductie'!Q31+'lokale energieproductie'!R31+'lokale energieproductie'!V31+'lokale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29080.678</v>
      </c>
      <c r="C16" s="21">
        <f t="shared" ca="1" si="1"/>
        <v>0</v>
      </c>
      <c r="D16" s="21">
        <f t="shared" ca="1" si="1"/>
        <v>15163.890918000001</v>
      </c>
      <c r="E16" s="21">
        <f t="shared" si="1"/>
        <v>347.65801105662865</v>
      </c>
      <c r="F16" s="21">
        <f t="shared" ca="1" si="1"/>
        <v>6643.0358047606833</v>
      </c>
      <c r="G16" s="21">
        <f t="shared" si="1"/>
        <v>0</v>
      </c>
      <c r="H16" s="21">
        <f t="shared" si="1"/>
        <v>0</v>
      </c>
      <c r="I16" s="21">
        <f t="shared" si="1"/>
        <v>0</v>
      </c>
      <c r="J16" s="21">
        <f t="shared" si="1"/>
        <v>0</v>
      </c>
      <c r="K16" s="21">
        <f t="shared" si="1"/>
        <v>0</v>
      </c>
      <c r="L16" s="21">
        <f t="shared" ca="1" si="1"/>
        <v>0</v>
      </c>
      <c r="M16" s="21">
        <f t="shared" si="1"/>
        <v>0</v>
      </c>
      <c r="N16" s="21">
        <f t="shared" ca="1" si="1"/>
        <v>6921.4640873536728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0.19074452014243765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5546.9799705267433</v>
      </c>
      <c r="C20" s="23">
        <f t="shared" ref="C20:P20" ca="1" si="2">C16*C18</f>
        <v>0</v>
      </c>
      <c r="D20" s="23">
        <f t="shared" ca="1" si="2"/>
        <v>3063.1059654360006</v>
      </c>
      <c r="E20" s="23">
        <f t="shared" si="2"/>
        <v>78.918368509854702</v>
      </c>
      <c r="F20" s="23">
        <f t="shared" ca="1" si="2"/>
        <v>1773.6905598711026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4691.2439999999997</v>
      </c>
      <c r="C26" s="39">
        <f>IF(ISERROR(B26*3.6/1000000/'E Balans VL '!Z12*100),0,B26*3.6/1000000/'E Balans VL '!Z12*100)</f>
        <v>9.9644346300195502E-2</v>
      </c>
      <c r="D26" s="239" t="s">
        <v>689</v>
      </c>
      <c r="F26" s="6"/>
    </row>
    <row r="27" spans="1:18">
      <c r="A27" s="233" t="s">
        <v>52</v>
      </c>
      <c r="B27" s="33">
        <f>IF(ISERROR(TER_horeca_ele_kWh/1000),0,TER_horeca_ele_kWh/1000)</f>
        <v>2549.8710000000001</v>
      </c>
      <c r="C27" s="39">
        <f>IF(ISERROR(B27*3.6/1000000/'E Balans VL '!Z9*100),0,B27*3.6/1000000/'E Balans VL '!Z9*100)</f>
        <v>0.1982679991640342</v>
      </c>
      <c r="D27" s="239" t="s">
        <v>689</v>
      </c>
      <c r="F27" s="6"/>
    </row>
    <row r="28" spans="1:18">
      <c r="A28" s="173" t="s">
        <v>51</v>
      </c>
      <c r="B28" s="33">
        <f>IF(ISERROR(TER_handel_ele_kWh/1000),0,TER_handel_ele_kWh/1000)</f>
        <v>9571.3790000000008</v>
      </c>
      <c r="C28" s="39">
        <f>IF(ISERROR(B28*3.6/1000000/'E Balans VL '!Z13*100),0,B28*3.6/1000000/'E Balans VL '!Z13*100)</f>
        <v>0.27384841757624923</v>
      </c>
      <c r="D28" s="239" t="s">
        <v>689</v>
      </c>
      <c r="F28" s="6"/>
    </row>
    <row r="29" spans="1:18">
      <c r="A29" s="233" t="s">
        <v>50</v>
      </c>
      <c r="B29" s="33">
        <f>IF(ISERROR(TER_gezond_ele_kWh/1000),0,TER_gezond_ele_kWh/1000)</f>
        <v>1429.1880000000001</v>
      </c>
      <c r="C29" s="39">
        <f>IF(ISERROR(B29*3.6/1000000/'E Balans VL '!Z10*100),0,B29*3.6/1000000/'E Balans VL '!Z10*100)</f>
        <v>0.15581470234614256</v>
      </c>
      <c r="D29" s="239" t="s">
        <v>689</v>
      </c>
      <c r="F29" s="6"/>
    </row>
    <row r="30" spans="1:18">
      <c r="A30" s="233" t="s">
        <v>49</v>
      </c>
      <c r="B30" s="33">
        <f>IF(ISERROR(TER_ander_ele_kWh/1000),0,TER_ander_ele_kWh/1000)</f>
        <v>9876.6280000000006</v>
      </c>
      <c r="C30" s="39">
        <f>IF(ISERROR(B30*3.6/1000000/'E Balans VL '!Z14*100),0,B30*3.6/1000000/'E Balans VL '!Z14*100)</f>
        <v>0.72274923244049316</v>
      </c>
      <c r="D30" s="239" t="s">
        <v>689</v>
      </c>
      <c r="F30" s="6"/>
    </row>
    <row r="31" spans="1:18">
      <c r="A31" s="233" t="s">
        <v>54</v>
      </c>
      <c r="B31" s="33">
        <f>IF(ISERROR(TER_onderwijs_ele_kWh/1000),0,TER_onderwijs_ele_kWh/1000)</f>
        <v>962.36800000000005</v>
      </c>
      <c r="C31" s="39">
        <f>IF(ISERROR(B31*3.6/1000000/'E Balans VL '!Z11*100),0,B31*3.6/1000000/'E Balans VL '!Z11*100)</f>
        <v>0.19329232743477082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19155.303000000004</v>
      </c>
      <c r="C5" s="17">
        <f>IF(ISERROR('Eigen informatie GS &amp; warmtenet'!B59),0,'Eigen informatie GS &amp; warmtenet'!B59)</f>
        <v>0</v>
      </c>
      <c r="D5" s="30">
        <f>SUM(D6:D15)</f>
        <v>10771.913108000001</v>
      </c>
      <c r="E5" s="17">
        <f>SUM(E6:E15)</f>
        <v>3223.6529821238187</v>
      </c>
      <c r="F5" s="17">
        <f>SUM(F6:F15)</f>
        <v>15289.708228646656</v>
      </c>
      <c r="G5" s="18"/>
      <c r="H5" s="17"/>
      <c r="I5" s="17"/>
      <c r="J5" s="17">
        <f>SUM(J6:J15)</f>
        <v>1.8767041675876708</v>
      </c>
      <c r="K5" s="17"/>
      <c r="L5" s="17"/>
      <c r="M5" s="17"/>
      <c r="N5" s="17">
        <f>SUM(N6:N15)</f>
        <v>2466.4826287423743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3583.857</v>
      </c>
      <c r="C8" s="33"/>
      <c r="D8" s="37">
        <f>IF( ISERROR(IND_metaal_Gas_kWH/1000),0,IND_metaal_Gas_kWH/1000)*0.902</f>
        <v>1384.047742</v>
      </c>
      <c r="E8" s="33">
        <f>C30*'E Balans VL '!I18/100/3.6*1000000</f>
        <v>102.94182518888779</v>
      </c>
      <c r="F8" s="33">
        <f>C30*'E Balans VL '!L18/100/3.6*1000000+C30*'E Balans VL '!N18/100/3.6*1000000</f>
        <v>919.19039302423391</v>
      </c>
      <c r="G8" s="34"/>
      <c r="H8" s="33"/>
      <c r="I8" s="33"/>
      <c r="J8" s="40">
        <f>C30*'E Balans VL '!D18/100/3.6*1000000+C30*'E Balans VL '!E18/100/3.6*1000000</f>
        <v>0</v>
      </c>
      <c r="K8" s="33"/>
      <c r="L8" s="33"/>
      <c r="M8" s="33"/>
      <c r="N8" s="33">
        <f>C30*'E Balans VL '!Y18/100/3.6*1000000</f>
        <v>97.309033238607114</v>
      </c>
      <c r="O8" s="33"/>
      <c r="P8" s="33"/>
      <c r="R8" s="32"/>
    </row>
    <row r="9" spans="1:18">
      <c r="A9" s="6" t="s">
        <v>32</v>
      </c>
      <c r="B9" s="37">
        <f t="shared" si="0"/>
        <v>9969.5840000000007</v>
      </c>
      <c r="C9" s="33"/>
      <c r="D9" s="37">
        <f>IF( ISERROR(IND_andere_gas_kWh/1000),0,IND_andere_gas_kWh/1000)*0.902</f>
        <v>8197.3318019999988</v>
      </c>
      <c r="E9" s="33">
        <f>C31*'E Balans VL '!I19/100/3.6*1000000</f>
        <v>2698.521266234965</v>
      </c>
      <c r="F9" s="33">
        <f>C31*'E Balans VL '!L19/100/3.6*1000000+C31*'E Balans VL '!N19/100/3.6*1000000</f>
        <v>6640.797946366908</v>
      </c>
      <c r="G9" s="34"/>
      <c r="H9" s="33"/>
      <c r="I9" s="33"/>
      <c r="J9" s="40">
        <f>C31*'E Balans VL '!D19/100/3.6*1000000+C31*'E Balans VL '!E19/100/3.6*1000000</f>
        <v>0</v>
      </c>
      <c r="K9" s="33"/>
      <c r="L9" s="33"/>
      <c r="M9" s="33"/>
      <c r="N9" s="33">
        <f>C31*'E Balans VL '!Y19/100/3.6*1000000</f>
        <v>842.8622862474657</v>
      </c>
      <c r="O9" s="33"/>
      <c r="P9" s="33"/>
      <c r="R9" s="32"/>
    </row>
    <row r="10" spans="1:18">
      <c r="A10" s="6" t="s">
        <v>40</v>
      </c>
      <c r="B10" s="37">
        <f t="shared" si="0"/>
        <v>5090.9229999999998</v>
      </c>
      <c r="C10" s="33"/>
      <c r="D10" s="37">
        <f>IF( ISERROR(IND_voed_gas_kWh/1000),0,IND_voed_gas_kWh/1000)*0.902</f>
        <v>976.38703800000008</v>
      </c>
      <c r="E10" s="33">
        <f>C32*'E Balans VL '!I20/100/3.6*1000000</f>
        <v>415.22737597124433</v>
      </c>
      <c r="F10" s="33">
        <f>C32*'E Balans VL '!L20/100/3.6*1000000+C32*'E Balans VL '!N20/100/3.6*1000000</f>
        <v>7591.0280820058697</v>
      </c>
      <c r="G10" s="34"/>
      <c r="H10" s="33"/>
      <c r="I10" s="33"/>
      <c r="J10" s="40">
        <f>C32*'E Balans VL '!D20/100/3.6*1000000+C32*'E Balans VL '!E20/100/3.6*1000000</f>
        <v>6.7346731738468613E-2</v>
      </c>
      <c r="K10" s="33"/>
      <c r="L10" s="33"/>
      <c r="M10" s="33"/>
      <c r="N10" s="33">
        <f>C32*'E Balans VL '!Y20/100/3.6*1000000</f>
        <v>1495.5335380974511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304.024</v>
      </c>
      <c r="C12" s="33"/>
      <c r="D12" s="37">
        <f>IF( ISERROR(IND_min_gas_kWh/1000),0,IND_min_gas_kWh/1000)*0.902</f>
        <v>0</v>
      </c>
      <c r="E12" s="33">
        <f>C34*'E Balans VL '!I22/100/3.6*1000000</f>
        <v>2.368280715990112</v>
      </c>
      <c r="F12" s="33">
        <f>C34*'E Balans VL '!L22/100/3.6*1000000+C34*'E Balans VL '!N22/100/3.6*1000000</f>
        <v>114.65916995458394</v>
      </c>
      <c r="G12" s="34"/>
      <c r="H12" s="33"/>
      <c r="I12" s="33"/>
      <c r="J12" s="40">
        <f>C34*'E Balans VL '!D22/100/3.6*1000000+C34*'E Balans VL '!E22/100/3.6*1000000</f>
        <v>1.6721054182916693</v>
      </c>
      <c r="K12" s="33"/>
      <c r="L12" s="33"/>
      <c r="M12" s="33"/>
      <c r="N12" s="33">
        <f>C34*'E Balans VL '!Y22/100/3.6*1000000</f>
        <v>0</v>
      </c>
      <c r="O12" s="33"/>
      <c r="P12" s="33"/>
      <c r="R12" s="32"/>
    </row>
    <row r="13" spans="1:18">
      <c r="A13" s="6" t="s">
        <v>38</v>
      </c>
      <c r="B13" s="37">
        <f t="shared" si="0"/>
        <v>153.36500000000001</v>
      </c>
      <c r="C13" s="33"/>
      <c r="D13" s="37">
        <f>IF( ISERROR(IND_papier_gas_kWh/1000),0,IND_papier_gas_kWh/1000)*0.902</f>
        <v>86.154530000000008</v>
      </c>
      <c r="E13" s="33">
        <f>C35*'E Balans VL '!I23/100/3.6*1000000</f>
        <v>1.6067777719323275</v>
      </c>
      <c r="F13" s="33">
        <f>C35*'E Balans VL '!L23/100/3.6*1000000+C35*'E Balans VL '!N23/100/3.6*1000000</f>
        <v>11.444123483337853</v>
      </c>
      <c r="G13" s="34"/>
      <c r="H13" s="33"/>
      <c r="I13" s="33"/>
      <c r="J13" s="40">
        <f>C35*'E Balans VL '!D23/100/3.6*1000000+C35*'E Balans VL '!E23/100/3.6*1000000</f>
        <v>0</v>
      </c>
      <c r="K13" s="33"/>
      <c r="L13" s="33"/>
      <c r="M13" s="33"/>
      <c r="N13" s="33">
        <f>C35*'E Balans VL '!Y23/100/3.6*1000000</f>
        <v>28.292526368131295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53.55</v>
      </c>
      <c r="C15" s="33"/>
      <c r="D15" s="37">
        <f>IF( ISERROR(IND_rest_gas_kWh/1000),0,IND_rest_gas_kWh/1000)*0.902</f>
        <v>127.991996</v>
      </c>
      <c r="E15" s="33">
        <f>C37*'E Balans VL '!I15/100/3.6*1000000</f>
        <v>2.9874562407988114</v>
      </c>
      <c r="F15" s="33">
        <f>C37*'E Balans VL '!L15/100/3.6*1000000+C37*'E Balans VL '!N15/100/3.6*1000000</f>
        <v>12.588513811721405</v>
      </c>
      <c r="G15" s="34"/>
      <c r="H15" s="33"/>
      <c r="I15" s="33"/>
      <c r="J15" s="40">
        <f>C37*'E Balans VL '!D15/100/3.6*1000000+C37*'E Balans VL '!E15/100/3.6*1000000</f>
        <v>0.13725201755753283</v>
      </c>
      <c r="K15" s="33"/>
      <c r="L15" s="33"/>
      <c r="M15" s="33"/>
      <c r="N15" s="33">
        <f>C37*'E Balans VL '!Y15/100/3.6*1000000</f>
        <v>2.4852447907193782</v>
      </c>
      <c r="O15" s="33"/>
      <c r="P15" s="33"/>
      <c r="R15" s="32"/>
    </row>
    <row r="16" spans="1:18">
      <c r="A16" s="16" t="s">
        <v>496</v>
      </c>
      <c r="B16" s="249">
        <f>'lokale energieproductie'!N38+'lokale energieproductie'!N30</f>
        <v>0</v>
      </c>
      <c r="C16" s="249">
        <f>'lokale energieproductie'!O38+'lokale energieproductie'!O30</f>
        <v>0</v>
      </c>
      <c r="D16" s="310">
        <f>('lokale energieproductie'!P30+'lokale energieproductie'!P38)*(-1)</f>
        <v>0</v>
      </c>
      <c r="E16" s="250"/>
      <c r="F16" s="310">
        <f>('lokale energieproductie'!S30+'lokale energieproductie'!S38)*(-1)</f>
        <v>0</v>
      </c>
      <c r="G16" s="251"/>
      <c r="H16" s="250"/>
      <c r="I16" s="250"/>
      <c r="J16" s="250"/>
      <c r="K16" s="250"/>
      <c r="L16" s="310">
        <f>('lokale energieproductie'!T30+'lokale energieproductie'!U30+'lokale energieproductie'!T38+'lokale energieproductie'!U38)*(-1)</f>
        <v>0</v>
      </c>
      <c r="M16" s="250"/>
      <c r="N16" s="310">
        <f>('lokale energieproductie'!Q30+'lokale energieproductie'!R30+'lokale energieproductie'!V30+'lokale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19155.303000000004</v>
      </c>
      <c r="C18" s="21">
        <f>C5+C16</f>
        <v>0</v>
      </c>
      <c r="D18" s="21">
        <f>MAX((D5+D16),0)</f>
        <v>10771.913108000001</v>
      </c>
      <c r="E18" s="21">
        <f>MAX((E5+E16),0)</f>
        <v>3223.6529821238187</v>
      </c>
      <c r="F18" s="21">
        <f>MAX((F5+F16),0)</f>
        <v>15289.708228646656</v>
      </c>
      <c r="G18" s="21"/>
      <c r="H18" s="21"/>
      <c r="I18" s="21"/>
      <c r="J18" s="21">
        <f>MAX((J5+J16),0)</f>
        <v>1.8767041675876708</v>
      </c>
      <c r="K18" s="21"/>
      <c r="L18" s="21">
        <f>MAX((L5+L16),0)</f>
        <v>0</v>
      </c>
      <c r="M18" s="21"/>
      <c r="N18" s="21">
        <f>MAX((N5+N16),0)</f>
        <v>2466.4826287423743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0.19074452014243765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3653.7690789179969</v>
      </c>
      <c r="C22" s="23">
        <f ca="1">C18*C20</f>
        <v>0</v>
      </c>
      <c r="D22" s="23">
        <f>D18*D20</f>
        <v>2175.9264478160003</v>
      </c>
      <c r="E22" s="23">
        <f>E18*E20</f>
        <v>731.76922694210691</v>
      </c>
      <c r="F22" s="23">
        <f>F18*F20</f>
        <v>4082.3520970486575</v>
      </c>
      <c r="G22" s="23"/>
      <c r="H22" s="23"/>
      <c r="I22" s="23"/>
      <c r="J22" s="23">
        <f>J18*J20</f>
        <v>0.66435327532603539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3583.857</v>
      </c>
      <c r="C30" s="39">
        <f>IF(ISERROR(B30*3.6/1000000/'E Balans VL '!Z18*100),0,B30*3.6/1000000/'E Balans VL '!Z18*100)</f>
        <v>0.3526423801876355</v>
      </c>
      <c r="D30" s="239" t="s">
        <v>689</v>
      </c>
    </row>
    <row r="31" spans="1:18">
      <c r="A31" s="6" t="s">
        <v>32</v>
      </c>
      <c r="B31" s="37">
        <f>IF( ISERROR(IND_ander_ele_kWh/1000),0,IND_ander_ele_kWh/1000)</f>
        <v>9969.5840000000007</v>
      </c>
      <c r="C31" s="39">
        <f>IF(ISERROR(B31*3.6/1000000/'E Balans VL '!Z19*100),0,B31*3.6/1000000/'E Balans VL '!Z19*100)</f>
        <v>0.43416743054118212</v>
      </c>
      <c r="D31" s="239" t="s">
        <v>689</v>
      </c>
    </row>
    <row r="32" spans="1:18">
      <c r="A32" s="173" t="s">
        <v>40</v>
      </c>
      <c r="B32" s="37">
        <f>IF( ISERROR(IND_voed_ele_kWh/1000),0,IND_voed_ele_kWh/1000)</f>
        <v>5090.9229999999998</v>
      </c>
      <c r="C32" s="39">
        <f>IF(ISERROR(B32*3.6/1000000/'E Balans VL '!Z20*100),0,B32*3.6/1000000/'E Balans VL '!Z20*100)</f>
        <v>0.96592922015329652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304.024</v>
      </c>
      <c r="C34" s="39">
        <f>IF(ISERROR(B34*3.6/1000000/'E Balans VL '!Z22*100),0,B34*3.6/1000000/'E Balans VL '!Z22*100)</f>
        <v>4.2748827313849797E-2</v>
      </c>
      <c r="D34" s="239" t="s">
        <v>689</v>
      </c>
    </row>
    <row r="35" spans="1:5">
      <c r="A35" s="173" t="s">
        <v>38</v>
      </c>
      <c r="B35" s="37">
        <f>IF( ISERROR(IND_papier_ele_kWh/1000),0,IND_papier_ele_kWh/1000)</f>
        <v>153.36500000000001</v>
      </c>
      <c r="C35" s="39">
        <f>IF(ISERROR(B35*3.6/1000000/'E Balans VL '!Z22*100),0,B35*3.6/1000000/'E Balans VL '!Z22*100)</f>
        <v>2.1564659043327418E-2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53.55</v>
      </c>
      <c r="C37" s="39">
        <f>IF(ISERROR(B37*3.6/1000000/'E Balans VL '!Z15*100),0,B37*3.6/1000000/'E Balans VL '!Z15*100)</f>
        <v>4.1266852295768414E-4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10504.040095372997</v>
      </c>
      <c r="C5" s="17">
        <f>'Eigen informatie GS &amp; warmtenet'!B60</f>
        <v>0</v>
      </c>
      <c r="D5" s="30">
        <f>IF(ISERROR(SUM(LB_lb_gas_kWh,LB_rest_gas_kWh)/1000),0,SUM(LB_lb_gas_kWh,LB_rest_gas_kWh)/1000)*0.902</f>
        <v>1032.771058</v>
      </c>
      <c r="E5" s="17">
        <f>B17*'E Balans VL '!I25/3.6*1000000/100</f>
        <v>132.36443715666746</v>
      </c>
      <c r="F5" s="17">
        <f>B17*('E Balans VL '!L25/3.6*1000000+'E Balans VL '!N25/3.6*1000000)/100</f>
        <v>36241.569748314476</v>
      </c>
      <c r="G5" s="18"/>
      <c r="H5" s="17"/>
      <c r="I5" s="17"/>
      <c r="J5" s="17">
        <f>('E Balans VL '!D25+'E Balans VL '!E25)/3.6*1000000*landbouw!B17/100</f>
        <v>1579.6882246305145</v>
      </c>
      <c r="K5" s="17"/>
      <c r="L5" s="17">
        <f>L6*(-1)</f>
        <v>0</v>
      </c>
      <c r="M5" s="17"/>
      <c r="N5" s="17">
        <f>N6*(-1)</f>
        <v>5344.7142857142853</v>
      </c>
      <c r="O5" s="17"/>
      <c r="P5" s="17"/>
      <c r="R5" s="32"/>
    </row>
    <row r="6" spans="1:18">
      <c r="A6" s="16" t="s">
        <v>496</v>
      </c>
      <c r="B6" s="17" t="s">
        <v>210</v>
      </c>
      <c r="C6" s="17">
        <f>'lokale energieproductie'!O40+'lokale energieproductie'!O32</f>
        <v>62.357142857142847</v>
      </c>
      <c r="D6" s="310">
        <f>('lokale energieproductie'!P32+'lokale energieproductie'!P40)*(-1)</f>
        <v>0</v>
      </c>
      <c r="E6" s="250"/>
      <c r="F6" s="310">
        <f>('lokale energieproductie'!S32+'lokale energieproductie'!S40)*(-1)</f>
        <v>0</v>
      </c>
      <c r="G6" s="251"/>
      <c r="H6" s="250"/>
      <c r="I6" s="250"/>
      <c r="J6" s="250"/>
      <c r="K6" s="250"/>
      <c r="L6" s="310">
        <f>('lokale energieproductie'!T32+'lokale energieproductie'!U32+'lokale energieproductie'!T40+'lokale energieproductie'!U40)*(-1)</f>
        <v>0</v>
      </c>
      <c r="M6" s="250"/>
      <c r="N6" s="1030">
        <f>('lokale energieproductie'!V32+'lokale energieproductie'!R32+'lokale energieproductie'!Q32+'lokale energieproductie'!Q40+'lokale energieproductie'!R40+'lokale energieproductie'!V40)*(-1)</f>
        <v>-5344.7142857142853</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10504.040095372997</v>
      </c>
      <c r="C8" s="21">
        <f>C5+C6</f>
        <v>62.357142857142847</v>
      </c>
      <c r="D8" s="21">
        <f>MAX((D5+D6),0)</f>
        <v>1032.771058</v>
      </c>
      <c r="E8" s="21">
        <f>MAX((E5+E6),0)</f>
        <v>132.36443715666746</v>
      </c>
      <c r="F8" s="21">
        <f>MAX((F5+F6),0)</f>
        <v>36241.569748314476</v>
      </c>
      <c r="G8" s="21"/>
      <c r="H8" s="21"/>
      <c r="I8" s="21"/>
      <c r="J8" s="21">
        <f>MAX((J5+J6),0)</f>
        <v>1579.6882246305145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0.19074452014243765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2003.5880875488472</v>
      </c>
      <c r="C12" s="23">
        <f ca="1">C8*C10</f>
        <v>0</v>
      </c>
      <c r="D12" s="23">
        <f>D8*D10</f>
        <v>208.61975371600002</v>
      </c>
      <c r="E12" s="23">
        <f>E8*E10</f>
        <v>30.046727234563516</v>
      </c>
      <c r="F12" s="23">
        <f>F8*F10</f>
        <v>9676.4991227999653</v>
      </c>
      <c r="G12" s="23"/>
      <c r="H12" s="23"/>
      <c r="I12" s="23"/>
      <c r="J12" s="23">
        <f>J8*J10</f>
        <v>559.20963151920205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1.4649825251780066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2204.9375692957374</v>
      </c>
      <c r="C26" s="249">
        <f>B26*'GWP N2O_CH4'!B5</f>
        <v>46303.688955210484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1130.103181830726</v>
      </c>
      <c r="C27" s="249">
        <f>B27*'GWP N2O_CH4'!B5</f>
        <v>23732.166818445246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30.26984917747739</v>
      </c>
      <c r="C28" s="249">
        <f>B28*'GWP N2O_CH4'!B4</f>
        <v>9383.6532450179911</v>
      </c>
      <c r="D28" s="50"/>
    </row>
    <row r="29" spans="1:4">
      <c r="A29" s="41" t="s">
        <v>276</v>
      </c>
      <c r="B29" s="249">
        <f>B34*'ha_N2O bodem landbouw'!B4</f>
        <v>73.069908517708015</v>
      </c>
      <c r="C29" s="249">
        <f>B29*'GWP N2O_CH4'!B4</f>
        <v>22651.671640489483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1.8244826021967562E-2</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2.3279889235040002E-5</v>
      </c>
      <c r="C5" s="444" t="s">
        <v>210</v>
      </c>
      <c r="D5" s="429">
        <f>SUM(D6:D11)</f>
        <v>3.8074581221032513E-5</v>
      </c>
      <c r="E5" s="429">
        <f>SUM(E6:E11)</f>
        <v>1.3467245764491212E-3</v>
      </c>
      <c r="F5" s="442" t="s">
        <v>210</v>
      </c>
      <c r="G5" s="429">
        <f>SUM(G6:G11)</f>
        <v>0.39262567581465052</v>
      </c>
      <c r="H5" s="429">
        <f>SUM(H6:H11)</f>
        <v>6.9487973758258798E-2</v>
      </c>
      <c r="I5" s="444" t="s">
        <v>210</v>
      </c>
      <c r="J5" s="444" t="s">
        <v>210</v>
      </c>
      <c r="K5" s="444" t="s">
        <v>210</v>
      </c>
      <c r="L5" s="444" t="s">
        <v>210</v>
      </c>
      <c r="M5" s="429">
        <f>SUM(M6:M11)</f>
        <v>2.0895037591551664E-2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1.981950115298045E-5</v>
      </c>
      <c r="C6" s="883"/>
      <c r="D6" s="883">
        <f>vkm_GW_PW*SUMIFS(TableVerdeelsleutelVkm[CNG],TableVerdeelsleutelVkm[Voertuigtype],"Lichte voertuigen")*SUMIFS(TableECFTransport[EnergieConsumptieFactor (PJ per km)],TableECFTransport[Index],CONCATENATE($A6,"_CNG_CNG"))</f>
        <v>2.9371910372509728E-5</v>
      </c>
      <c r="E6" s="883">
        <f>vkm_GW_PW*SUMIFS(TableVerdeelsleutelVkm[LPG],TableVerdeelsleutelVkm[Voertuigtype],"Lichte voertuigen")*SUMIFS(TableECFTransport[EnergieConsumptieFactor (PJ per km)],TableECFTransport[Index],CONCATENATE($A6,"_LPG_LPG"))</f>
        <v>1.0519945034682221E-3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0.21171705851486489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5.4086148765973369E-2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1.2024790214843994E-2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0.11677538744528342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2.7131996685090039E-6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5.2725910144409667E-3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3.4603880820595503E-6</v>
      </c>
      <c r="C8" s="883"/>
      <c r="D8" s="432">
        <f>vkm_NGW_PW*SUMIFS(TableVerdeelsleutelVkm[CNG],TableVerdeelsleutelVkm[Voertuigtype],"Lichte voertuigen")*SUMIFS(TableECFTransport[EnergieConsumptieFactor (PJ per km)],TableECFTransport[Index],CONCATENATE($A8,"_CNG_CNG"))</f>
        <v>8.7026708485227869E-6</v>
      </c>
      <c r="E8" s="432">
        <f>vkm_NGW_PW*SUMIFS(TableVerdeelsleutelVkm[LPG],TableVerdeelsleutelVkm[Voertuigtype],"Lichte voertuigen")*SUMIFS(TableECFTransport[EnergieConsumptieFactor (PJ per km)],TableECFTransport[Index],CONCATENATE($A8,"_LPG_LPG"))</f>
        <v>2.9473007298089904E-4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5.6344746128134969E-2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1.5398902043153135E-2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3.2459928527762394E-3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7.7884837263672447E-3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2.097494637811958E-7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3.5166350949046549E-4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6.466635898622223</v>
      </c>
      <c r="C14" s="21"/>
      <c r="D14" s="21">
        <f t="shared" ref="D14:M14" si="0">((D5)*10^9/3600)+D12</f>
        <v>10.576272561397921</v>
      </c>
      <c r="E14" s="21">
        <f t="shared" si="0"/>
        <v>374.09016012475587</v>
      </c>
      <c r="F14" s="21"/>
      <c r="G14" s="21">
        <f t="shared" si="0"/>
        <v>109062.68772629181</v>
      </c>
      <c r="H14" s="21">
        <f t="shared" si="0"/>
        <v>19302.214932849667</v>
      </c>
      <c r="I14" s="21"/>
      <c r="J14" s="21"/>
      <c r="K14" s="21"/>
      <c r="L14" s="21"/>
      <c r="M14" s="21">
        <f t="shared" si="0"/>
        <v>5804.177108764351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0.19074452014243765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1.233475361418557</v>
      </c>
      <c r="C18" s="23"/>
      <c r="D18" s="23">
        <f t="shared" ref="D18:M18" si="1">D14*D16</f>
        <v>2.1364070574023803</v>
      </c>
      <c r="E18" s="23">
        <f t="shared" si="1"/>
        <v>84.918466348319583</v>
      </c>
      <c r="F18" s="23"/>
      <c r="G18" s="23">
        <f t="shared" si="1"/>
        <v>29119.737622919914</v>
      </c>
      <c r="H18" s="23">
        <f t="shared" si="1"/>
        <v>4806.2515182795669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6.9141933562874248E-3</v>
      </c>
      <c r="H50" s="321">
        <f t="shared" si="2"/>
        <v>0</v>
      </c>
      <c r="I50" s="321">
        <f t="shared" si="2"/>
        <v>0</v>
      </c>
      <c r="J50" s="321">
        <f t="shared" si="2"/>
        <v>0</v>
      </c>
      <c r="K50" s="321">
        <f t="shared" si="2"/>
        <v>0</v>
      </c>
      <c r="L50" s="321">
        <f t="shared" si="2"/>
        <v>0</v>
      </c>
      <c r="M50" s="321">
        <f t="shared" si="2"/>
        <v>3.0775646634647577E-4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6.9141933562874248E-3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3.0775646634647577E-4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1920.6092656353958</v>
      </c>
      <c r="H54" s="21">
        <f t="shared" si="3"/>
        <v>0</v>
      </c>
      <c r="I54" s="21">
        <f t="shared" si="3"/>
        <v>0</v>
      </c>
      <c r="J54" s="21">
        <f t="shared" si="3"/>
        <v>0</v>
      </c>
      <c r="K54" s="21">
        <f t="shared" si="3"/>
        <v>0</v>
      </c>
      <c r="L54" s="21">
        <f t="shared" si="3"/>
        <v>0</v>
      </c>
      <c r="M54" s="21">
        <f t="shared" si="3"/>
        <v>85.487907318465489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0.19074452014243765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512.80267392465066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30540.595000000001</v>
      </c>
      <c r="D10" s="686">
        <f ca="1">tertiair!C16</f>
        <v>0</v>
      </c>
      <c r="E10" s="686">
        <f ca="1">tertiair!D16</f>
        <v>15163.890918000001</v>
      </c>
      <c r="F10" s="686">
        <f>tertiair!E16</f>
        <v>347.65801105662865</v>
      </c>
      <c r="G10" s="686">
        <f ca="1">tertiair!F16</f>
        <v>6643.0358047606833</v>
      </c>
      <c r="H10" s="686">
        <f>tertiair!G16</f>
        <v>0</v>
      </c>
      <c r="I10" s="686">
        <f>tertiair!H16</f>
        <v>0</v>
      </c>
      <c r="J10" s="686">
        <f>tertiair!I16</f>
        <v>0</v>
      </c>
      <c r="K10" s="686">
        <f>tertiair!J16</f>
        <v>0</v>
      </c>
      <c r="L10" s="686">
        <f>tertiair!K16</f>
        <v>0</v>
      </c>
      <c r="M10" s="686">
        <f ca="1">tertiair!L16</f>
        <v>0</v>
      </c>
      <c r="N10" s="686">
        <f>tertiair!M16</f>
        <v>0</v>
      </c>
      <c r="O10" s="686">
        <f ca="1">tertiair!N16</f>
        <v>6921.4640873536728</v>
      </c>
      <c r="P10" s="686">
        <f>tertiair!O16</f>
        <v>3.1266666666666669</v>
      </c>
      <c r="Q10" s="687">
        <f>tertiair!P16</f>
        <v>19.066666666666666</v>
      </c>
      <c r="R10" s="689">
        <f ca="1">SUM(C10:Q10)</f>
        <v>59638.837154504319</v>
      </c>
      <c r="S10" s="67"/>
    </row>
    <row r="11" spans="1:19" s="454" customFormat="1">
      <c r="A11" s="801" t="s">
        <v>224</v>
      </c>
      <c r="B11" s="806"/>
      <c r="C11" s="686">
        <f>huishoudens!B8</f>
        <v>30273.379420349564</v>
      </c>
      <c r="D11" s="686">
        <f>huishoudens!C8</f>
        <v>0</v>
      </c>
      <c r="E11" s="686">
        <f>huishoudens!D8</f>
        <v>63285.857910000006</v>
      </c>
      <c r="F11" s="686">
        <f>huishoudens!E8</f>
        <v>10605.905376222361</v>
      </c>
      <c r="G11" s="686">
        <f>huishoudens!F8</f>
        <v>11202.434289827406</v>
      </c>
      <c r="H11" s="686">
        <f>huishoudens!G8</f>
        <v>0</v>
      </c>
      <c r="I11" s="686">
        <f>huishoudens!H8</f>
        <v>0</v>
      </c>
      <c r="J11" s="686">
        <f>huishoudens!I8</f>
        <v>0</v>
      </c>
      <c r="K11" s="686">
        <f>huishoudens!J8</f>
        <v>3967.1678154611882</v>
      </c>
      <c r="L11" s="686">
        <f>huishoudens!K8</f>
        <v>0</v>
      </c>
      <c r="M11" s="686">
        <f>huishoudens!L8</f>
        <v>0</v>
      </c>
      <c r="N11" s="686">
        <f>huishoudens!M8</f>
        <v>0</v>
      </c>
      <c r="O11" s="686">
        <f>huishoudens!N8</f>
        <v>31020.109698822416</v>
      </c>
      <c r="P11" s="686">
        <f>huishoudens!O8</f>
        <v>201.67000000000004</v>
      </c>
      <c r="Q11" s="687">
        <f>huishoudens!P8</f>
        <v>381.33333333333337</v>
      </c>
      <c r="R11" s="689">
        <f>SUM(C11:Q11)</f>
        <v>150937.85784401628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19155.303000000004</v>
      </c>
      <c r="D13" s="686">
        <f>industrie!C18</f>
        <v>0</v>
      </c>
      <c r="E13" s="686">
        <f>industrie!D18</f>
        <v>10771.913108000001</v>
      </c>
      <c r="F13" s="686">
        <f>industrie!E18</f>
        <v>3223.6529821238187</v>
      </c>
      <c r="G13" s="686">
        <f>industrie!F18</f>
        <v>15289.708228646656</v>
      </c>
      <c r="H13" s="686">
        <f>industrie!G18</f>
        <v>0</v>
      </c>
      <c r="I13" s="686">
        <f>industrie!H18</f>
        <v>0</v>
      </c>
      <c r="J13" s="686">
        <f>industrie!I18</f>
        <v>0</v>
      </c>
      <c r="K13" s="686">
        <f>industrie!J18</f>
        <v>1.8767041675876708</v>
      </c>
      <c r="L13" s="686">
        <f>industrie!K18</f>
        <v>0</v>
      </c>
      <c r="M13" s="686">
        <f>industrie!L18</f>
        <v>0</v>
      </c>
      <c r="N13" s="686">
        <f>industrie!M18</f>
        <v>0</v>
      </c>
      <c r="O13" s="686">
        <f>industrie!N18</f>
        <v>2466.4826287423743</v>
      </c>
      <c r="P13" s="686">
        <f>industrie!O18</f>
        <v>0</v>
      </c>
      <c r="Q13" s="687">
        <f>industrie!P18</f>
        <v>0</v>
      </c>
      <c r="R13" s="689">
        <f>SUM(C13:Q13)</f>
        <v>50908.936651680437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79969.277420349565</v>
      </c>
      <c r="D16" s="721">
        <f t="shared" ref="D16:R16" ca="1" si="0">SUM(D9:D15)</f>
        <v>0</v>
      </c>
      <c r="E16" s="721">
        <f t="shared" ca="1" si="0"/>
        <v>89221.661936000019</v>
      </c>
      <c r="F16" s="721">
        <f t="shared" si="0"/>
        <v>14177.216369402808</v>
      </c>
      <c r="G16" s="721">
        <f t="shared" ca="1" si="0"/>
        <v>33135.178323234744</v>
      </c>
      <c r="H16" s="721">
        <f t="shared" si="0"/>
        <v>0</v>
      </c>
      <c r="I16" s="721">
        <f t="shared" si="0"/>
        <v>0</v>
      </c>
      <c r="J16" s="721">
        <f t="shared" si="0"/>
        <v>0</v>
      </c>
      <c r="K16" s="721">
        <f t="shared" si="0"/>
        <v>3969.044519628776</v>
      </c>
      <c r="L16" s="721">
        <f t="shared" si="0"/>
        <v>0</v>
      </c>
      <c r="M16" s="721">
        <f t="shared" ca="1" si="0"/>
        <v>0</v>
      </c>
      <c r="N16" s="721">
        <f t="shared" si="0"/>
        <v>0</v>
      </c>
      <c r="O16" s="721">
        <f t="shared" ca="1" si="0"/>
        <v>40408.056414918457</v>
      </c>
      <c r="P16" s="721">
        <f t="shared" si="0"/>
        <v>204.79666666666671</v>
      </c>
      <c r="Q16" s="721">
        <f t="shared" si="0"/>
        <v>400.40000000000003</v>
      </c>
      <c r="R16" s="721">
        <f t="shared" ca="1" si="0"/>
        <v>261485.63165020104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1920.6092656353958</v>
      </c>
      <c r="I19" s="686">
        <f>transport!H54</f>
        <v>0</v>
      </c>
      <c r="J19" s="686">
        <f>transport!I54</f>
        <v>0</v>
      </c>
      <c r="K19" s="686">
        <f>transport!J54</f>
        <v>0</v>
      </c>
      <c r="L19" s="686">
        <f>transport!K54</f>
        <v>0</v>
      </c>
      <c r="M19" s="686">
        <f>transport!L54</f>
        <v>0</v>
      </c>
      <c r="N19" s="686">
        <f>transport!M54</f>
        <v>85.487907318465489</v>
      </c>
      <c r="O19" s="686">
        <f>transport!N54</f>
        <v>0</v>
      </c>
      <c r="P19" s="686">
        <f>transport!O54</f>
        <v>0</v>
      </c>
      <c r="Q19" s="687">
        <f>transport!P54</f>
        <v>0</v>
      </c>
      <c r="R19" s="689">
        <f>SUM(C19:Q19)</f>
        <v>2006.0971729538612</v>
      </c>
      <c r="S19" s="67"/>
    </row>
    <row r="20" spans="1:19" s="454" customFormat="1">
      <c r="A20" s="801" t="s">
        <v>306</v>
      </c>
      <c r="B20" s="806"/>
      <c r="C20" s="686">
        <f>transport!B14</f>
        <v>6.466635898622223</v>
      </c>
      <c r="D20" s="686">
        <f>transport!C14</f>
        <v>0</v>
      </c>
      <c r="E20" s="686">
        <f>transport!D14</f>
        <v>10.576272561397921</v>
      </c>
      <c r="F20" s="686">
        <f>transport!E14</f>
        <v>374.09016012475587</v>
      </c>
      <c r="G20" s="686">
        <f>transport!F14</f>
        <v>0</v>
      </c>
      <c r="H20" s="686">
        <f>transport!G14</f>
        <v>109062.68772629181</v>
      </c>
      <c r="I20" s="686">
        <f>transport!H14</f>
        <v>19302.214932849667</v>
      </c>
      <c r="J20" s="686">
        <f>transport!I14</f>
        <v>0</v>
      </c>
      <c r="K20" s="686">
        <f>transport!J14</f>
        <v>0</v>
      </c>
      <c r="L20" s="686">
        <f>transport!K14</f>
        <v>0</v>
      </c>
      <c r="M20" s="686">
        <f>transport!L14</f>
        <v>0</v>
      </c>
      <c r="N20" s="686">
        <f>transport!M14</f>
        <v>5804.177108764351</v>
      </c>
      <c r="O20" s="686">
        <f>transport!N14</f>
        <v>0</v>
      </c>
      <c r="P20" s="686">
        <f>transport!O14</f>
        <v>0</v>
      </c>
      <c r="Q20" s="687">
        <f>transport!P14</f>
        <v>0</v>
      </c>
      <c r="R20" s="689">
        <f>SUM(C20:Q20)</f>
        <v>134560.21283649062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6.466635898622223</v>
      </c>
      <c r="D22" s="804">
        <f t="shared" ref="D22:R22" si="1">SUM(D18:D21)</f>
        <v>0</v>
      </c>
      <c r="E22" s="804">
        <f t="shared" si="1"/>
        <v>10.576272561397921</v>
      </c>
      <c r="F22" s="804">
        <f t="shared" si="1"/>
        <v>374.09016012475587</v>
      </c>
      <c r="G22" s="804">
        <f t="shared" si="1"/>
        <v>0</v>
      </c>
      <c r="H22" s="804">
        <f t="shared" si="1"/>
        <v>110983.29699192721</v>
      </c>
      <c r="I22" s="804">
        <f t="shared" si="1"/>
        <v>19302.214932849667</v>
      </c>
      <c r="J22" s="804">
        <f t="shared" si="1"/>
        <v>0</v>
      </c>
      <c r="K22" s="804">
        <f t="shared" si="1"/>
        <v>0</v>
      </c>
      <c r="L22" s="804">
        <f t="shared" si="1"/>
        <v>0</v>
      </c>
      <c r="M22" s="804">
        <f t="shared" si="1"/>
        <v>0</v>
      </c>
      <c r="N22" s="804">
        <f t="shared" si="1"/>
        <v>5889.6650160828167</v>
      </c>
      <c r="O22" s="804">
        <f t="shared" si="1"/>
        <v>0</v>
      </c>
      <c r="P22" s="804">
        <f t="shared" si="1"/>
        <v>0</v>
      </c>
      <c r="Q22" s="804">
        <f t="shared" si="1"/>
        <v>0</v>
      </c>
      <c r="R22" s="804">
        <f t="shared" si="1"/>
        <v>136566.31000944448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10504.040095372997</v>
      </c>
      <c r="D24" s="686">
        <f>+landbouw!C8</f>
        <v>62.357142857142847</v>
      </c>
      <c r="E24" s="686">
        <f>+landbouw!D8</f>
        <v>1032.771058</v>
      </c>
      <c r="F24" s="686">
        <f>+landbouw!E8</f>
        <v>132.36443715666746</v>
      </c>
      <c r="G24" s="686">
        <f>+landbouw!F8</f>
        <v>36241.569748314476</v>
      </c>
      <c r="H24" s="686">
        <f>+landbouw!G8</f>
        <v>0</v>
      </c>
      <c r="I24" s="686">
        <f>+landbouw!H8</f>
        <v>0</v>
      </c>
      <c r="J24" s="686">
        <f>+landbouw!I8</f>
        <v>0</v>
      </c>
      <c r="K24" s="686">
        <f>+landbouw!J8</f>
        <v>1579.6882246305145</v>
      </c>
      <c r="L24" s="686">
        <f>+landbouw!K8</f>
        <v>0</v>
      </c>
      <c r="M24" s="686">
        <f>+landbouw!L8</f>
        <v>0</v>
      </c>
      <c r="N24" s="686">
        <f>+landbouw!M8</f>
        <v>0</v>
      </c>
      <c r="O24" s="686">
        <f>+landbouw!N8</f>
        <v>0</v>
      </c>
      <c r="P24" s="686">
        <f>+landbouw!O8</f>
        <v>0</v>
      </c>
      <c r="Q24" s="687">
        <f>+landbouw!P8</f>
        <v>0</v>
      </c>
      <c r="R24" s="689">
        <f>SUM(C24:Q24)</f>
        <v>49552.790706331798</v>
      </c>
      <c r="S24" s="67"/>
    </row>
    <row r="25" spans="1:19" s="454" customFormat="1" ht="15" thickBot="1">
      <c r="A25" s="823" t="s">
        <v>856</v>
      </c>
      <c r="B25" s="991"/>
      <c r="C25" s="992">
        <f>IF(Onbekend_ele_kWh="---",0,Onbekend_ele_kWh)/1000+IF(REST_rest_ele_kWh="---",0,REST_rest_ele_kWh)/1000</f>
        <v>686.37599999999998</v>
      </c>
      <c r="D25" s="992"/>
      <c r="E25" s="992">
        <f>IF(onbekend_gas_kWh="---",0,onbekend_gas_kWh)/1000+IF(REST_rest_gas_kWh="---",0,REST_rest_gas_kWh)/1000</f>
        <v>6001.7950000000001</v>
      </c>
      <c r="F25" s="992"/>
      <c r="G25" s="992"/>
      <c r="H25" s="992"/>
      <c r="I25" s="992"/>
      <c r="J25" s="992"/>
      <c r="K25" s="992"/>
      <c r="L25" s="992"/>
      <c r="M25" s="992"/>
      <c r="N25" s="992"/>
      <c r="O25" s="992"/>
      <c r="P25" s="992"/>
      <c r="Q25" s="993"/>
      <c r="R25" s="689">
        <f>SUM(C25:Q25)</f>
        <v>6688.1710000000003</v>
      </c>
      <c r="S25" s="67"/>
    </row>
    <row r="26" spans="1:19" s="454" customFormat="1" ht="15.75" thickBot="1">
      <c r="A26" s="694" t="s">
        <v>857</v>
      </c>
      <c r="B26" s="809"/>
      <c r="C26" s="804">
        <f>SUM(C24:C25)</f>
        <v>11190.416095372997</v>
      </c>
      <c r="D26" s="804">
        <f t="shared" ref="D26:R26" si="2">SUM(D24:D25)</f>
        <v>62.357142857142847</v>
      </c>
      <c r="E26" s="804">
        <f t="shared" si="2"/>
        <v>7034.5660580000003</v>
      </c>
      <c r="F26" s="804">
        <f t="shared" si="2"/>
        <v>132.36443715666746</v>
      </c>
      <c r="G26" s="804">
        <f t="shared" si="2"/>
        <v>36241.569748314476</v>
      </c>
      <c r="H26" s="804">
        <f t="shared" si="2"/>
        <v>0</v>
      </c>
      <c r="I26" s="804">
        <f t="shared" si="2"/>
        <v>0</v>
      </c>
      <c r="J26" s="804">
        <f t="shared" si="2"/>
        <v>0</v>
      </c>
      <c r="K26" s="804">
        <f t="shared" si="2"/>
        <v>1579.6882246305145</v>
      </c>
      <c r="L26" s="804">
        <f t="shared" si="2"/>
        <v>0</v>
      </c>
      <c r="M26" s="804">
        <f t="shared" si="2"/>
        <v>0</v>
      </c>
      <c r="N26" s="804">
        <f t="shared" si="2"/>
        <v>0</v>
      </c>
      <c r="O26" s="804">
        <f t="shared" si="2"/>
        <v>0</v>
      </c>
      <c r="P26" s="804">
        <f t="shared" si="2"/>
        <v>0</v>
      </c>
      <c r="Q26" s="804">
        <f t="shared" si="2"/>
        <v>0</v>
      </c>
      <c r="R26" s="804">
        <f t="shared" si="2"/>
        <v>56240.9617063318</v>
      </c>
      <c r="S26" s="67"/>
    </row>
    <row r="27" spans="1:19" s="454" customFormat="1" ht="17.25" thickTop="1" thickBot="1">
      <c r="A27" s="695" t="s">
        <v>115</v>
      </c>
      <c r="B27" s="796"/>
      <c r="C27" s="696">
        <f ca="1">C22+C16+C26</f>
        <v>91166.160151621196</v>
      </c>
      <c r="D27" s="696">
        <f t="shared" ref="D27:R27" ca="1" si="3">D22+D16+D26</f>
        <v>62.357142857142847</v>
      </c>
      <c r="E27" s="696">
        <f t="shared" ca="1" si="3"/>
        <v>96266.804266561419</v>
      </c>
      <c r="F27" s="696">
        <f t="shared" si="3"/>
        <v>14683.670966684231</v>
      </c>
      <c r="G27" s="696">
        <f t="shared" ca="1" si="3"/>
        <v>69376.748071549227</v>
      </c>
      <c r="H27" s="696">
        <f t="shared" si="3"/>
        <v>110983.29699192721</v>
      </c>
      <c r="I27" s="696">
        <f t="shared" si="3"/>
        <v>19302.214932849667</v>
      </c>
      <c r="J27" s="696">
        <f t="shared" si="3"/>
        <v>0</v>
      </c>
      <c r="K27" s="696">
        <f t="shared" si="3"/>
        <v>5548.7327442592905</v>
      </c>
      <c r="L27" s="696">
        <f t="shared" si="3"/>
        <v>0</v>
      </c>
      <c r="M27" s="696">
        <f t="shared" ca="1" si="3"/>
        <v>0</v>
      </c>
      <c r="N27" s="696">
        <f t="shared" si="3"/>
        <v>5889.6650160828167</v>
      </c>
      <c r="O27" s="696">
        <f t="shared" ca="1" si="3"/>
        <v>40408.056414918457</v>
      </c>
      <c r="P27" s="696">
        <f t="shared" si="3"/>
        <v>204.79666666666671</v>
      </c>
      <c r="Q27" s="696">
        <f t="shared" si="3"/>
        <v>400.40000000000003</v>
      </c>
      <c r="R27" s="696">
        <f t="shared" ca="1" si="3"/>
        <v>454292.90336597734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5825.4511381395305</v>
      </c>
      <c r="D40" s="686">
        <f ca="1">tertiair!C20</f>
        <v>0</v>
      </c>
      <c r="E40" s="686">
        <f ca="1">tertiair!D20</f>
        <v>3063.1059654360006</v>
      </c>
      <c r="F40" s="686">
        <f>tertiair!E20</f>
        <v>78.918368509854702</v>
      </c>
      <c r="G40" s="686">
        <f ca="1">tertiair!F20</f>
        <v>1773.6905598711026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10741.166031956487</v>
      </c>
    </row>
    <row r="41" spans="1:18">
      <c r="A41" s="814" t="s">
        <v>224</v>
      </c>
      <c r="B41" s="821"/>
      <c r="C41" s="686">
        <f ca="1">huishoudens!B12</f>
        <v>5774.4812306245249</v>
      </c>
      <c r="D41" s="686">
        <f ca="1">huishoudens!C12</f>
        <v>0</v>
      </c>
      <c r="E41" s="686">
        <f>huishoudens!D12</f>
        <v>12783.743297820001</v>
      </c>
      <c r="F41" s="686">
        <f>huishoudens!E12</f>
        <v>2407.540520402476</v>
      </c>
      <c r="G41" s="686">
        <f>huishoudens!F12</f>
        <v>2991.0499553839177</v>
      </c>
      <c r="H41" s="686">
        <f>huishoudens!G12</f>
        <v>0</v>
      </c>
      <c r="I41" s="686">
        <f>huishoudens!H12</f>
        <v>0</v>
      </c>
      <c r="J41" s="686">
        <f>huishoudens!I12</f>
        <v>0</v>
      </c>
      <c r="K41" s="686">
        <f>huishoudens!J12</f>
        <v>1404.3774066732606</v>
      </c>
      <c r="L41" s="686">
        <f>huishoudens!K12</f>
        <v>0</v>
      </c>
      <c r="M41" s="686">
        <f>huishoudens!L12</f>
        <v>0</v>
      </c>
      <c r="N41" s="686">
        <f>huishoudens!M12</f>
        <v>0</v>
      </c>
      <c r="O41" s="686">
        <f>huishoudens!N12</f>
        <v>0</v>
      </c>
      <c r="P41" s="686">
        <f>huishoudens!O12</f>
        <v>0</v>
      </c>
      <c r="Q41" s="763">
        <f>huishoudens!P12</f>
        <v>0</v>
      </c>
      <c r="R41" s="842">
        <f t="shared" ca="1" si="4"/>
        <v>25361.192410904183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3653.7690789179969</v>
      </c>
      <c r="D43" s="686">
        <f ca="1">industrie!C22</f>
        <v>0</v>
      </c>
      <c r="E43" s="686">
        <f>industrie!D22</f>
        <v>2175.9264478160003</v>
      </c>
      <c r="F43" s="686">
        <f>industrie!E22</f>
        <v>731.76922694210691</v>
      </c>
      <c r="G43" s="686">
        <f>industrie!F22</f>
        <v>4082.3520970486575</v>
      </c>
      <c r="H43" s="686">
        <f>industrie!G22</f>
        <v>0</v>
      </c>
      <c r="I43" s="686">
        <f>industrie!H22</f>
        <v>0</v>
      </c>
      <c r="J43" s="686">
        <f>industrie!I22</f>
        <v>0</v>
      </c>
      <c r="K43" s="686">
        <f>industrie!J22</f>
        <v>0.66435327532603539</v>
      </c>
      <c r="L43" s="686">
        <f>industrie!K22</f>
        <v>0</v>
      </c>
      <c r="M43" s="686">
        <f>industrie!L22</f>
        <v>0</v>
      </c>
      <c r="N43" s="686">
        <f>industrie!M22</f>
        <v>0</v>
      </c>
      <c r="O43" s="686">
        <f>industrie!N22</f>
        <v>0</v>
      </c>
      <c r="P43" s="686">
        <f>industrie!O22</f>
        <v>0</v>
      </c>
      <c r="Q43" s="763">
        <f>industrie!P22</f>
        <v>0</v>
      </c>
      <c r="R43" s="841">
        <f t="shared" ca="1" si="4"/>
        <v>10644.481204000087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15253.701447682051</v>
      </c>
      <c r="D46" s="721">
        <f t="shared" ref="D46:Q46" ca="1" si="5">SUM(D39:D45)</f>
        <v>0</v>
      </c>
      <c r="E46" s="721">
        <f t="shared" ca="1" si="5"/>
        <v>18022.775711072001</v>
      </c>
      <c r="F46" s="721">
        <f t="shared" si="5"/>
        <v>3218.2281158544374</v>
      </c>
      <c r="G46" s="721">
        <f t="shared" ca="1" si="5"/>
        <v>8847.092612303677</v>
      </c>
      <c r="H46" s="721">
        <f t="shared" si="5"/>
        <v>0</v>
      </c>
      <c r="I46" s="721">
        <f t="shared" si="5"/>
        <v>0</v>
      </c>
      <c r="J46" s="721">
        <f t="shared" si="5"/>
        <v>0</v>
      </c>
      <c r="K46" s="721">
        <f t="shared" si="5"/>
        <v>1405.0417599485866</v>
      </c>
      <c r="L46" s="721">
        <f t="shared" si="5"/>
        <v>0</v>
      </c>
      <c r="M46" s="721">
        <f t="shared" ca="1" si="5"/>
        <v>0</v>
      </c>
      <c r="N46" s="721">
        <f t="shared" si="5"/>
        <v>0</v>
      </c>
      <c r="O46" s="721">
        <f t="shared" ca="1" si="5"/>
        <v>0</v>
      </c>
      <c r="P46" s="721">
        <f t="shared" si="5"/>
        <v>0</v>
      </c>
      <c r="Q46" s="721">
        <f t="shared" si="5"/>
        <v>0</v>
      </c>
      <c r="R46" s="721">
        <f ca="1">SUM(R39:R45)</f>
        <v>46746.839646860753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512.80267392465066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512.80267392465066</v>
      </c>
    </row>
    <row r="50" spans="1:18">
      <c r="A50" s="817" t="s">
        <v>306</v>
      </c>
      <c r="B50" s="827"/>
      <c r="C50" s="692">
        <f ca="1">transport!B18</f>
        <v>1.233475361418557</v>
      </c>
      <c r="D50" s="692">
        <f>transport!C18</f>
        <v>0</v>
      </c>
      <c r="E50" s="692">
        <f>transport!D18</f>
        <v>2.1364070574023803</v>
      </c>
      <c r="F50" s="692">
        <f>transport!E18</f>
        <v>84.918466348319583</v>
      </c>
      <c r="G50" s="692">
        <f>transport!F18</f>
        <v>0</v>
      </c>
      <c r="H50" s="692">
        <f>transport!G18</f>
        <v>29119.737622919914</v>
      </c>
      <c r="I50" s="692">
        <f>transport!H18</f>
        <v>4806.2515182795669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34014.277489966618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1.233475361418557</v>
      </c>
      <c r="D52" s="721">
        <f t="shared" ref="D52:Q52" ca="1" si="6">SUM(D48:D51)</f>
        <v>0</v>
      </c>
      <c r="E52" s="721">
        <f t="shared" si="6"/>
        <v>2.1364070574023803</v>
      </c>
      <c r="F52" s="721">
        <f t="shared" si="6"/>
        <v>84.918466348319583</v>
      </c>
      <c r="G52" s="721">
        <f t="shared" si="6"/>
        <v>0</v>
      </c>
      <c r="H52" s="721">
        <f t="shared" si="6"/>
        <v>29632.540296844563</v>
      </c>
      <c r="I52" s="721">
        <f t="shared" si="6"/>
        <v>4806.2515182795669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34527.080163891267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2003.5880875488472</v>
      </c>
      <c r="D54" s="692">
        <f ca="1">+landbouw!C12</f>
        <v>0</v>
      </c>
      <c r="E54" s="692">
        <f>+landbouw!D12</f>
        <v>208.61975371600002</v>
      </c>
      <c r="F54" s="692">
        <f>+landbouw!E12</f>
        <v>30.046727234563516</v>
      </c>
      <c r="G54" s="692">
        <f>+landbouw!F12</f>
        <v>9676.4991227999653</v>
      </c>
      <c r="H54" s="692">
        <f>+landbouw!G12</f>
        <v>0</v>
      </c>
      <c r="I54" s="692">
        <f>+landbouw!H12</f>
        <v>0</v>
      </c>
      <c r="J54" s="692">
        <f>+landbouw!I12</f>
        <v>0</v>
      </c>
      <c r="K54" s="692">
        <f>+landbouw!J12</f>
        <v>559.20963151920205</v>
      </c>
      <c r="L54" s="692">
        <f>+landbouw!K12</f>
        <v>0</v>
      </c>
      <c r="M54" s="692">
        <f>+landbouw!L12</f>
        <v>0</v>
      </c>
      <c r="N54" s="692">
        <f>+landbouw!M12</f>
        <v>0</v>
      </c>
      <c r="O54" s="692">
        <f>+landbouw!N12</f>
        <v>0</v>
      </c>
      <c r="P54" s="692">
        <f>+landbouw!O12</f>
        <v>0</v>
      </c>
      <c r="Q54" s="693">
        <f>+landbouw!P12</f>
        <v>0</v>
      </c>
      <c r="R54" s="720">
        <f ca="1">SUM(C54:Q54)</f>
        <v>12477.963322818578</v>
      </c>
    </row>
    <row r="55" spans="1:18" ht="15" thickBot="1">
      <c r="A55" s="817" t="s">
        <v>856</v>
      </c>
      <c r="B55" s="827"/>
      <c r="C55" s="692">
        <f ca="1">C25*'EF ele_warmte'!B12</f>
        <v>130.92246075728579</v>
      </c>
      <c r="D55" s="692"/>
      <c r="E55" s="692">
        <f>E25*EF_CO2_aardgas</f>
        <v>1212.3625900000002</v>
      </c>
      <c r="F55" s="692"/>
      <c r="G55" s="692"/>
      <c r="H55" s="692"/>
      <c r="I55" s="692"/>
      <c r="J55" s="692"/>
      <c r="K55" s="692"/>
      <c r="L55" s="692"/>
      <c r="M55" s="692"/>
      <c r="N55" s="692"/>
      <c r="O55" s="692"/>
      <c r="P55" s="692"/>
      <c r="Q55" s="693"/>
      <c r="R55" s="720">
        <f ca="1">SUM(C55:Q55)</f>
        <v>1343.2850507572859</v>
      </c>
    </row>
    <row r="56" spans="1:18" ht="15.75" thickBot="1">
      <c r="A56" s="815" t="s">
        <v>857</v>
      </c>
      <c r="B56" s="828"/>
      <c r="C56" s="721">
        <f ca="1">SUM(C54:C55)</f>
        <v>2134.5105483061329</v>
      </c>
      <c r="D56" s="721">
        <f t="shared" ref="D56:Q56" ca="1" si="7">SUM(D54:D55)</f>
        <v>0</v>
      </c>
      <c r="E56" s="721">
        <f t="shared" si="7"/>
        <v>1420.9823437160003</v>
      </c>
      <c r="F56" s="721">
        <f t="shared" si="7"/>
        <v>30.046727234563516</v>
      </c>
      <c r="G56" s="721">
        <f t="shared" si="7"/>
        <v>9676.4991227999653</v>
      </c>
      <c r="H56" s="721">
        <f t="shared" si="7"/>
        <v>0</v>
      </c>
      <c r="I56" s="721">
        <f t="shared" si="7"/>
        <v>0</v>
      </c>
      <c r="J56" s="721">
        <f t="shared" si="7"/>
        <v>0</v>
      </c>
      <c r="K56" s="721">
        <f t="shared" si="7"/>
        <v>559.20963151920205</v>
      </c>
      <c r="L56" s="721">
        <f t="shared" si="7"/>
        <v>0</v>
      </c>
      <c r="M56" s="721">
        <f t="shared" si="7"/>
        <v>0</v>
      </c>
      <c r="N56" s="721">
        <f t="shared" si="7"/>
        <v>0</v>
      </c>
      <c r="O56" s="721">
        <f t="shared" si="7"/>
        <v>0</v>
      </c>
      <c r="P56" s="721">
        <f t="shared" si="7"/>
        <v>0</v>
      </c>
      <c r="Q56" s="722">
        <f t="shared" si="7"/>
        <v>0</v>
      </c>
      <c r="R56" s="723">
        <f ca="1">SUM(R54:R55)</f>
        <v>13821.248373575863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17389.445471349602</v>
      </c>
      <c r="D61" s="729">
        <f t="shared" ref="D61:Q61" ca="1" si="8">D46+D52+D56</f>
        <v>0</v>
      </c>
      <c r="E61" s="729">
        <f t="shared" ca="1" si="8"/>
        <v>19445.894461845404</v>
      </c>
      <c r="F61" s="729">
        <f t="shared" si="8"/>
        <v>3333.1933094373207</v>
      </c>
      <c r="G61" s="729">
        <f t="shared" ca="1" si="8"/>
        <v>18523.591735103641</v>
      </c>
      <c r="H61" s="729">
        <f t="shared" si="8"/>
        <v>29632.540296844563</v>
      </c>
      <c r="I61" s="729">
        <f t="shared" si="8"/>
        <v>4806.2515182795669</v>
      </c>
      <c r="J61" s="729">
        <f t="shared" si="8"/>
        <v>0</v>
      </c>
      <c r="K61" s="729">
        <f t="shared" si="8"/>
        <v>1964.2513914677886</v>
      </c>
      <c r="L61" s="729">
        <f t="shared" si="8"/>
        <v>0</v>
      </c>
      <c r="M61" s="729">
        <f t="shared" ca="1" si="8"/>
        <v>0</v>
      </c>
      <c r="N61" s="729">
        <f t="shared" si="8"/>
        <v>0</v>
      </c>
      <c r="O61" s="729">
        <f t="shared" ca="1" si="8"/>
        <v>0</v>
      </c>
      <c r="P61" s="729">
        <f t="shared" si="8"/>
        <v>0</v>
      </c>
      <c r="Q61" s="729">
        <f t="shared" si="8"/>
        <v>0</v>
      </c>
      <c r="R61" s="729">
        <f ca="1">R46+R52+R56</f>
        <v>95095.168184327878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0.19074452014243759</v>
      </c>
      <c r="D63" s="772">
        <f t="shared" ca="1" si="9"/>
        <v>0</v>
      </c>
      <c r="E63" s="998">
        <f t="shared" ca="1" si="9"/>
        <v>0.20199999999999999</v>
      </c>
      <c r="F63" s="772">
        <f t="shared" si="9"/>
        <v>0.22700000000000004</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2944.2472849999999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7647.9892406048884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43.649999999999991</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51.35294117647058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1845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5220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12480.886525604888</v>
      </c>
      <c r="C78" s="744">
        <f>SUM(C72:C77)</f>
        <v>0</v>
      </c>
      <c r="D78" s="745">
        <f t="shared" ref="D78:H78" si="10">SUM(D76:D77)</f>
        <v>0</v>
      </c>
      <c r="E78" s="745">
        <f t="shared" si="10"/>
        <v>0</v>
      </c>
      <c r="F78" s="745">
        <f t="shared" si="10"/>
        <v>0</v>
      </c>
      <c r="G78" s="745">
        <f t="shared" si="10"/>
        <v>0</v>
      </c>
      <c r="H78" s="745">
        <f t="shared" si="10"/>
        <v>0</v>
      </c>
      <c r="I78" s="745">
        <f>SUM(I76:I77)</f>
        <v>0</v>
      </c>
      <c r="J78" s="745">
        <f>SUM(J76:J77)</f>
        <v>5271.3529411764703</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2944.2472849999999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7647.9892406048884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43.649999999999991</v>
      </c>
      <c r="C8" s="556">
        <f>B49</f>
        <v>0</v>
      </c>
      <c r="D8" s="1015"/>
      <c r="E8" s="1015">
        <f>E49</f>
        <v>0</v>
      </c>
      <c r="F8" s="1016"/>
      <c r="G8" s="557"/>
      <c r="H8" s="1015">
        <f>I49</f>
        <v>0</v>
      </c>
      <c r="I8" s="1015">
        <f>G49+F49</f>
        <v>0</v>
      </c>
      <c r="J8" s="1015">
        <f>H49+D49+C49</f>
        <v>51.35294117647058</v>
      </c>
      <c r="K8" s="1015"/>
      <c r="L8" s="1015"/>
      <c r="M8" s="1015"/>
      <c r="N8" s="558"/>
      <c r="O8" s="559">
        <f>C8*$C$12+D8*$D$12+E8*$E$12+F8*$F$12+G8*$G$12+H8*$H$12+I8*$I$12+J8*$J$12</f>
        <v>0</v>
      </c>
      <c r="P8" s="1254"/>
      <c r="Q8" s="1255"/>
      <c r="S8" s="1027"/>
      <c r="T8" s="1275"/>
      <c r="U8" s="1275"/>
    </row>
    <row r="9" spans="1:21" s="544" customFormat="1" ht="17.45" customHeight="1" thickBot="1">
      <c r="A9" s="560" t="s">
        <v>247</v>
      </c>
      <c r="B9" s="561">
        <f>N37+'Eigen informatie GS &amp; warmtenet'!B12</f>
        <v>1845</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12480.886525604888</v>
      </c>
      <c r="C10" s="569">
        <f t="shared" ref="C10:L10" si="0">SUM(C8:C9)</f>
        <v>0</v>
      </c>
      <c r="D10" s="569">
        <f t="shared" si="0"/>
        <v>0</v>
      </c>
      <c r="E10" s="569">
        <f t="shared" si="0"/>
        <v>0</v>
      </c>
      <c r="F10" s="569">
        <f t="shared" si="0"/>
        <v>0</v>
      </c>
      <c r="G10" s="569">
        <f t="shared" si="0"/>
        <v>0</v>
      </c>
      <c r="H10" s="569">
        <f t="shared" si="0"/>
        <v>0</v>
      </c>
      <c r="I10" s="569">
        <f t="shared" si="0"/>
        <v>0</v>
      </c>
      <c r="J10" s="569">
        <f t="shared" si="0"/>
        <v>5271.3529411764703</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62.357142857142847</v>
      </c>
      <c r="C17" s="581">
        <f>B50</f>
        <v>0</v>
      </c>
      <c r="D17" s="582"/>
      <c r="E17" s="582">
        <f>E50</f>
        <v>0</v>
      </c>
      <c r="F17" s="1021"/>
      <c r="G17" s="583"/>
      <c r="H17" s="581">
        <f>I50</f>
        <v>0</v>
      </c>
      <c r="I17" s="582">
        <f>G50+F50</f>
        <v>0</v>
      </c>
      <c r="J17" s="582">
        <f>H50+D50+C50</f>
        <v>73.361344537815114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62.357142857142847</v>
      </c>
      <c r="C20" s="568">
        <f>SUM(C17:C19)</f>
        <v>0</v>
      </c>
      <c r="D20" s="568">
        <f t="shared" ref="D20:L20" si="1">SUM(D17:D19)</f>
        <v>0</v>
      </c>
      <c r="E20" s="568">
        <f t="shared" si="1"/>
        <v>0</v>
      </c>
      <c r="F20" s="568">
        <f t="shared" si="1"/>
        <v>0</v>
      </c>
      <c r="G20" s="568">
        <f t="shared" si="1"/>
        <v>0</v>
      </c>
      <c r="H20" s="568">
        <f t="shared" si="1"/>
        <v>0</v>
      </c>
      <c r="I20" s="568">
        <f t="shared" si="1"/>
        <v>0</v>
      </c>
      <c r="J20" s="568">
        <f t="shared" si="1"/>
        <v>73.361344537815114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32003</v>
      </c>
      <c r="C28" s="787">
        <v>8600</v>
      </c>
      <c r="D28" s="640" t="s">
        <v>920</v>
      </c>
      <c r="E28" s="639" t="s">
        <v>921</v>
      </c>
      <c r="F28" s="639" t="s">
        <v>922</v>
      </c>
      <c r="G28" s="639" t="s">
        <v>923</v>
      </c>
      <c r="H28" s="639" t="s">
        <v>924</v>
      </c>
      <c r="I28" s="639" t="s">
        <v>925</v>
      </c>
      <c r="J28" s="786">
        <v>41117</v>
      </c>
      <c r="K28" s="786">
        <v>41244</v>
      </c>
      <c r="L28" s="639" t="s">
        <v>926</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38.25">
      <c r="A35" s="594"/>
      <c r="B35" s="787">
        <v>32003</v>
      </c>
      <c r="C35" s="787">
        <v>8600</v>
      </c>
      <c r="D35" s="642" t="s">
        <v>927</v>
      </c>
      <c r="E35" s="642" t="s">
        <v>928</v>
      </c>
      <c r="F35" s="642" t="s">
        <v>929</v>
      </c>
      <c r="G35" s="642" t="s">
        <v>930</v>
      </c>
      <c r="H35" s="642" t="s">
        <v>931</v>
      </c>
      <c r="I35" s="642" t="s">
        <v>932</v>
      </c>
      <c r="J35" s="786">
        <v>39340</v>
      </c>
      <c r="K35" s="786">
        <v>40704</v>
      </c>
      <c r="L35" s="642" t="s">
        <v>926</v>
      </c>
      <c r="M35" s="642">
        <v>378</v>
      </c>
      <c r="N35" s="642">
        <v>1701</v>
      </c>
      <c r="O35" s="642">
        <v>0</v>
      </c>
      <c r="P35" s="642">
        <v>0</v>
      </c>
      <c r="Q35" s="642">
        <v>0</v>
      </c>
      <c r="R35" s="642">
        <v>0</v>
      </c>
      <c r="S35" s="642">
        <v>0</v>
      </c>
      <c r="T35" s="642">
        <v>0</v>
      </c>
      <c r="U35" s="642">
        <v>0</v>
      </c>
      <c r="V35" s="642">
        <v>4860</v>
      </c>
      <c r="W35" s="642">
        <v>0</v>
      </c>
      <c r="X35" s="642">
        <v>10</v>
      </c>
      <c r="Y35" s="642" t="s">
        <v>111</v>
      </c>
      <c r="Z35" s="643" t="s">
        <v>111</v>
      </c>
    </row>
    <row r="36" spans="1:27" s="608" customFormat="1" ht="38.25">
      <c r="A36" s="594"/>
      <c r="B36" s="787">
        <v>32003</v>
      </c>
      <c r="C36" s="787">
        <v>8600</v>
      </c>
      <c r="D36" s="642" t="s">
        <v>933</v>
      </c>
      <c r="E36" s="642" t="s">
        <v>934</v>
      </c>
      <c r="F36" s="642" t="s">
        <v>935</v>
      </c>
      <c r="G36" s="642" t="s">
        <v>936</v>
      </c>
      <c r="H36" s="642" t="s">
        <v>937</v>
      </c>
      <c r="I36" s="642" t="s">
        <v>934</v>
      </c>
      <c r="J36" s="786">
        <v>40274</v>
      </c>
      <c r="K36" s="786">
        <v>40274</v>
      </c>
      <c r="L36" s="642" t="s">
        <v>938</v>
      </c>
      <c r="M36" s="642">
        <v>32</v>
      </c>
      <c r="N36" s="642">
        <v>144</v>
      </c>
      <c r="O36" s="642">
        <v>0</v>
      </c>
      <c r="P36" s="642">
        <v>0</v>
      </c>
      <c r="Q36" s="642">
        <v>0</v>
      </c>
      <c r="R36" s="642">
        <v>0</v>
      </c>
      <c r="S36" s="642">
        <v>0</v>
      </c>
      <c r="T36" s="642">
        <v>0</v>
      </c>
      <c r="U36" s="642">
        <v>0</v>
      </c>
      <c r="V36" s="642">
        <v>360</v>
      </c>
      <c r="W36" s="642">
        <v>0</v>
      </c>
      <c r="X36" s="642">
        <v>10</v>
      </c>
      <c r="Y36" s="642" t="s">
        <v>111</v>
      </c>
      <c r="Z36" s="643" t="s">
        <v>111</v>
      </c>
    </row>
    <row r="37" spans="1:27" s="576" customFormat="1">
      <c r="A37" s="595" t="s">
        <v>279</v>
      </c>
      <c r="B37" s="596"/>
      <c r="C37" s="596"/>
      <c r="D37" s="596"/>
      <c r="E37" s="596"/>
      <c r="F37" s="596"/>
      <c r="G37" s="596"/>
      <c r="H37" s="596"/>
      <c r="I37" s="596"/>
      <c r="J37" s="596"/>
      <c r="K37" s="596"/>
      <c r="L37" s="597"/>
      <c r="M37" s="597">
        <f>SUM(M35:M36)</f>
        <v>410</v>
      </c>
      <c r="N37" s="597">
        <f>SUM(N35:N36)</f>
        <v>1845</v>
      </c>
      <c r="O37" s="597">
        <f>SUM(O35:O36)</f>
        <v>0</v>
      </c>
      <c r="P37" s="597">
        <f>SUM(P35:P36)</f>
        <v>0</v>
      </c>
      <c r="Q37" s="597">
        <f>SUM(Q35:Q36)</f>
        <v>0</v>
      </c>
      <c r="R37" s="597">
        <f>SUM(R35:R36)</f>
        <v>0</v>
      </c>
      <c r="S37" s="597">
        <f>SUM(S35:S36)</f>
        <v>0</v>
      </c>
      <c r="T37" s="597">
        <f>SUM(T35:T36)</f>
        <v>0</v>
      </c>
      <c r="U37" s="597">
        <f>SUM(U35:U36)</f>
        <v>0</v>
      </c>
      <c r="V37" s="597">
        <f>SUM(V35:V36)</f>
        <v>5220</v>
      </c>
      <c r="W37" s="597">
        <f>SUM(W35:W36)</f>
        <v>0</v>
      </c>
      <c r="X37" s="598"/>
      <c r="Y37" s="598"/>
      <c r="Z37" s="599"/>
    </row>
    <row r="38" spans="1:27" s="576" customFormat="1">
      <c r="A38" s="595" t="s">
        <v>286</v>
      </c>
      <c r="B38" s="596"/>
      <c r="C38" s="596"/>
      <c r="D38" s="596"/>
      <c r="E38" s="596"/>
      <c r="F38" s="596"/>
      <c r="G38" s="596"/>
      <c r="H38" s="596"/>
      <c r="I38" s="596"/>
      <c r="J38" s="596"/>
      <c r="K38" s="596"/>
      <c r="L38" s="597"/>
      <c r="M38" s="597">
        <f>SUMIF($Z$35:$Z$36,"industrie",M35:M36)</f>
        <v>0</v>
      </c>
      <c r="N38" s="597">
        <f>SUMIF($Z$35:$Z$36,"industrie",N35:N36)</f>
        <v>0</v>
      </c>
      <c r="O38" s="597">
        <f>SUMIF($Z$35:$Z$36,"industrie",O35:O36)</f>
        <v>0</v>
      </c>
      <c r="P38" s="597">
        <f>SUMIF($Z$35:$Z$36,"industrie",P35:P36)</f>
        <v>0</v>
      </c>
      <c r="Q38" s="597">
        <f>SUMIF($Z$35:$Z$36,"industrie",Q35:Q36)</f>
        <v>0</v>
      </c>
      <c r="R38" s="597">
        <f>SUMIF($Z$35:$Z$36,"industrie",R35:R36)</f>
        <v>0</v>
      </c>
      <c r="S38" s="597">
        <f>SUMIF($Z$35:$Z$36,"industrie",S35:S36)</f>
        <v>0</v>
      </c>
      <c r="T38" s="597">
        <f>SUMIF($Z$35:$Z$36,"industrie",T35:T36)</f>
        <v>0</v>
      </c>
      <c r="U38" s="597">
        <f>SUMIF($Z$35:$Z$36,"industrie",U35:U36)</f>
        <v>0</v>
      </c>
      <c r="V38" s="597">
        <f>SUMIF($Z$35:$Z$36,"industrie",V35:V36)</f>
        <v>0</v>
      </c>
      <c r="W38" s="597">
        <f>SUMIF($Z$35:$Z$36,"industrie",W35:W36)</f>
        <v>0</v>
      </c>
      <c r="X38" s="598"/>
      <c r="Y38" s="598"/>
      <c r="Z38" s="599"/>
    </row>
    <row r="39" spans="1:27" s="576" customFormat="1">
      <c r="A39" s="595" t="s">
        <v>287</v>
      </c>
      <c r="B39" s="596"/>
      <c r="C39" s="596"/>
      <c r="D39" s="596"/>
      <c r="E39" s="596"/>
      <c r="F39" s="596"/>
      <c r="G39" s="596"/>
      <c r="H39" s="596"/>
      <c r="I39" s="596"/>
      <c r="J39" s="596"/>
      <c r="K39" s="596"/>
      <c r="L39" s="597"/>
      <c r="M39" s="597">
        <f>SUMIF($Z$35:$Z$37,"tertiair",M35:M37)</f>
        <v>0</v>
      </c>
      <c r="N39" s="597">
        <f>SUMIF($Z$35:$Z$37,"tertiair",N35:N37)</f>
        <v>0</v>
      </c>
      <c r="O39" s="597">
        <f>SUMIF($Z$35:$Z$37,"tertiair",O35:O37)</f>
        <v>0</v>
      </c>
      <c r="P39" s="597">
        <f>SUMIF($Z$35:$Z$37,"tertiair",P35:P37)</f>
        <v>0</v>
      </c>
      <c r="Q39" s="597">
        <f>SUMIF($Z$35:$Z$37,"tertiair",Q35:Q37)</f>
        <v>0</v>
      </c>
      <c r="R39" s="597">
        <f>SUMIF($Z$35:$Z$37,"tertiair",R35:R37)</f>
        <v>0</v>
      </c>
      <c r="S39" s="597">
        <f>SUMIF($Z$35:$Z$37,"tertiair",S35:S37)</f>
        <v>0</v>
      </c>
      <c r="T39" s="597">
        <f>SUMIF($Z$35:$Z$37,"tertiair",T35:T37)</f>
        <v>0</v>
      </c>
      <c r="U39" s="597">
        <f>SUMIF($Z$35:$Z$37,"tertiair",U35:U37)</f>
        <v>0</v>
      </c>
      <c r="V39" s="597">
        <f>SUMIF($Z$35:$Z$37,"tertiair",V35:V37)</f>
        <v>0</v>
      </c>
      <c r="W39" s="597">
        <f>SUMIF($Z$35:$Z$37,"tertiair",W35:W37)</f>
        <v>0</v>
      </c>
      <c r="X39" s="598"/>
      <c r="Y39" s="598"/>
      <c r="Z39" s="599"/>
    </row>
    <row r="40" spans="1:27" s="576" customFormat="1" ht="15.75" thickBot="1">
      <c r="A40" s="600" t="s">
        <v>288</v>
      </c>
      <c r="B40" s="601"/>
      <c r="C40" s="601"/>
      <c r="D40" s="601"/>
      <c r="E40" s="601"/>
      <c r="F40" s="601"/>
      <c r="G40" s="601"/>
      <c r="H40" s="601"/>
      <c r="I40" s="601"/>
      <c r="J40" s="601"/>
      <c r="K40" s="601"/>
      <c r="L40" s="602"/>
      <c r="M40" s="602">
        <f>SUMIF($Z$35:$Z$38,"landbouw",M35:M38)</f>
        <v>410</v>
      </c>
      <c r="N40" s="602">
        <f>SUMIF($Z$35:$Z$38,"landbouw",N35:N38)</f>
        <v>1845</v>
      </c>
      <c r="O40" s="602">
        <f>SUMIF($Z$35:$Z$38,"landbouw",O35:O38)</f>
        <v>0</v>
      </c>
      <c r="P40" s="602">
        <f>SUMIF($Z$35:$Z$38,"landbouw",P35:P38)</f>
        <v>0</v>
      </c>
      <c r="Q40" s="602">
        <f>SUMIF($Z$35:$Z$38,"landbouw",Q35:Q38)</f>
        <v>0</v>
      </c>
      <c r="R40" s="602">
        <f>SUMIF($Z$35:$Z$38,"landbouw",R35:R38)</f>
        <v>0</v>
      </c>
      <c r="S40" s="602">
        <f>SUMIF($Z$35:$Z$38,"landbouw",S35:S38)</f>
        <v>0</v>
      </c>
      <c r="T40" s="602">
        <f>SUMIF($Z$35:$Z$38,"landbouw",T35:T38)</f>
        <v>0</v>
      </c>
      <c r="U40" s="602">
        <f>SUMIF($Z$35:$Z$38,"landbouw",U35:U38)</f>
        <v>0</v>
      </c>
      <c r="V40" s="602">
        <f>SUMIF($Z$35:$Z$38,"landbouw",V35:V38)</f>
        <v>5220</v>
      </c>
      <c r="W40" s="602">
        <f>SUMIF($Z$35:$Z$38,"landbouw",W35:W38)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IF(ISERROR(O29/(O29+N29)),0,O29/(O29+N29))</f>
        <v>0.58823529411764708</v>
      </c>
      <c r="C46" s="622">
        <f>IF(ISERROR(N29/(O29+N29)),0,N29/(N29+O29))</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$C$46*P29</f>
        <v>0</v>
      </c>
      <c r="C49" s="631">
        <f t="shared" si="2"/>
        <v>51.35294117647058</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$B$46*P29</f>
        <v>0</v>
      </c>
      <c r="C50" s="634">
        <f t="shared" si="3"/>
        <v>73.361344537815114</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30273.379420349564</v>
      </c>
      <c r="C4" s="458">
        <f>huishoudens!C8</f>
        <v>0</v>
      </c>
      <c r="D4" s="458">
        <f>huishoudens!D8</f>
        <v>63285.857910000006</v>
      </c>
      <c r="E4" s="458">
        <f>huishoudens!E8</f>
        <v>10605.905376222361</v>
      </c>
      <c r="F4" s="458">
        <f>huishoudens!F8</f>
        <v>11202.434289827406</v>
      </c>
      <c r="G4" s="458">
        <f>huishoudens!G8</f>
        <v>0</v>
      </c>
      <c r="H4" s="458">
        <f>huishoudens!H8</f>
        <v>0</v>
      </c>
      <c r="I4" s="458">
        <f>huishoudens!I8</f>
        <v>0</v>
      </c>
      <c r="J4" s="458">
        <f>huishoudens!J8</f>
        <v>3967.1678154611882</v>
      </c>
      <c r="K4" s="458">
        <f>huishoudens!K8</f>
        <v>0</v>
      </c>
      <c r="L4" s="458">
        <f>huishoudens!L8</f>
        <v>0</v>
      </c>
      <c r="M4" s="458">
        <f>huishoudens!M8</f>
        <v>0</v>
      </c>
      <c r="N4" s="458">
        <f>huishoudens!N8</f>
        <v>31020.109698822416</v>
      </c>
      <c r="O4" s="458">
        <f>huishoudens!O8</f>
        <v>201.67000000000004</v>
      </c>
      <c r="P4" s="459">
        <f>huishoudens!P8</f>
        <v>381.33333333333337</v>
      </c>
      <c r="Q4" s="460">
        <f>SUM(B4:P4)</f>
        <v>150937.85784401628</v>
      </c>
    </row>
    <row r="5" spans="1:17">
      <c r="A5" s="457" t="s">
        <v>155</v>
      </c>
      <c r="B5" s="458">
        <f ca="1">tertiair!B16</f>
        <v>29080.678</v>
      </c>
      <c r="C5" s="458">
        <f ca="1">tertiair!C16</f>
        <v>0</v>
      </c>
      <c r="D5" s="458">
        <f ca="1">tertiair!D16</f>
        <v>15163.890918000001</v>
      </c>
      <c r="E5" s="458">
        <f>tertiair!E16</f>
        <v>347.65801105662865</v>
      </c>
      <c r="F5" s="458">
        <f ca="1">tertiair!F16</f>
        <v>6643.0358047606833</v>
      </c>
      <c r="G5" s="458">
        <f>tertiair!G16</f>
        <v>0</v>
      </c>
      <c r="H5" s="458">
        <f>tertiair!H16</f>
        <v>0</v>
      </c>
      <c r="I5" s="458">
        <f>tertiair!I16</f>
        <v>0</v>
      </c>
      <c r="J5" s="458">
        <f>tertiair!J16</f>
        <v>0</v>
      </c>
      <c r="K5" s="458">
        <f>tertiair!K16</f>
        <v>0</v>
      </c>
      <c r="L5" s="458">
        <f ca="1">tertiair!L16</f>
        <v>0</v>
      </c>
      <c r="M5" s="458">
        <f>tertiair!M16</f>
        <v>0</v>
      </c>
      <c r="N5" s="458">
        <f ca="1">tertiair!N16</f>
        <v>6921.4640873536728</v>
      </c>
      <c r="O5" s="458">
        <f>tertiair!O16</f>
        <v>3.1266666666666669</v>
      </c>
      <c r="P5" s="459">
        <f>tertiair!P16</f>
        <v>19.066666666666666</v>
      </c>
      <c r="Q5" s="457">
        <f t="shared" ref="Q5:Q14" ca="1" si="0">SUM(B5:P5)</f>
        <v>58178.920154504318</v>
      </c>
    </row>
    <row r="6" spans="1:17">
      <c r="A6" s="457" t="s">
        <v>193</v>
      </c>
      <c r="B6" s="458">
        <f>'openbare verlichting'!B8</f>
        <v>1459.9169999999999</v>
      </c>
      <c r="C6" s="458"/>
      <c r="D6" s="458"/>
      <c r="E6" s="458"/>
      <c r="F6" s="458"/>
      <c r="G6" s="458"/>
      <c r="H6" s="458"/>
      <c r="I6" s="458"/>
      <c r="J6" s="458"/>
      <c r="K6" s="458"/>
      <c r="L6" s="458"/>
      <c r="M6" s="458"/>
      <c r="N6" s="458"/>
      <c r="O6" s="458"/>
      <c r="P6" s="459"/>
      <c r="Q6" s="457">
        <f t="shared" si="0"/>
        <v>1459.9169999999999</v>
      </c>
    </row>
    <row r="7" spans="1:17">
      <c r="A7" s="457" t="s">
        <v>111</v>
      </c>
      <c r="B7" s="458">
        <f>landbouw!B8</f>
        <v>10504.040095372997</v>
      </c>
      <c r="C7" s="458">
        <f>landbouw!C8</f>
        <v>62.357142857142847</v>
      </c>
      <c r="D7" s="458">
        <f>landbouw!D8</f>
        <v>1032.771058</v>
      </c>
      <c r="E7" s="458">
        <f>landbouw!E8</f>
        <v>132.36443715666746</v>
      </c>
      <c r="F7" s="458">
        <f>landbouw!F8</f>
        <v>36241.569748314476</v>
      </c>
      <c r="G7" s="458">
        <f>landbouw!G8</f>
        <v>0</v>
      </c>
      <c r="H7" s="458">
        <f>landbouw!H8</f>
        <v>0</v>
      </c>
      <c r="I7" s="458">
        <f>landbouw!I8</f>
        <v>0</v>
      </c>
      <c r="J7" s="458">
        <f>landbouw!J8</f>
        <v>1579.6882246305145</v>
      </c>
      <c r="K7" s="458">
        <f>landbouw!K8</f>
        <v>0</v>
      </c>
      <c r="L7" s="458">
        <f>landbouw!L8</f>
        <v>0</v>
      </c>
      <c r="M7" s="458">
        <f>landbouw!M8</f>
        <v>0</v>
      </c>
      <c r="N7" s="458">
        <f>landbouw!N8</f>
        <v>0</v>
      </c>
      <c r="O7" s="458">
        <f>landbouw!O8</f>
        <v>0</v>
      </c>
      <c r="P7" s="459">
        <f>landbouw!P8</f>
        <v>0</v>
      </c>
      <c r="Q7" s="457">
        <f t="shared" si="0"/>
        <v>49552.790706331798</v>
      </c>
    </row>
    <row r="8" spans="1:17">
      <c r="A8" s="457" t="s">
        <v>655</v>
      </c>
      <c r="B8" s="458">
        <f>industrie!B18</f>
        <v>19155.303000000004</v>
      </c>
      <c r="C8" s="458">
        <f>industrie!C18</f>
        <v>0</v>
      </c>
      <c r="D8" s="458">
        <f>industrie!D18</f>
        <v>10771.913108000001</v>
      </c>
      <c r="E8" s="458">
        <f>industrie!E18</f>
        <v>3223.6529821238187</v>
      </c>
      <c r="F8" s="458">
        <f>industrie!F18</f>
        <v>15289.708228646656</v>
      </c>
      <c r="G8" s="458">
        <f>industrie!G18</f>
        <v>0</v>
      </c>
      <c r="H8" s="458">
        <f>industrie!H18</f>
        <v>0</v>
      </c>
      <c r="I8" s="458">
        <f>industrie!I18</f>
        <v>0</v>
      </c>
      <c r="J8" s="458">
        <f>industrie!J18</f>
        <v>1.8767041675876708</v>
      </c>
      <c r="K8" s="458">
        <f>industrie!K18</f>
        <v>0</v>
      </c>
      <c r="L8" s="458">
        <f>industrie!L18</f>
        <v>0</v>
      </c>
      <c r="M8" s="458">
        <f>industrie!M18</f>
        <v>0</v>
      </c>
      <c r="N8" s="458">
        <f>industrie!N18</f>
        <v>2466.4826287423743</v>
      </c>
      <c r="O8" s="458">
        <f>industrie!O18</f>
        <v>0</v>
      </c>
      <c r="P8" s="459">
        <f>industrie!P18</f>
        <v>0</v>
      </c>
      <c r="Q8" s="457">
        <f t="shared" si="0"/>
        <v>50908.936651680437</v>
      </c>
    </row>
    <row r="9" spans="1:17" s="463" customFormat="1">
      <c r="A9" s="461" t="s">
        <v>573</v>
      </c>
      <c r="B9" s="462">
        <f>transport!B14</f>
        <v>6.466635898622223</v>
      </c>
      <c r="C9" s="462">
        <f>transport!C14</f>
        <v>0</v>
      </c>
      <c r="D9" s="462">
        <f>transport!D14</f>
        <v>10.576272561397921</v>
      </c>
      <c r="E9" s="462">
        <f>transport!E14</f>
        <v>374.09016012475587</v>
      </c>
      <c r="F9" s="462">
        <f>transport!F14</f>
        <v>0</v>
      </c>
      <c r="G9" s="462">
        <f>transport!G14</f>
        <v>109062.68772629181</v>
      </c>
      <c r="H9" s="462">
        <f>transport!H14</f>
        <v>19302.214932849667</v>
      </c>
      <c r="I9" s="462">
        <f>transport!I14</f>
        <v>0</v>
      </c>
      <c r="J9" s="462">
        <f>transport!J14</f>
        <v>0</v>
      </c>
      <c r="K9" s="462">
        <f>transport!K14</f>
        <v>0</v>
      </c>
      <c r="L9" s="462">
        <f>transport!L14</f>
        <v>0</v>
      </c>
      <c r="M9" s="462">
        <f>transport!M14</f>
        <v>5804.177108764351</v>
      </c>
      <c r="N9" s="462">
        <f>transport!N14</f>
        <v>0</v>
      </c>
      <c r="O9" s="462">
        <f>transport!O14</f>
        <v>0</v>
      </c>
      <c r="P9" s="462">
        <f>transport!P14</f>
        <v>0</v>
      </c>
      <c r="Q9" s="461">
        <f>SUM(B9:P9)</f>
        <v>134560.21283649062</v>
      </c>
    </row>
    <row r="10" spans="1:17">
      <c r="A10" s="457" t="s">
        <v>563</v>
      </c>
      <c r="B10" s="458">
        <f>transport!B54</f>
        <v>0</v>
      </c>
      <c r="C10" s="458">
        <f>transport!C54</f>
        <v>0</v>
      </c>
      <c r="D10" s="458">
        <f>transport!D54</f>
        <v>0</v>
      </c>
      <c r="E10" s="458">
        <f>transport!E54</f>
        <v>0</v>
      </c>
      <c r="F10" s="458">
        <f>transport!F54</f>
        <v>0</v>
      </c>
      <c r="G10" s="458">
        <f>transport!G54</f>
        <v>1920.6092656353958</v>
      </c>
      <c r="H10" s="458">
        <f>transport!H54</f>
        <v>0</v>
      </c>
      <c r="I10" s="458">
        <f>transport!I54</f>
        <v>0</v>
      </c>
      <c r="J10" s="458">
        <f>transport!J54</f>
        <v>0</v>
      </c>
      <c r="K10" s="458">
        <f>transport!K54</f>
        <v>0</v>
      </c>
      <c r="L10" s="458">
        <f>transport!L54</f>
        <v>0</v>
      </c>
      <c r="M10" s="458">
        <f>transport!M54</f>
        <v>85.487907318465489</v>
      </c>
      <c r="N10" s="458">
        <f>transport!N54</f>
        <v>0</v>
      </c>
      <c r="O10" s="458">
        <f>transport!O54</f>
        <v>0</v>
      </c>
      <c r="P10" s="459">
        <f>transport!P54</f>
        <v>0</v>
      </c>
      <c r="Q10" s="457">
        <f t="shared" si="0"/>
        <v>2006.0971729538612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686.37599999999998</v>
      </c>
      <c r="C14" s="465"/>
      <c r="D14" s="465">
        <f>'SEAP template'!E25</f>
        <v>6001.7950000000001</v>
      </c>
      <c r="E14" s="465"/>
      <c r="F14" s="465"/>
      <c r="G14" s="465"/>
      <c r="H14" s="465"/>
      <c r="I14" s="465"/>
      <c r="J14" s="465"/>
      <c r="K14" s="465"/>
      <c r="L14" s="465"/>
      <c r="M14" s="465"/>
      <c r="N14" s="465"/>
      <c r="O14" s="465"/>
      <c r="P14" s="466"/>
      <c r="Q14" s="457">
        <f t="shared" si="0"/>
        <v>6688.1710000000003</v>
      </c>
    </row>
    <row r="15" spans="1:17" s="470" customFormat="1">
      <c r="A15" s="467" t="s">
        <v>567</v>
      </c>
      <c r="B15" s="468">
        <f ca="1">SUM(B4:B14)</f>
        <v>91166.160151621196</v>
      </c>
      <c r="C15" s="468">
        <f t="shared" ref="C15:Q15" ca="1" si="1">SUM(C4:C14)</f>
        <v>62.357142857142847</v>
      </c>
      <c r="D15" s="468">
        <f t="shared" ca="1" si="1"/>
        <v>96266.804266561405</v>
      </c>
      <c r="E15" s="468">
        <f t="shared" si="1"/>
        <v>14683.670966684231</v>
      </c>
      <c r="F15" s="468">
        <f t="shared" ca="1" si="1"/>
        <v>69376.748071549227</v>
      </c>
      <c r="G15" s="468">
        <f t="shared" si="1"/>
        <v>110983.29699192721</v>
      </c>
      <c r="H15" s="468">
        <f t="shared" si="1"/>
        <v>19302.214932849667</v>
      </c>
      <c r="I15" s="468">
        <f t="shared" si="1"/>
        <v>0</v>
      </c>
      <c r="J15" s="468">
        <f t="shared" si="1"/>
        <v>5548.7327442592905</v>
      </c>
      <c r="K15" s="468">
        <f t="shared" si="1"/>
        <v>0</v>
      </c>
      <c r="L15" s="468">
        <f t="shared" ca="1" si="1"/>
        <v>0</v>
      </c>
      <c r="M15" s="468">
        <f t="shared" si="1"/>
        <v>5889.6650160828167</v>
      </c>
      <c r="N15" s="468">
        <f t="shared" ca="1" si="1"/>
        <v>40408.056414918457</v>
      </c>
      <c r="O15" s="468">
        <f t="shared" si="1"/>
        <v>204.79666666666671</v>
      </c>
      <c r="P15" s="468">
        <f t="shared" si="1"/>
        <v>400.40000000000003</v>
      </c>
      <c r="Q15" s="468">
        <f t="shared" ca="1" si="1"/>
        <v>454292.90336597734</v>
      </c>
    </row>
    <row r="17" spans="1:17">
      <c r="A17" s="471" t="s">
        <v>568</v>
      </c>
      <c r="B17" s="777">
        <f ca="1">huishoudens!B10</f>
        <v>0.19074452014243765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5774.4812306245249</v>
      </c>
      <c r="C22" s="458">
        <f t="shared" ref="C22:C32" ca="1" si="3">C4*$C$17</f>
        <v>0</v>
      </c>
      <c r="D22" s="458">
        <f t="shared" ref="D22:D32" si="4">D4*$D$17</f>
        <v>12783.743297820001</v>
      </c>
      <c r="E22" s="458">
        <f t="shared" ref="E22:E32" si="5">E4*$E$17</f>
        <v>2407.540520402476</v>
      </c>
      <c r="F22" s="458">
        <f t="shared" ref="F22:F32" si="6">F4*$F$17</f>
        <v>2991.0499553839177</v>
      </c>
      <c r="G22" s="458">
        <f t="shared" ref="G22:G32" si="7">G4*$G$17</f>
        <v>0</v>
      </c>
      <c r="H22" s="458">
        <f t="shared" ref="H22:H32" si="8">H4*$H$17</f>
        <v>0</v>
      </c>
      <c r="I22" s="458">
        <f t="shared" ref="I22:I32" si="9">I4*$I$17</f>
        <v>0</v>
      </c>
      <c r="J22" s="458">
        <f t="shared" ref="J22:J32" si="10">J4*$J$17</f>
        <v>1404.3774066732606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25361.192410904183</v>
      </c>
    </row>
    <row r="23" spans="1:17">
      <c r="A23" s="457" t="s">
        <v>155</v>
      </c>
      <c r="B23" s="458">
        <f t="shared" ca="1" si="2"/>
        <v>5546.9799705267433</v>
      </c>
      <c r="C23" s="458">
        <f t="shared" ca="1" si="3"/>
        <v>0</v>
      </c>
      <c r="D23" s="458">
        <f t="shared" ca="1" si="4"/>
        <v>3063.1059654360006</v>
      </c>
      <c r="E23" s="458">
        <f t="shared" si="5"/>
        <v>78.918368509854702</v>
      </c>
      <c r="F23" s="458">
        <f t="shared" ca="1" si="6"/>
        <v>1773.6905598711026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10462.694864343699</v>
      </c>
    </row>
    <row r="24" spans="1:17">
      <c r="A24" s="457" t="s">
        <v>193</v>
      </c>
      <c r="B24" s="458">
        <f t="shared" ca="1" si="2"/>
        <v>278.4711676127871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278.4711676127871</v>
      </c>
    </row>
    <row r="25" spans="1:17">
      <c r="A25" s="457" t="s">
        <v>111</v>
      </c>
      <c r="B25" s="458">
        <f t="shared" ca="1" si="2"/>
        <v>2003.5880875488472</v>
      </c>
      <c r="C25" s="458">
        <f t="shared" ca="1" si="3"/>
        <v>0</v>
      </c>
      <c r="D25" s="458">
        <f t="shared" si="4"/>
        <v>208.61975371600002</v>
      </c>
      <c r="E25" s="458">
        <f t="shared" si="5"/>
        <v>30.046727234563516</v>
      </c>
      <c r="F25" s="458">
        <f t="shared" si="6"/>
        <v>9676.4991227999653</v>
      </c>
      <c r="G25" s="458">
        <f t="shared" si="7"/>
        <v>0</v>
      </c>
      <c r="H25" s="458">
        <f t="shared" si="8"/>
        <v>0</v>
      </c>
      <c r="I25" s="458">
        <f t="shared" si="9"/>
        <v>0</v>
      </c>
      <c r="J25" s="458">
        <f t="shared" si="10"/>
        <v>559.20963151920205</v>
      </c>
      <c r="K25" s="458">
        <f t="shared" si="11"/>
        <v>0</v>
      </c>
      <c r="L25" s="458">
        <f t="shared" si="12"/>
        <v>0</v>
      </c>
      <c r="M25" s="458">
        <f t="shared" si="13"/>
        <v>0</v>
      </c>
      <c r="N25" s="458">
        <f t="shared" si="14"/>
        <v>0</v>
      </c>
      <c r="O25" s="458">
        <f t="shared" si="15"/>
        <v>0</v>
      </c>
      <c r="P25" s="459">
        <f t="shared" si="16"/>
        <v>0</v>
      </c>
      <c r="Q25" s="457">
        <f t="shared" ca="1" si="17"/>
        <v>12477.963322818578</v>
      </c>
    </row>
    <row r="26" spans="1:17">
      <c r="A26" s="457" t="s">
        <v>655</v>
      </c>
      <c r="B26" s="458">
        <f t="shared" ca="1" si="2"/>
        <v>3653.7690789179969</v>
      </c>
      <c r="C26" s="458">
        <f t="shared" ca="1" si="3"/>
        <v>0</v>
      </c>
      <c r="D26" s="458">
        <f t="shared" si="4"/>
        <v>2175.9264478160003</v>
      </c>
      <c r="E26" s="458">
        <f t="shared" si="5"/>
        <v>731.76922694210691</v>
      </c>
      <c r="F26" s="458">
        <f t="shared" si="6"/>
        <v>4082.3520970486575</v>
      </c>
      <c r="G26" s="458">
        <f t="shared" si="7"/>
        <v>0</v>
      </c>
      <c r="H26" s="458">
        <f t="shared" si="8"/>
        <v>0</v>
      </c>
      <c r="I26" s="458">
        <f t="shared" si="9"/>
        <v>0</v>
      </c>
      <c r="J26" s="458">
        <f t="shared" si="10"/>
        <v>0.66435327532603539</v>
      </c>
      <c r="K26" s="458">
        <f t="shared" si="11"/>
        <v>0</v>
      </c>
      <c r="L26" s="458">
        <f t="shared" si="12"/>
        <v>0</v>
      </c>
      <c r="M26" s="458">
        <f t="shared" si="13"/>
        <v>0</v>
      </c>
      <c r="N26" s="458">
        <f t="shared" si="14"/>
        <v>0</v>
      </c>
      <c r="O26" s="458">
        <f t="shared" si="15"/>
        <v>0</v>
      </c>
      <c r="P26" s="459">
        <f t="shared" si="16"/>
        <v>0</v>
      </c>
      <c r="Q26" s="457">
        <f t="shared" ca="1" si="17"/>
        <v>10644.481204000087</v>
      </c>
    </row>
    <row r="27" spans="1:17" s="463" customFormat="1">
      <c r="A27" s="461" t="s">
        <v>573</v>
      </c>
      <c r="B27" s="771">
        <f t="shared" ca="1" si="2"/>
        <v>1.233475361418557</v>
      </c>
      <c r="C27" s="462">
        <f t="shared" ca="1" si="3"/>
        <v>0</v>
      </c>
      <c r="D27" s="462">
        <f t="shared" si="4"/>
        <v>2.1364070574023803</v>
      </c>
      <c r="E27" s="462">
        <f t="shared" si="5"/>
        <v>84.918466348319583</v>
      </c>
      <c r="F27" s="462">
        <f t="shared" si="6"/>
        <v>0</v>
      </c>
      <c r="G27" s="462">
        <f t="shared" si="7"/>
        <v>29119.737622919914</v>
      </c>
      <c r="H27" s="462">
        <f t="shared" si="8"/>
        <v>4806.2515182795669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34014.277489966618</v>
      </c>
    </row>
    <row r="28" spans="1:17">
      <c r="A28" s="457" t="s">
        <v>563</v>
      </c>
      <c r="B28" s="458">
        <f t="shared" ca="1" si="2"/>
        <v>0</v>
      </c>
      <c r="C28" s="458">
        <f t="shared" ca="1" si="3"/>
        <v>0</v>
      </c>
      <c r="D28" s="458">
        <f t="shared" si="4"/>
        <v>0</v>
      </c>
      <c r="E28" s="458">
        <f t="shared" si="5"/>
        <v>0</v>
      </c>
      <c r="F28" s="458">
        <f t="shared" si="6"/>
        <v>0</v>
      </c>
      <c r="G28" s="458">
        <f t="shared" si="7"/>
        <v>512.80267392465066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512.80267392465066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130.92246075728579</v>
      </c>
      <c r="C32" s="458">
        <f t="shared" ca="1" si="3"/>
        <v>0</v>
      </c>
      <c r="D32" s="458">
        <f t="shared" si="4"/>
        <v>1212.3625900000002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1343.2850507572859</v>
      </c>
    </row>
    <row r="33" spans="1:17" s="470" customFormat="1">
      <c r="A33" s="467" t="s">
        <v>567</v>
      </c>
      <c r="B33" s="468">
        <f ca="1">SUM(B22:B32)</f>
        <v>17389.445471349605</v>
      </c>
      <c r="C33" s="468">
        <f t="shared" ref="C33:Q33" ca="1" si="18">SUM(C22:C32)</f>
        <v>0</v>
      </c>
      <c r="D33" s="468">
        <f t="shared" ca="1" si="18"/>
        <v>19445.894461845404</v>
      </c>
      <c r="E33" s="468">
        <f t="shared" si="18"/>
        <v>3333.1933094373207</v>
      </c>
      <c r="F33" s="468">
        <f t="shared" ca="1" si="18"/>
        <v>18523.591735103644</v>
      </c>
      <c r="G33" s="468">
        <f t="shared" si="18"/>
        <v>29632.540296844563</v>
      </c>
      <c r="H33" s="468">
        <f t="shared" si="18"/>
        <v>4806.2515182795669</v>
      </c>
      <c r="I33" s="468">
        <f t="shared" si="18"/>
        <v>0</v>
      </c>
      <c r="J33" s="468">
        <f t="shared" si="18"/>
        <v>1964.2513914677886</v>
      </c>
      <c r="K33" s="468">
        <f t="shared" si="18"/>
        <v>0</v>
      </c>
      <c r="L33" s="468">
        <f t="shared" ca="1" si="18"/>
        <v>0</v>
      </c>
      <c r="M33" s="468">
        <f t="shared" si="18"/>
        <v>0</v>
      </c>
      <c r="N33" s="468">
        <f t="shared" ca="1" si="18"/>
        <v>0</v>
      </c>
      <c r="O33" s="468">
        <f t="shared" si="18"/>
        <v>0</v>
      </c>
      <c r="P33" s="468">
        <f t="shared" si="18"/>
        <v>0</v>
      </c>
      <c r="Q33" s="468">
        <f t="shared" ca="1" si="18"/>
        <v>95095.168184327893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2944.2472849999999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7647.9892406048884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1845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5220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12480.886525604888</v>
      </c>
      <c r="C10" s="1038">
        <f>SUM(C4:C9)</f>
        <v>0</v>
      </c>
      <c r="D10" s="1038">
        <f t="shared" ref="D10:H10" si="0">SUM(D8:D9)</f>
        <v>0</v>
      </c>
      <c r="E10" s="1038">
        <f t="shared" si="0"/>
        <v>0</v>
      </c>
      <c r="F10" s="1038">
        <f t="shared" si="0"/>
        <v>0</v>
      </c>
      <c r="G10" s="1038">
        <f t="shared" si="0"/>
        <v>0</v>
      </c>
      <c r="H10" s="1038">
        <f t="shared" si="0"/>
        <v>0</v>
      </c>
      <c r="I10" s="1038">
        <f>SUM(I8:I9)</f>
        <v>0</v>
      </c>
      <c r="J10" s="1038">
        <f>SUM(J8:J9)</f>
        <v>5271.3529411764703</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0.19074452014243765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0.19074452014243765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2020-06-20T16:18:23Z</dcterms:modified>
</cp:coreProperties>
</file>