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I17" i="18" s="1"/>
  <c r="I20" i="18" s="1"/>
  <c r="F51" i="18"/>
  <c r="C51" i="18"/>
  <c r="B51" i="18"/>
  <c r="C17" i="18" s="1"/>
  <c r="C20" i="18" s="1"/>
  <c r="C47" i="18"/>
  <c r="F20" i="18"/>
  <c r="B20"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8" i="48"/>
  <c r="E26" i="48" s="1"/>
  <c r="F13" i="14"/>
  <c r="F16" i="14" s="1"/>
  <c r="F27" i="14" s="1"/>
  <c r="F63" i="14" s="1"/>
  <c r="J15" i="48"/>
  <c r="E23" i="48"/>
  <c r="E33" i="48" s="1"/>
  <c r="N63" i="14"/>
  <c r="J22" i="16"/>
  <c r="K43" i="14" s="1"/>
  <c r="K46" i="14" s="1"/>
  <c r="K61" i="14" s="1"/>
  <c r="K13" i="14"/>
  <c r="K16" i="14" s="1"/>
  <c r="K27" i="14" s="1"/>
  <c r="J8" i="48"/>
  <c r="J26" i="48" s="1"/>
  <c r="J33"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<sst xmlns="http://schemas.openxmlformats.org/spreadsheetml/2006/main" count="2474" uniqueCount="933">
  <si>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</si>
  <si>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</si>
  <si>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</si>
  <si>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</si>
  <si>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</si>
  <si>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</si>
  <si>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</si>
  <si>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</si>
  <si>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</si>
  <si>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</si>
  <si>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</si>
  <si>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</si>
  <si>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</si>
  <si>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</si>
  <si>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</si>
  <si>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</si>
  <si>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</si>
  <si>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</si>
  <si>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</si>
  <si>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</si>
  <si>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</si>
  <si>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</si>
  <si>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</si>
  <si>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</si>
  <si>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</si>
  <si>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</si>
  <si>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</si>
  <si>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</si>
  <si>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</si>
  <si>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</si>
  <si>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</si>
  <si>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</si>
  <si>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</si>
  <si>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</si>
  <si>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</si>
  <si>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</si>
  <si>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</si>
  <si>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</si>
  <si>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</si>
  <si>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</si>
  <si>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</si>
  <si>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</si>
  <si>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</si>
  <si>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</si>
  <si>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</si>
  <si>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</si>
  <si>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</si>
  <si>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</si>
  <si>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</si>
  <si>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</si>
  <si>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</si>
  <si>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</si>
  <si>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</si>
  <si>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</si>
  <si>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</si>
  <si>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</si>
  <si>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</si>
  <si>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</si>
  <si>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</si>
  <si>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</si>
  <si>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</si>
  <si>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</si>
  <si>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</si>
  <si>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</si>
  <si>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</si>
  <si>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</si>
  <si>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</si>
  <si>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</si>
  <si>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</si>
  <si>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</si>
  <si>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</si>
  <si>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</si>
  <si>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</si>
  <si>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</si>
  <si>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</si>
  <si>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</si>
  <si>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</si>
  <si>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</si>
  <si>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</si>
  <si>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</si>
  <si>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</si>
  <si>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</si>
  <si>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</si>
  <si>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</si>
  <si>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</si>
  <si>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</si>
  <si>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</si>
  <si>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</si>
  <si>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</si>
  <si>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</si>
  <si>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</si>
  <si>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</si>
  <si>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</si>
  <si>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</si>
  <si>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</si>
  <si>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</si>
  <si>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</si>
  <si>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</si>
  <si>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</si>
  <si>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</si>
  <si>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</si>
  <si>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</si>
  <si>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</si>
  <si>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</si>
  <si>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</si>
  <si>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</si>
  <si>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</si>
  <si>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</si>
  <si>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</si>
  <si>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</si>
  <si>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</si>
  <si>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</si>
  <si>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</si>
  <si>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</si>
  <si>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</si>
  <si>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</si>
  <si>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</si>
  <si>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</si>
  <si>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</si>
  <si>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</si>
  <si>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</si>
  <si>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</si>
  <si>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</si>
  <si>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</si>
  <si>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</si>
  <si>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</si>
  <si>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</si>
  <si>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</si>
  <si>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</si>
  <si>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</si>
  <si>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</si>
  <si>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</si>
  <si>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</si>
  <si>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</si>
  <si>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</si>
  <si>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</si>
  <si>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</si>
  <si>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</si>
  <si>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</si>
  <si>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</si>
  <si>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</si>
  <si>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</si>
  <si>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</si>
  <si>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</si>
  <si>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</si>
  <si>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</si>
  <si>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</si>
  <si>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</si>
  <si>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</si>
  <si>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</si>
  <si>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</si>
  <si>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</si>
  <si>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</si>
  <si>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</si>
  <si>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</si>
  <si>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</si>
  <si>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</si>
  <si>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</si>
  <si>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</si>
  <si>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</si>
  <si>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</si>
  <si>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</si>
  <si>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</si>
  <si>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</si>
  <si>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</si>
  <si>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</si>
  <si>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</si>
  <si>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</si>
  <si>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</si>
  <si>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</si>
  <si>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</si>
  <si>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</si>
  <si>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</si>
  <si>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</si>
  <si>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</si>
  <si>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</si>
  <si>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</si>
  <si>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</si>
  <si>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</si>
  <si>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</si>
  <si>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</si>
  <si>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</si>
  <si>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</si>
  <si>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</si>
  <si>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</si>
  <si>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</si>
  <si>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</si>
  <si>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</si>
  <si>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</si>
  <si>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</si>
  <si>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</si>
  <si>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</si>
  <si>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</si>
  <si>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</si>
  <si>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</si>
  <si>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</si>
  <si>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</si>
  <si>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</si>
  <si>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</si>
  <si>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</si>
  <si>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</si>
  <si>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</si>
  <si>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</si>
  <si>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</si>
  <si>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</si>
  <si>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</si>
  <si>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</si>
  <si>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</si>
  <si>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</si>
  <si>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</si>
  <si>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</si>
  <si>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</si>
  <si>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</si>
  <si>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</si>
  <si>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</si>
  <si>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</si>
  <si>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</si>
  <si>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</si>
  <si>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</si>
  <si>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</si>
  <si>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</si>
  <si>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</si>
  <si>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</si>
  <si>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</si>
  <si>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</si>
  <si>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</si>
  <si>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</si>
  <si>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</si>
  <si>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</si>
  <si>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</si>
  <si>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</si>
  <si>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</si>
  <si>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</si>
  <si>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</si>
  <si>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</si>
  <si>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</si>
  <si>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</si>
  <si>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</si>
  <si>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</si>
  <si>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</si>
  <si>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</si>
  <si>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</si>
  <si>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</si>
  <si>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</si>
  <si>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</si>
  <si>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</si>
  <si>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</si>
  <si>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</si>
  <si>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</si>
  <si>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</si>
  <si>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</si>
  <si>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</si>
  <si>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</si>
  <si>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</si>
  <si>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</si>
  <si>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</si>
  <si>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</si>
  <si>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</si>
  <si>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</si>
  <si>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</si>
  <si>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</si>
  <si>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</si>
  <si>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</si>
  <si>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</si>
  <si>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</si>
  <si>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</si>
  <si>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</si>
  <si>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</si>
  <si>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</si>
  <si>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</si>
  <si>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</si>
  <si>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</si>
  <si>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</si>
  <si>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</si>
  <si>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</si>
  <si>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</si>
  <si>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</si>
  <si>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</si>
  <si>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</si>
  <si>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</si>
  <si>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</si>
  <si>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</si>
  <si>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</si>
  <si>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</si>
  <si>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</si>
  <si>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</si>
  <si>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</si>
  <si>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</si>
  <si>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</si>
  <si>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</si>
  <si>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</si>
  <si>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</si>
  <si>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</si>
  <si>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</si>
  <si>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</si>
  <si>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</si>
  <si>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</si>
  <si>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</si>
  <si>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</si>
  <si>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</si>
  <si>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</si>
  <si>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</si>
  <si>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</si>
  <si>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</si>
  <si>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</si>
  <si>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</si>
  <si>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</si>
  <si>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</si>
  <si>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</si>
  <si>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</si>
  <si>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</si>
  <si>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</si>
  <si>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</si>
  <si>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</si>
  <si>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</si>
  <si>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</si>
  <si>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</si>
  <si>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</si>
  <si>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</si>
  <si>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</si>
  <si>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</si>
  <si>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</si>
  <si>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</si>
  <si>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</si>
  <si>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</si>
  <si>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</si>
  <si>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</si>
  <si>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</si>
  <si>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</si>
  <si>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</si>
  <si>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</si>
  <si>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</si>
  <si>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</si>
  <si>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</si>
  <si>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</si>
  <si>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</si>
  <si>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</si>
  <si>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</si>
  <si>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</si>
  <si>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</si>
  <si>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</si>
  <si>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</si>
  <si>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</si>
  <si>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</si>
  <si>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</si>
  <si>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</si>
  <si>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</si>
  <si>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</si>
  <si>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</si>
  <si>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</si>
  <si>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</si>
  <si>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</si>
  <si>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</si>
  <si>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</si>
  <si>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</si>
  <si>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</si>
  <si>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</si>
  <si>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</si>
  <si>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</si>
  <si>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</si>
  <si>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</si>
  <si>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</si>
  <si>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</si>
  <si>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</si>
  <si>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</si>
  <si>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</si>
  <si>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</si>
  <si>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</si>
  <si>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</si>
  <si>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</si>
  <si>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</si>
  <si>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</si>
  <si>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</si>
  <si>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</si>
  <si>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</si>
  <si>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</si>
  <si>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</si>
  <si>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</si>
  <si>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</si>
  <si>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</si>
  <si>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</si>
  <si>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</si>
  <si>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</si>
  <si>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</si>
  <si>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</si>
  <si>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</si>
  <si>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</si>
  <si>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</si>
  <si>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</si>
  <si>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</si>
  <si>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</si>
  <si>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</si>
  <si>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</si>
  <si>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</si>
  <si>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</si>
  <si>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</si>
  <si>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</si>
  <si>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</si>
  <si>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</si>
  <si>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</si>
  <si>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</si>
  <si>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</si>
  <si>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</si>
  <si>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</si>
  <si>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</si>
  <si>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</si>
  <si>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</si>
  <si>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</si>
  <si>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</si>
  <si>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</si>
  <si>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</si>
  <si>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</si>
  <si>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</si>
  <si>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</si>
  <si>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</si>
  <si>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</si>
  <si>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</si>
  <si>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</si>
  <si>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</si>
  <si>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</si>
  <si>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</si>
  <si>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</si>
  <si>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</si>
  <si>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</si>
  <si>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</si>
  <si>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</si>
  <si>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</si>
  <si>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</si>
  <si>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</si>
  <si>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</si>
  <si>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</si>
  <si>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</si>
  <si>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</si>
  <si>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</si>
  <si>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</si>
  <si>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</si>
  <si>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</si>
  <si>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</si>
  <si>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</si>
  <si>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</si>
  <si>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</si>
  <si>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</si>
  <si>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</si>
  <si>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</si>
  <si>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</si>
  <si>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</si>
  <si>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</si>
  <si>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</si>
  <si>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</si>
  <si>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</si>
  <si>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</si>
  <si>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</si>
  <si>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</si>
  <si>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</si>
  <si>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</si>
  <si>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</si>
  <si>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</si>
  <si>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</si>
  <si>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</si>
  <si>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</si>
  <si>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</si>
  <si>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</si>
  <si>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</si>
  <si>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</si>
  <si>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</si>
  <si>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</si>
  <si>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</si>
  <si>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</si>
  <si>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</si>
  <si>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</si>
  <si>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</si>
  <si>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</si>
  <si>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</si>
  <si>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</si>
  <si>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</si>
  <si>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</si>
  <si>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</si>
  <si>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</si>
  <si>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</si>
  <si>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</si>
  <si>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</si>
  <si>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</si>
  <si>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</si>
  <si>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</si>
  <si>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</si>
  <si>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</si>
  <si>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</si>
  <si>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</si>
  <si>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</si>
  <si>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</si>
  <si>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</si>
  <si>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</si>
  <si>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</si>
  <si>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</si>
  <si>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</si>
  <si>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</si>
  <si>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</si>
  <si>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</si>
  <si>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</si>
  <si>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</si>
  <si>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</si>
  <si>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</si>
  <si>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</si>
  <si>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</si>
  <si>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</si>
  <si>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</si>
  <si>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</si>
  <si>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</si>
  <si>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</si>
  <si>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</si>
  <si>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</si>
  <si>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</si>
  <si>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</si>
  <si>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</si>
  <si>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</si>
  <si>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</si>
  <si>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</si>
  <si>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</si>
  <si>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</si>
  <si>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</si>
  <si>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</si>
  <si>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</si>
  <si>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</si>
  <si>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</si>
  <si>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</si>
  <si>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</si>
  <si>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</si>
  <si>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</si>
  <si>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</si>
  <si>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</si>
  <si>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</si>
  <si>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</si>
  <si>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</si>
  <si>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</si>
  <si>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</si>
  <si>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</si>
  <si>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</si>
  <si>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</si>
  <si>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</si>
  <si>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</si>
  <si>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</si>
  <si>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</si>
  <si>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</si>
  <si>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</si>
  <si>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</si>
  <si>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</si>
  <si>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</si>
  <si>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</si>
  <si>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</si>
  <si>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</si>
  <si>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</si>
  <si>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</si>
  <si>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</si>
  <si>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</si>
  <si>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</si>
  <si>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</si>
  <si>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</si>
  <si>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</si>
  <si>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</si>
  <si>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</si>
  <si>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</si>
  <si>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</si>
  <si>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</si>
  <si>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</si>
  <si>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</si>
  <si>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</si>
  <si>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</si>
  <si>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</si>
  <si>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</si>
  <si>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</si>
  <si>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</si>
  <si>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</si>
  <si>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</si>
  <si>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</si>
  <si>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</si>
  <si>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</si>
  <si>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</si>
  <si>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</si>
  <si>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</si>
  <si>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</si>
  <si>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</si>
  <si>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</si>
  <si>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</si>
  <si>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</si>
  <si>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</si>
  <si>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</si>
  <si>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</si>
  <si>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</si>
  <si>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</si>
  <si>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</si>
  <si>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</si>
  <si>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</si>
  <si>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</si>
  <si>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</si>
  <si>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</si>
  <si>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</si>
  <si>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</si>
  <si>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</si>
  <si>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</si>
  <si>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</si>
  <si>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</si>
  <si>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</si>
  <si>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</si>
  <si>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</si>
  <si>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</si>
  <si>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</si>
  <si>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</si>
  <si>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</si>
  <si>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</si>
  <si>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</si>
  <si>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</si>
  <si>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</si>
  <si>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</si>
  <si>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</si>
  <si>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</si>
  <si>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</si>
  <si>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</si>
  <si>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</si>
  <si>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</si>
  <si>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</si>
  <si>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</si>
  <si>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</si>
  <si>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</si>
  <si>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</si>
  <si>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</si>
  <si>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</si>
  <si>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</si>
  <si>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</si>
  <si>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</si>
  <si>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</si>
  <si>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</si>
  <si>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</si>
  <si>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</si>
  <si>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</si>
  <si>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</si>
  <si>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</si>
  <si>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</si>
  <si>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</si>
  <si>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</si>
  <si>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</si>
  <si>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</si>
  <si>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</si>
  <si>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</si>
  <si>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</si>
  <si>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</si>
  <si>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</si>
  <si>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</si>
  <si>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</si>
  <si>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</si>
  <si>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</si>
  <si>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</si>
  <si>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</si>
  <si>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</si>
  <si>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</si>
  <si>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</si>
  <si>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</si>
  <si>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</si>
  <si>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</si>
  <si>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</si>
  <si>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</si>
  <si>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</si>
  <si>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</si>
  <si>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</si>
  <si>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</si>
  <si>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</si>
  <si>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</si>
  <si>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</si>
  <si>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</si>
  <si>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</si>
  <si>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</si>
  <si>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</si>
  <si>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</si>
  <si>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</si>
  <si>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</si>
  <si>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</si>
  <si>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</si>
  <si>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</si>
  <si>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</si>
  <si>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</si>
  <si>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</si>
  <si>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</si>
  <si>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</si>
  <si>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</si>
  <si>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</si>
  <si>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</si>
  <si>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</si>
  <si>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</si>
  <si>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</si>
  <si>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</si>
  <si>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</si>
  <si>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</si>
  <si>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</si>
  <si>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</si>
  <si>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</si>
  <si>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</si>
  <si>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</si>
  <si>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</si>
  <si>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</si>
  <si>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</si>
  <si>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</si>
  <si>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</si>
  <si>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</si>
  <si>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</si>
  <si>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</si>
  <si>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</si>
  <si>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</si>
  <si>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</si>
  <si>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</si>
  <si>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</si>
  <si>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</si>
  <si>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</si>
  <si>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</si>
  <si>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</si>
  <si>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</si>
  <si>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</si>
  <si>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</si>
  <si>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</si>
  <si>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</si>
  <si>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</si>
  <si>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</si>
  <si>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</si>
  <si>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</si>
  <si>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</si>
  <si>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</si>
  <si>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</si>
  <si>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</si>
  <si>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</si>
  <si>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</si>
  <si>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</si>
  <si>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</si>
  <si>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</si>
  <si>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</si>
  <si>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</si>
  <si>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</si>
  <si>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</si>
  <si>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</si>
  <si>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</si>
  <si>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</si>
  <si>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</si>
  <si>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</si>
  <si>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</si>
  <si>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</si>
  <si>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</si>
  <si>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</si>
  <si>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</si>
  <si>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</si>
  <si>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</si>
  <si>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</si>
  <si>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</si>
  <si>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</si>
  <si>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</si>
  <si>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</si>
  <si>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</si>
  <si>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</si>
  <si>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</si>
  <si>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</si>
  <si>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</si>
  <si>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</si>
  <si>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</si>
  <si>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</si>
  <si>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</si>
  <si>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</si>
  <si>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</si>
  <si>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</si>
  <si>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</si>
  <si>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</si>
  <si>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</si>
  <si>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</si>
  <si>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</si>
  <si>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</si>
  <si>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</si>
  <si>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</si>
  <si>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</si>
  <si>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</si>
  <si>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</si>
  <si>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</si>
  <si>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</si>
  <si>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</si>
  <si>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</si>
  <si>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</si>
  <si>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</si>
  <si>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</si>
  <si>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</si>
  <si>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</si>
  <si>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</si>
  <si>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</si>
  <si>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</si>
  <si>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</si>
  <si>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</si>
  <si>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</si>
  <si>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</si>
  <si>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</si>
  <si>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</si>
  <si>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</si>
  <si>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</si>
  <si>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</si>
  <si>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</si>
  <si>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</si>
  <si>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</si>
  <si>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</si>
  <si>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</si>
  <si>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</si>
  <si>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</si>
  <si>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</si>
  <si>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</si>
  <si>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</si>
  <si>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</si>
  <si>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</si>
  <si>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</si>
  <si>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</si>
  <si>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</si>
  <si>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</si>
  <si>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</si>
  <si>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</si>
  <si>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</si>
  <si>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</si>
  <si>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</si>
  <si>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</si>
  <si>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</si>
  <si>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</si>
  <si>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</si>
  <si>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</si>
  <si>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</si>
  <si>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</si>
  <si>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</si>
  <si>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</si>
  <si>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</si>
  <si>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</si>
  <si>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</si>
  <si>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</si>
  <si>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</si>
  <si>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</si>
  <si>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</si>
  <si>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</si>
  <si>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</si>
  <si>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</si>
  <si>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</si>
  <si>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</si>
  <si>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</si>
  <si>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</si>
  <si>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</si>
  <si>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</si>
  <si>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</si>
  <si>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</si>
  <si>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</si>
  <si>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</si>
  <si>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</si>
  <si>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</si>
  <si>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</si>
  <si>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</si>
  <si>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</si>
  <si>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</si>
  <si>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</si>
  <si>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</si>
  <si>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</si>
  <si>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</si>
  <si>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</si>
  <si>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</si>
  <si>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</si>
  <si>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</si>
  <si>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</si>
  <si>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</si>
  <si>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</si>
  <si>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</si>
  <si>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</si>
  <si>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</si>
  <si>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</si>
  <si>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</si>
  <si>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</si>
  <si>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</si>
  <si>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</si>
  <si>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</si>
  <si>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</si>
  <si>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</si>
  <si>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</si>
  <si>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</si>
  <si>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</si>
  <si>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</si>
  <si>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</si>
  <si>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</si>
  <si>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</si>
  <si>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</si>
  <si>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</si>
  <si>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</si>
  <si>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</si>
  <si>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</si>
  <si>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</si>
  <si>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</si>
  <si>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</si>
  <si>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</si>
  <si>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</si>
  <si>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</si>
  <si>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</si>
  <si>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</si>
  <si>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</si>
  <si>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</si>
  <si>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</si>
  <si>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</si>
  <si>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</si>
  <si>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</si>
  <si>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</si>
  <si>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</si>
  <si>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</si>
  <si>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</si>
  <si>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</si>
  <si>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</si>
  <si>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</si>
  <si>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</si>
  <si>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</si>
  <si>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</si>
  <si>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</si>
  <si>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</si>
  <si>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</si>
  <si>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31012</t>
  </si>
  <si>
    <t>JABBEKE</t>
  </si>
  <si>
    <t>Cultuurgrond (ha)</t>
  </si>
  <si>
    <t>Paarden&amp;pony's 200 - 600 kg</t>
  </si>
  <si>
    <t>Paarden&amp;pony's &lt; 200 kg</t>
  </si>
  <si>
    <t>Fluvius</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</si>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</sst>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130015.42059689605</c:v>
                </c:pt>
                <c:pt idx="1">
                  <c:v>36343.36133983585</c:v>
                </c:pt>
                <c:pt idx="2">
                  <c:v>1057.3109999999999</c:v>
                </c:pt>
                <c:pt idx="3">
                  <c:v>34545.824402119222</c:v>
                </c:pt>
                <c:pt idx="4">
                  <c:v>40095.242138157213</c:v>
                </c:pt>
                <c:pt idx="5">
                  <c:v>241944.64639789445</c:v>
                </c:pt>
                <c:pt idx="6">
                  <c:v>1428.3345277279238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130015.42059689605</c:v>
                </c:pt>
                <c:pt idx="1">
                  <c:v>36343.36133983585</c:v>
                </c:pt>
                <c:pt idx="2">
                  <c:v>1057.3109999999999</c:v>
                </c:pt>
                <c:pt idx="3">
                  <c:v>34545.824402119222</c:v>
                </c:pt>
                <c:pt idx="4">
                  <c:v>40095.242138157213</c:v>
                </c:pt>
                <c:pt idx="5">
                  <c:v>241944.64639789445</c:v>
                </c:pt>
                <c:pt idx="6">
                  <c:v>1428.3345277279238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24305.859914035103</c:v>
                </c:pt>
                <c:pt idx="2">
                  <c:v>7398.591874333395</c:v>
                </c:pt>
                <c:pt idx="3">
                  <c:v>219.48183461984624</c:v>
                </c:pt>
                <c:pt idx="4">
                  <c:v>8072.6367194716922</c:v>
                </c:pt>
                <c:pt idx="5">
                  <c:v>7836.5476535703865</c:v>
                </c:pt>
                <c:pt idx="6">
                  <c:v>61213.317339647772</c:v>
                </c:pt>
                <c:pt idx="7">
                  <c:v>365.1138015409727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24305.859914035103</c:v>
                </c:pt>
                <c:pt idx="2">
                  <c:v>7398.591874333395</c:v>
                </c:pt>
                <c:pt idx="3">
                  <c:v>219.48183461984624</c:v>
                </c:pt>
                <c:pt idx="4">
                  <c:v>8072.6367194716922</c:v>
                </c:pt>
                <c:pt idx="5">
                  <c:v>7836.5476535703865</c:v>
                </c:pt>
                <c:pt idx="6">
                  <c:v>61213.317339647772</c:v>
                </c:pt>
                <c:pt idx="7">
                  <c:v>365.1138015409727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31012</v>
      </c>
      <c r="B6" s="395"/>
      <c r="C6" s="396"/>
    </row>
    <row r="7" spans="1:7" s="393" customFormat="1" ht="15.75" customHeight="1">
      <c r="A7" s="397" t="str">
        <f>txtMunicipality</f>
        <v>JABBEKE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16631.614000000001</v>
      </c>
      <c r="D10" s="686">
        <f ca="1">tertiair!C16</f>
        <v>35.357142857142861</v>
      </c>
      <c r="E10" s="686">
        <f ca="1">tertiair!D16</f>
        <v>16300.465155459195</v>
      </c>
      <c r="F10" s="686">
        <f>tertiair!E16</f>
        <v>233.11926477175945</v>
      </c>
      <c r="G10" s="686">
        <f ca="1">tertiair!F16</f>
        <v>3039.7892917716213</v>
      </c>
      <c r="H10" s="686">
        <f>tertiair!G16</f>
        <v>0</v>
      </c>
      <c r="I10" s="686">
        <f>tertiair!H16</f>
        <v>0</v>
      </c>
      <c r="J10" s="686">
        <f>tertiair!I16</f>
        <v>0</v>
      </c>
      <c r="K10" s="686">
        <f>tertiair!J16</f>
        <v>0</v>
      </c>
      <c r="L10" s="686">
        <f>tertiair!K16</f>
        <v>0</v>
      </c>
      <c r="M10" s="686">
        <f ca="1">tertiair!L16</f>
        <v>0</v>
      </c>
      <c r="N10" s="686">
        <f>tertiair!M16</f>
        <v>0</v>
      </c>
      <c r="O10" s="686">
        <f ca="1">tertiair!N16</f>
        <v>1103.1274849761407</v>
      </c>
      <c r="P10" s="686">
        <f>tertiair!O16</f>
        <v>0</v>
      </c>
      <c r="Q10" s="687">
        <f>tertiair!P16</f>
        <v>57.2</v>
      </c>
      <c r="R10" s="689">
        <f ca="1">SUM(C10:Q10)</f>
        <v>37400.672339835859</v>
      </c>
      <c r="S10" s="67"/>
    </row>
    <row r="11" spans="1:19" s="454" customFormat="1">
      <c r="A11" s="801" t="s">
        <v>224</v>
      </c>
      <c r="B11" s="806"/>
      <c r="C11" s="686">
        <f>huishoudens!B8</f>
        <v>28209.439245552363</v>
      </c>
      <c r="D11" s="686">
        <f>huishoudens!C8</f>
        <v>0</v>
      </c>
      <c r="E11" s="686">
        <f>huishoudens!D8</f>
        <v>60993.416637650662</v>
      </c>
      <c r="F11" s="686">
        <f>huishoudens!E8</f>
        <v>3857.2956014547808</v>
      </c>
      <c r="G11" s="686">
        <f>huishoudens!F8</f>
        <v>19531.302977159168</v>
      </c>
      <c r="H11" s="686">
        <f>huishoudens!G8</f>
        <v>0</v>
      </c>
      <c r="I11" s="686">
        <f>huishoudens!H8</f>
        <v>0</v>
      </c>
      <c r="J11" s="686">
        <f>huishoudens!I8</f>
        <v>0</v>
      </c>
      <c r="K11" s="686">
        <f>huishoudens!J8</f>
        <v>109.80553774937198</v>
      </c>
      <c r="L11" s="686">
        <f>huishoudens!K8</f>
        <v>0</v>
      </c>
      <c r="M11" s="686">
        <f>huishoudens!L8</f>
        <v>0</v>
      </c>
      <c r="N11" s="686">
        <f>huishoudens!M8</f>
        <v>0</v>
      </c>
      <c r="O11" s="686">
        <f>huishoudens!N8</f>
        <v>16752.737263996372</v>
      </c>
      <c r="P11" s="686">
        <f>huishoudens!O8</f>
        <v>161.02333333333334</v>
      </c>
      <c r="Q11" s="687">
        <f>huishoudens!P8</f>
        <v>400.4</v>
      </c>
      <c r="R11" s="689">
        <f>SUM(C11:Q11)</f>
        <v>130015.42059689605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16025.626</v>
      </c>
      <c r="D13" s="686">
        <f>industrie!C18</f>
        <v>0</v>
      </c>
      <c r="E13" s="686">
        <f>industrie!D18</f>
        <v>17537.543271667982</v>
      </c>
      <c r="F13" s="686">
        <f>industrie!E18</f>
        <v>634.03167041412178</v>
      </c>
      <c r="G13" s="686">
        <f>industrie!F18</f>
        <v>3083.1445384069598</v>
      </c>
      <c r="H13" s="686">
        <f>industrie!G18</f>
        <v>0</v>
      </c>
      <c r="I13" s="686">
        <f>industrie!H18</f>
        <v>0</v>
      </c>
      <c r="J13" s="686">
        <f>industrie!I18</f>
        <v>0</v>
      </c>
      <c r="K13" s="686">
        <f>industrie!J18</f>
        <v>0.45369816994575651</v>
      </c>
      <c r="L13" s="686">
        <f>industrie!K18</f>
        <v>0</v>
      </c>
      <c r="M13" s="686">
        <f>industrie!L18</f>
        <v>0</v>
      </c>
      <c r="N13" s="686">
        <f>industrie!M18</f>
        <v>0</v>
      </c>
      <c r="O13" s="686">
        <f>industrie!N18</f>
        <v>2814.4429594982016</v>
      </c>
      <c r="P13" s="686">
        <f>industrie!O18</f>
        <v>0</v>
      </c>
      <c r="Q13" s="687">
        <f>industrie!P18</f>
        <v>0</v>
      </c>
      <c r="R13" s="689">
        <f>SUM(C13:Q13)</f>
        <v>40095.242138157213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60866.679245552368</v>
      </c>
      <c r="D16" s="721">
        <f t="shared" ref="D16:R16" ca="1" si="0">SUM(D9:D15)</f>
        <v>35.357142857142861</v>
      </c>
      <c r="E16" s="721">
        <f t="shared" ca="1" si="0"/>
        <v>94831.425064777839</v>
      </c>
      <c r="F16" s="721">
        <f t="shared" si="0"/>
        <v>4724.4465366406621</v>
      </c>
      <c r="G16" s="721">
        <f t="shared" ca="1" si="0"/>
        <v>25654.236807337747</v>
      </c>
      <c r="H16" s="721">
        <f t="shared" si="0"/>
        <v>0</v>
      </c>
      <c r="I16" s="721">
        <f t="shared" si="0"/>
        <v>0</v>
      </c>
      <c r="J16" s="721">
        <f t="shared" si="0"/>
        <v>0</v>
      </c>
      <c r="K16" s="721">
        <f t="shared" si="0"/>
        <v>110.25923591931773</v>
      </c>
      <c r="L16" s="721">
        <f t="shared" si="0"/>
        <v>0</v>
      </c>
      <c r="M16" s="721">
        <f t="shared" ca="1" si="0"/>
        <v>0</v>
      </c>
      <c r="N16" s="721">
        <f t="shared" si="0"/>
        <v>0</v>
      </c>
      <c r="O16" s="721">
        <f t="shared" ca="1" si="0"/>
        <v>20670.307708470715</v>
      </c>
      <c r="P16" s="721">
        <f t="shared" si="0"/>
        <v>161.02333333333334</v>
      </c>
      <c r="Q16" s="721">
        <f t="shared" si="0"/>
        <v>457.59999999999997</v>
      </c>
      <c r="R16" s="721">
        <f t="shared" ca="1" si="0"/>
        <v>207511.33507488912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1367.4674215017703</v>
      </c>
      <c r="I19" s="686">
        <f>transport!H54</f>
        <v>0</v>
      </c>
      <c r="J19" s="686">
        <f>transport!I54</f>
        <v>0</v>
      </c>
      <c r="K19" s="686">
        <f>transport!J54</f>
        <v>0</v>
      </c>
      <c r="L19" s="686">
        <f>transport!K54</f>
        <v>0</v>
      </c>
      <c r="M19" s="686">
        <f>transport!L54</f>
        <v>0</v>
      </c>
      <c r="N19" s="686">
        <f>transport!M54</f>
        <v>60.867106226153538</v>
      </c>
      <c r="O19" s="686">
        <f>transport!N54</f>
        <v>0</v>
      </c>
      <c r="P19" s="686">
        <f>transport!O54</f>
        <v>0</v>
      </c>
      <c r="Q19" s="687">
        <f>transport!P54</f>
        <v>0</v>
      </c>
      <c r="R19" s="689">
        <f>SUM(C19:Q19)</f>
        <v>1428.3345277279238</v>
      </c>
      <c r="S19" s="67"/>
    </row>
    <row r="20" spans="1:19" s="454" customFormat="1">
      <c r="A20" s="801" t="s">
        <v>306</v>
      </c>
      <c r="B20" s="806"/>
      <c r="C20" s="686">
        <f>transport!B14</f>
        <v>10.636229524080473</v>
      </c>
      <c r="D20" s="686">
        <f>transport!C14</f>
        <v>0</v>
      </c>
      <c r="E20" s="686">
        <f>transport!D14</f>
        <v>16.849141012347879</v>
      </c>
      <c r="F20" s="686">
        <f>transport!E14</f>
        <v>686.6499468169809</v>
      </c>
      <c r="G20" s="686">
        <f>transport!F14</f>
        <v>0</v>
      </c>
      <c r="H20" s="686">
        <f>transport!G14</f>
        <v>199089.41151082949</v>
      </c>
      <c r="I20" s="686">
        <f>transport!H14</f>
        <v>31706.680645927241</v>
      </c>
      <c r="J20" s="686">
        <f>transport!I14</f>
        <v>0</v>
      </c>
      <c r="K20" s="686">
        <f>transport!J14</f>
        <v>0</v>
      </c>
      <c r="L20" s="686">
        <f>transport!K14</f>
        <v>0</v>
      </c>
      <c r="M20" s="686">
        <f>transport!L14</f>
        <v>0</v>
      </c>
      <c r="N20" s="686">
        <f>transport!M14</f>
        <v>10434.41892378432</v>
      </c>
      <c r="O20" s="686">
        <f>transport!N14</f>
        <v>0</v>
      </c>
      <c r="P20" s="686">
        <f>transport!O14</f>
        <v>0</v>
      </c>
      <c r="Q20" s="687">
        <f>transport!P14</f>
        <v>0</v>
      </c>
      <c r="R20" s="689">
        <f>SUM(C20:Q20)</f>
        <v>241944.64639789445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10.636229524080473</v>
      </c>
      <c r="D22" s="804">
        <f t="shared" ref="D22:R22" si="1">SUM(D18:D21)</f>
        <v>0</v>
      </c>
      <c r="E22" s="804">
        <f t="shared" si="1"/>
        <v>16.849141012347879</v>
      </c>
      <c r="F22" s="804">
        <f t="shared" si="1"/>
        <v>686.6499468169809</v>
      </c>
      <c r="G22" s="804">
        <f t="shared" si="1"/>
        <v>0</v>
      </c>
      <c r="H22" s="804">
        <f t="shared" si="1"/>
        <v>200456.87893233125</v>
      </c>
      <c r="I22" s="804">
        <f t="shared" si="1"/>
        <v>31706.680645927241</v>
      </c>
      <c r="J22" s="804">
        <f t="shared" si="1"/>
        <v>0</v>
      </c>
      <c r="K22" s="804">
        <f t="shared" si="1"/>
        <v>0</v>
      </c>
      <c r="L22" s="804">
        <f t="shared" si="1"/>
        <v>0</v>
      </c>
      <c r="M22" s="804">
        <f t="shared" si="1"/>
        <v>0</v>
      </c>
      <c r="N22" s="804">
        <f t="shared" si="1"/>
        <v>10495.286030010473</v>
      </c>
      <c r="O22" s="804">
        <f t="shared" si="1"/>
        <v>0</v>
      </c>
      <c r="P22" s="804">
        <f t="shared" si="1"/>
        <v>0</v>
      </c>
      <c r="Q22" s="804">
        <f t="shared" si="1"/>
        <v>0</v>
      </c>
      <c r="R22" s="804">
        <f t="shared" si="1"/>
        <v>243372.98092562237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2559.31</v>
      </c>
      <c r="D24" s="686">
        <f>+landbouw!C8</f>
        <v>12914.303571428571</v>
      </c>
      <c r="E24" s="686">
        <f>+landbouw!D8</f>
        <v>9824.8084513732829</v>
      </c>
      <c r="F24" s="686">
        <f>+landbouw!E8</f>
        <v>32.250603061640462</v>
      </c>
      <c r="G24" s="686">
        <f>+landbouw!F8</f>
        <v>8830.2606454650122</v>
      </c>
      <c r="H24" s="686">
        <f>+landbouw!G8</f>
        <v>0</v>
      </c>
      <c r="I24" s="686">
        <f>+landbouw!H8</f>
        <v>0</v>
      </c>
      <c r="J24" s="686">
        <f>+landbouw!I8</f>
        <v>0</v>
      </c>
      <c r="K24" s="686">
        <f>+landbouw!J8</f>
        <v>384.8911307907149</v>
      </c>
      <c r="L24" s="686">
        <f>+landbouw!K8</f>
        <v>0</v>
      </c>
      <c r="M24" s="686">
        <f>+landbouw!L8</f>
        <v>0</v>
      </c>
      <c r="N24" s="686">
        <f>+landbouw!M8</f>
        <v>0</v>
      </c>
      <c r="O24" s="686">
        <f>+landbouw!N8</f>
        <v>0</v>
      </c>
      <c r="P24" s="686">
        <f>+landbouw!O8</f>
        <v>0</v>
      </c>
      <c r="Q24" s="687">
        <f>+landbouw!P8</f>
        <v>0</v>
      </c>
      <c r="R24" s="689">
        <f>SUM(C24:Q24)</f>
        <v>34545.824402119222</v>
      </c>
      <c r="S24" s="67"/>
    </row>
    <row r="25" spans="1:19" s="454" customFormat="1" ht="15" thickBot="1">
      <c r="A25" s="823" t="s">
        <v>856</v>
      </c>
      <c r="B25" s="991"/>
      <c r="C25" s="992">
        <f>IF(Onbekend_ele_kWh="---",0,Onbekend_ele_kWh)/1000+IF(REST_rest_ele_kWh="---",0,REST_rest_ele_kWh)/1000</f>
        <v>568.45600000000002</v>
      </c>
      <c r="D25" s="992"/>
      <c r="E25" s="992">
        <f>IF(onbekend_gas_kWh="---",0,onbekend_gas_kWh)/1000+IF(REST_rest_gas_kWh="---",0,REST_rest_gas_kWh)/1000</f>
        <v>2208.2050479149998</v>
      </c>
      <c r="F25" s="992"/>
      <c r="G25" s="992"/>
      <c r="H25" s="992"/>
      <c r="I25" s="992"/>
      <c r="J25" s="992"/>
      <c r="K25" s="992"/>
      <c r="L25" s="992"/>
      <c r="M25" s="992"/>
      <c r="N25" s="992"/>
      <c r="O25" s="992"/>
      <c r="P25" s="992"/>
      <c r="Q25" s="993"/>
      <c r="R25" s="689">
        <f>SUM(C25:Q25)</f>
        <v>2776.6610479149999</v>
      </c>
      <c r="S25" s="67"/>
    </row>
    <row r="26" spans="1:19" s="454" customFormat="1" ht="15.75" thickBot="1">
      <c r="A26" s="694" t="s">
        <v>857</v>
      </c>
      <c r="B26" s="809"/>
      <c r="C26" s="804">
        <f>SUM(C24:C25)</f>
        <v>3127.7660000000001</v>
      </c>
      <c r="D26" s="804">
        <f t="shared" ref="D26:R26" si="2">SUM(D24:D25)</f>
        <v>12914.303571428571</v>
      </c>
      <c r="E26" s="804">
        <f t="shared" si="2"/>
        <v>12033.013499288283</v>
      </c>
      <c r="F26" s="804">
        <f t="shared" si="2"/>
        <v>32.250603061640462</v>
      </c>
      <c r="G26" s="804">
        <f t="shared" si="2"/>
        <v>8830.2606454650122</v>
      </c>
      <c r="H26" s="804">
        <f t="shared" si="2"/>
        <v>0</v>
      </c>
      <c r="I26" s="804">
        <f t="shared" si="2"/>
        <v>0</v>
      </c>
      <c r="J26" s="804">
        <f t="shared" si="2"/>
        <v>0</v>
      </c>
      <c r="K26" s="804">
        <f t="shared" si="2"/>
        <v>384.8911307907149</v>
      </c>
      <c r="L26" s="804">
        <f t="shared" si="2"/>
        <v>0</v>
      </c>
      <c r="M26" s="804">
        <f t="shared" si="2"/>
        <v>0</v>
      </c>
      <c r="N26" s="804">
        <f t="shared" si="2"/>
        <v>0</v>
      </c>
      <c r="O26" s="804">
        <f t="shared" si="2"/>
        <v>0</v>
      </c>
      <c r="P26" s="804">
        <f t="shared" si="2"/>
        <v>0</v>
      </c>
      <c r="Q26" s="804">
        <f t="shared" si="2"/>
        <v>0</v>
      </c>
      <c r="R26" s="804">
        <f t="shared" si="2"/>
        <v>37322.485450034219</v>
      </c>
      <c r="S26" s="67"/>
    </row>
    <row r="27" spans="1:19" s="454" customFormat="1" ht="17.25" thickTop="1" thickBot="1">
      <c r="A27" s="695" t="s">
        <v>115</v>
      </c>
      <c r="B27" s="796"/>
      <c r="C27" s="696">
        <f ca="1">C22+C16+C26</f>
        <v>64005.081475076455</v>
      </c>
      <c r="D27" s="696">
        <f t="shared" ref="D27:R27" ca="1" si="3">D22+D16+D26</f>
        <v>12949.660714285714</v>
      </c>
      <c r="E27" s="696">
        <f t="shared" ca="1" si="3"/>
        <v>106881.28770507847</v>
      </c>
      <c r="F27" s="696">
        <f t="shared" si="3"/>
        <v>5443.347086519283</v>
      </c>
      <c r="G27" s="696">
        <f t="shared" ca="1" si="3"/>
        <v>34484.49745280276</v>
      </c>
      <c r="H27" s="696">
        <f t="shared" si="3"/>
        <v>200456.87893233125</v>
      </c>
      <c r="I27" s="696">
        <f t="shared" si="3"/>
        <v>31706.680645927241</v>
      </c>
      <c r="J27" s="696">
        <f t="shared" si="3"/>
        <v>0</v>
      </c>
      <c r="K27" s="696">
        <f t="shared" si="3"/>
        <v>495.15036671003264</v>
      </c>
      <c r="L27" s="696">
        <f t="shared" si="3"/>
        <v>0</v>
      </c>
      <c r="M27" s="696">
        <f t="shared" ca="1" si="3"/>
        <v>0</v>
      </c>
      <c r="N27" s="696">
        <f t="shared" si="3"/>
        <v>10495.286030010473</v>
      </c>
      <c r="O27" s="696">
        <f t="shared" ca="1" si="3"/>
        <v>20670.307708470715</v>
      </c>
      <c r="P27" s="696">
        <f t="shared" si="3"/>
        <v>161.02333333333334</v>
      </c>
      <c r="Q27" s="696">
        <f t="shared" si="3"/>
        <v>457.59999999999997</v>
      </c>
      <c r="R27" s="696">
        <f t="shared" ca="1" si="3"/>
        <v>488206.80145054572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3452.4725018552908</v>
      </c>
      <c r="D40" s="686">
        <f ca="1">tertiair!C20</f>
        <v>8.3654316889811788</v>
      </c>
      <c r="E40" s="686">
        <f ca="1">tertiair!D20</f>
        <v>3292.6939614027574</v>
      </c>
      <c r="F40" s="686">
        <f>tertiair!E20</f>
        <v>52.918073103189393</v>
      </c>
      <c r="G40" s="686">
        <f ca="1">tertiair!F20</f>
        <v>811.62374090302296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7618.0737089532413</v>
      </c>
    </row>
    <row r="41" spans="1:18">
      <c r="A41" s="814" t="s">
        <v>224</v>
      </c>
      <c r="B41" s="821"/>
      <c r="C41" s="686">
        <f ca="1">huishoudens!B12</f>
        <v>5855.8545964346577</v>
      </c>
      <c r="D41" s="686">
        <f ca="1">huishoudens!C12</f>
        <v>0</v>
      </c>
      <c r="E41" s="686">
        <f>huishoudens!D12</f>
        <v>12320.670160805434</v>
      </c>
      <c r="F41" s="686">
        <f>huishoudens!E12</f>
        <v>875.60610153023526</v>
      </c>
      <c r="G41" s="686">
        <f>huishoudens!F12</f>
        <v>5214.8578949014982</v>
      </c>
      <c r="H41" s="686">
        <f>huishoudens!G12</f>
        <v>0</v>
      </c>
      <c r="I41" s="686">
        <f>huishoudens!H12</f>
        <v>0</v>
      </c>
      <c r="J41" s="686">
        <f>huishoudens!I12</f>
        <v>0</v>
      </c>
      <c r="K41" s="686">
        <f>huishoudens!J12</f>
        <v>38.871160363277681</v>
      </c>
      <c r="L41" s="686">
        <f>huishoudens!K12</f>
        <v>0</v>
      </c>
      <c r="M41" s="686">
        <f>huishoudens!L12</f>
        <v>0</v>
      </c>
      <c r="N41" s="686">
        <f>huishoudens!M12</f>
        <v>0</v>
      </c>
      <c r="O41" s="686">
        <f>huishoudens!N12</f>
        <v>0</v>
      </c>
      <c r="P41" s="686">
        <f>huishoudens!O12</f>
        <v>0</v>
      </c>
      <c r="Q41" s="763">
        <f>huishoudens!P12</f>
        <v>0</v>
      </c>
      <c r="R41" s="842">
        <f t="shared" ca="1" si="4"/>
        <v>24305.859914035103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3326.6785226026291</v>
      </c>
      <c r="D43" s="686">
        <f ca="1">industrie!C22</f>
        <v>0</v>
      </c>
      <c r="E43" s="686">
        <f>industrie!D22</f>
        <v>3542.5837408769326</v>
      </c>
      <c r="F43" s="686">
        <f>industrie!E22</f>
        <v>143.92518918400566</v>
      </c>
      <c r="G43" s="686">
        <f>industrie!F22</f>
        <v>823.19959175465829</v>
      </c>
      <c r="H43" s="686">
        <f>industrie!G22</f>
        <v>0</v>
      </c>
      <c r="I43" s="686">
        <f>industrie!H22</f>
        <v>0</v>
      </c>
      <c r="J43" s="686">
        <f>industrie!I22</f>
        <v>0</v>
      </c>
      <c r="K43" s="686">
        <f>industrie!J22</f>
        <v>0.1606091521607978</v>
      </c>
      <c r="L43" s="686">
        <f>industrie!K22</f>
        <v>0</v>
      </c>
      <c r="M43" s="686">
        <f>industrie!L22</f>
        <v>0</v>
      </c>
      <c r="N43" s="686">
        <f>industrie!M22</f>
        <v>0</v>
      </c>
      <c r="O43" s="686">
        <f>industrie!N22</f>
        <v>0</v>
      </c>
      <c r="P43" s="686">
        <f>industrie!O22</f>
        <v>0</v>
      </c>
      <c r="Q43" s="763">
        <f>industrie!P22</f>
        <v>0</v>
      </c>
      <c r="R43" s="841">
        <f t="shared" ca="1" si="4"/>
        <v>7836.5476535703865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12635.005620892578</v>
      </c>
      <c r="D46" s="721">
        <f t="shared" ref="D46:Q46" ca="1" si="5">SUM(D39:D45)</f>
        <v>8.3654316889811788</v>
      </c>
      <c r="E46" s="721">
        <f t="shared" ca="1" si="5"/>
        <v>19155.947863085123</v>
      </c>
      <c r="F46" s="721">
        <f t="shared" si="5"/>
        <v>1072.4493638174304</v>
      </c>
      <c r="G46" s="721">
        <f t="shared" ca="1" si="5"/>
        <v>6849.6812275591792</v>
      </c>
      <c r="H46" s="721">
        <f t="shared" si="5"/>
        <v>0</v>
      </c>
      <c r="I46" s="721">
        <f t="shared" si="5"/>
        <v>0</v>
      </c>
      <c r="J46" s="721">
        <f t="shared" si="5"/>
        <v>0</v>
      </c>
      <c r="K46" s="721">
        <f t="shared" si="5"/>
        <v>39.031769515438477</v>
      </c>
      <c r="L46" s="721">
        <f t="shared" si="5"/>
        <v>0</v>
      </c>
      <c r="M46" s="721">
        <f t="shared" ca="1" si="5"/>
        <v>0</v>
      </c>
      <c r="N46" s="721">
        <f t="shared" si="5"/>
        <v>0</v>
      </c>
      <c r="O46" s="721">
        <f t="shared" ca="1" si="5"/>
        <v>0</v>
      </c>
      <c r="P46" s="721">
        <f t="shared" si="5"/>
        <v>0</v>
      </c>
      <c r="Q46" s="721">
        <f t="shared" si="5"/>
        <v>0</v>
      </c>
      <c r="R46" s="721">
        <f ca="1">SUM(R39:R45)</f>
        <v>39760.481276558734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365.1138015409727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365.1138015409727</v>
      </c>
    </row>
    <row r="50" spans="1:18">
      <c r="A50" s="817" t="s">
        <v>306</v>
      </c>
      <c r="B50" s="827"/>
      <c r="C50" s="692">
        <f ca="1">transport!B18</f>
        <v>2.20792100846672</v>
      </c>
      <c r="D50" s="692">
        <f>transport!C18</f>
        <v>0</v>
      </c>
      <c r="E50" s="692">
        <f>transport!D18</f>
        <v>3.4035264844942716</v>
      </c>
      <c r="F50" s="692">
        <f>transport!E18</f>
        <v>155.86953792745467</v>
      </c>
      <c r="G50" s="692">
        <f>transport!F18</f>
        <v>0</v>
      </c>
      <c r="H50" s="692">
        <f>transport!G18</f>
        <v>53156.872873391476</v>
      </c>
      <c r="I50" s="692">
        <f>transport!H18</f>
        <v>7894.9634808358833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61213.317339647772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2.20792100846672</v>
      </c>
      <c r="D52" s="721">
        <f t="shared" ref="D52:Q52" ca="1" si="6">SUM(D48:D51)</f>
        <v>0</v>
      </c>
      <c r="E52" s="721">
        <f t="shared" si="6"/>
        <v>3.4035264844942716</v>
      </c>
      <c r="F52" s="721">
        <f t="shared" si="6"/>
        <v>155.86953792745467</v>
      </c>
      <c r="G52" s="721">
        <f t="shared" si="6"/>
        <v>0</v>
      </c>
      <c r="H52" s="721">
        <f t="shared" si="6"/>
        <v>53521.98667493245</v>
      </c>
      <c r="I52" s="721">
        <f t="shared" si="6"/>
        <v>7894.9634808358833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61578.431141188747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531.27419856685367</v>
      </c>
      <c r="D54" s="692">
        <f ca="1">+landbouw!C12</f>
        <v>3055.499274193372</v>
      </c>
      <c r="E54" s="692">
        <f>+landbouw!D12</f>
        <v>1984.6113071774032</v>
      </c>
      <c r="F54" s="692">
        <f>+landbouw!E12</f>
        <v>7.3208868949923849</v>
      </c>
      <c r="G54" s="692">
        <f>+landbouw!F12</f>
        <v>2357.6795923391583</v>
      </c>
      <c r="H54" s="692">
        <f>+landbouw!G12</f>
        <v>0</v>
      </c>
      <c r="I54" s="692">
        <f>+landbouw!H12</f>
        <v>0</v>
      </c>
      <c r="J54" s="692">
        <f>+landbouw!I12</f>
        <v>0</v>
      </c>
      <c r="K54" s="692">
        <f>+landbouw!J12</f>
        <v>136.25146029991308</v>
      </c>
      <c r="L54" s="692">
        <f>+landbouw!K12</f>
        <v>0</v>
      </c>
      <c r="M54" s="692">
        <f>+landbouw!L12</f>
        <v>0</v>
      </c>
      <c r="N54" s="692">
        <f>+landbouw!M12</f>
        <v>0</v>
      </c>
      <c r="O54" s="692">
        <f>+landbouw!N12</f>
        <v>0</v>
      </c>
      <c r="P54" s="692">
        <f>+landbouw!O12</f>
        <v>0</v>
      </c>
      <c r="Q54" s="693">
        <f>+landbouw!P12</f>
        <v>0</v>
      </c>
      <c r="R54" s="720">
        <f ca="1">SUM(C54:Q54)</f>
        <v>8072.6367194716922</v>
      </c>
    </row>
    <row r="55" spans="1:18" ht="15" thickBot="1">
      <c r="A55" s="817" t="s">
        <v>856</v>
      </c>
      <c r="B55" s="827"/>
      <c r="C55" s="692">
        <f ca="1">C25*'EF ele_warmte'!B12</f>
        <v>118.00290149318349</v>
      </c>
      <c r="D55" s="692"/>
      <c r="E55" s="692">
        <f>E25*EF_CO2_aardgas</f>
        <v>446.05741967883</v>
      </c>
      <c r="F55" s="692"/>
      <c r="G55" s="692"/>
      <c r="H55" s="692"/>
      <c r="I55" s="692"/>
      <c r="J55" s="692"/>
      <c r="K55" s="692"/>
      <c r="L55" s="692"/>
      <c r="M55" s="692"/>
      <c r="N55" s="692"/>
      <c r="O55" s="692"/>
      <c r="P55" s="692"/>
      <c r="Q55" s="693"/>
      <c r="R55" s="720">
        <f ca="1">SUM(C55:Q55)</f>
        <v>564.06032117201346</v>
      </c>
    </row>
    <row r="56" spans="1:18" ht="15.75" thickBot="1">
      <c r="A56" s="815" t="s">
        <v>857</v>
      </c>
      <c r="B56" s="828"/>
      <c r="C56" s="721">
        <f ca="1">SUM(C54:C55)</f>
        <v>649.27710006003713</v>
      </c>
      <c r="D56" s="721">
        <f t="shared" ref="D56:Q56" ca="1" si="7">SUM(D54:D55)</f>
        <v>3055.499274193372</v>
      </c>
      <c r="E56" s="721">
        <f t="shared" si="7"/>
        <v>2430.6687268562332</v>
      </c>
      <c r="F56" s="721">
        <f t="shared" si="7"/>
        <v>7.3208868949923849</v>
      </c>
      <c r="G56" s="721">
        <f t="shared" si="7"/>
        <v>2357.6795923391583</v>
      </c>
      <c r="H56" s="721">
        <f t="shared" si="7"/>
        <v>0</v>
      </c>
      <c r="I56" s="721">
        <f t="shared" si="7"/>
        <v>0</v>
      </c>
      <c r="J56" s="721">
        <f t="shared" si="7"/>
        <v>0</v>
      </c>
      <c r="K56" s="721">
        <f t="shared" si="7"/>
        <v>136.25146029991308</v>
      </c>
      <c r="L56" s="721">
        <f t="shared" si="7"/>
        <v>0</v>
      </c>
      <c r="M56" s="721">
        <f t="shared" si="7"/>
        <v>0</v>
      </c>
      <c r="N56" s="721">
        <f t="shared" si="7"/>
        <v>0</v>
      </c>
      <c r="O56" s="721">
        <f t="shared" si="7"/>
        <v>0</v>
      </c>
      <c r="P56" s="721">
        <f t="shared" si="7"/>
        <v>0</v>
      </c>
      <c r="Q56" s="722">
        <f t="shared" si="7"/>
        <v>0</v>
      </c>
      <c r="R56" s="723">
        <f ca="1">SUM(R54:R55)</f>
        <v>8636.6970406437049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13286.490641961082</v>
      </c>
      <c r="D61" s="729">
        <f t="shared" ref="D61:Q61" ca="1" si="8">D46+D52+D56</f>
        <v>3063.8647058823531</v>
      </c>
      <c r="E61" s="729">
        <f t="shared" ca="1" si="8"/>
        <v>21590.020116425851</v>
      </c>
      <c r="F61" s="729">
        <f t="shared" si="8"/>
        <v>1235.6397886398775</v>
      </c>
      <c r="G61" s="729">
        <f t="shared" ca="1" si="8"/>
        <v>9207.3608198983384</v>
      </c>
      <c r="H61" s="729">
        <f t="shared" si="8"/>
        <v>53521.98667493245</v>
      </c>
      <c r="I61" s="729">
        <f t="shared" si="8"/>
        <v>7894.9634808358833</v>
      </c>
      <c r="J61" s="729">
        <f t="shared" si="8"/>
        <v>0</v>
      </c>
      <c r="K61" s="729">
        <f t="shared" si="8"/>
        <v>175.28322981535155</v>
      </c>
      <c r="L61" s="729">
        <f t="shared" si="8"/>
        <v>0</v>
      </c>
      <c r="M61" s="729">
        <f t="shared" ca="1" si="8"/>
        <v>0</v>
      </c>
      <c r="N61" s="729">
        <f t="shared" si="8"/>
        <v>0</v>
      </c>
      <c r="O61" s="729">
        <f t="shared" ca="1" si="8"/>
        <v>0</v>
      </c>
      <c r="P61" s="729">
        <f t="shared" si="8"/>
        <v>0</v>
      </c>
      <c r="Q61" s="729">
        <f t="shared" si="8"/>
        <v>0</v>
      </c>
      <c r="R61" s="729">
        <f ca="1">R46+R52+R56</f>
        <v>109975.60945839119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0.20758493444203854</v>
      </c>
      <c r="D63" s="772">
        <f t="shared" ca="1" si="9"/>
        <v>0.23659806797118482</v>
      </c>
      <c r="E63" s="998">
        <f t="shared" ca="1" si="9"/>
        <v>0.20199999999999999</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4525.0006590428138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9024.7500000000018</v>
      </c>
      <c r="D76" s="1008">
        <f>'lokale energieproductie'!C8</f>
        <v>10617.352941176474</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2144.705294117648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4565.0131590428136</v>
      </c>
      <c r="C78" s="744">
        <f>SUM(C72:C77)</f>
        <v>9024.7500000000018</v>
      </c>
      <c r="D78" s="745">
        <f t="shared" ref="D78:H78" si="10">SUM(D76:D77)</f>
        <v>10617.352941176474</v>
      </c>
      <c r="E78" s="745">
        <f t="shared" si="10"/>
        <v>0</v>
      </c>
      <c r="F78" s="745">
        <f t="shared" si="10"/>
        <v>0</v>
      </c>
      <c r="G78" s="745">
        <f t="shared" si="10"/>
        <v>0</v>
      </c>
      <c r="H78" s="745">
        <f t="shared" si="10"/>
        <v>0</v>
      </c>
      <c r="I78" s="745">
        <f>SUM(I76:I77)</f>
        <v>0</v>
      </c>
      <c r="J78" s="745">
        <f>SUM(J76:J77)</f>
        <v>47.07352941176471</v>
      </c>
      <c r="K78" s="745">
        <f t="shared" ref="K78:L78" si="11">SUM(K76:K77)</f>
        <v>0</v>
      </c>
      <c r="L78" s="745">
        <f t="shared" si="11"/>
        <v>0</v>
      </c>
      <c r="M78" s="745">
        <f>SUM(M76:M77)</f>
        <v>0</v>
      </c>
      <c r="N78" s="745">
        <f>SUM(N76:N77)</f>
        <v>0</v>
      </c>
      <c r="O78" s="852">
        <f>SUM(O76:O77)</f>
        <v>0</v>
      </c>
      <c r="P78" s="746">
        <v>0</v>
      </c>
      <c r="Q78" s="746">
        <f>SUM(Q76:Q77)</f>
        <v>2144.705294117648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57.160714285714285</v>
      </c>
      <c r="C87" s="755">
        <f>'lokale energieproductie'!B17*IFERROR(SUM(D87:H87)/SUM(D87:O87),0)</f>
        <v>12892.5</v>
      </c>
      <c r="D87" s="766">
        <f>'lokale energieproductie'!C17</f>
        <v>15167.647058823532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3063.8647058823535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57.160714285714285</v>
      </c>
      <c r="C90" s="744">
        <f>SUM(C87:C89)</f>
        <v>12892.5</v>
      </c>
      <c r="D90" s="744">
        <f t="shared" ref="D90:H90" si="12">SUM(D87:D89)</f>
        <v>15167.647058823532</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3063.8647058823535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28209.439245552363</v>
      </c>
      <c r="C4" s="458">
        <f>huishoudens!C8</f>
        <v>0</v>
      </c>
      <c r="D4" s="458">
        <f>huishoudens!D8</f>
        <v>60993.416637650662</v>
      </c>
      <c r="E4" s="458">
        <f>huishoudens!E8</f>
        <v>3857.2956014547808</v>
      </c>
      <c r="F4" s="458">
        <f>huishoudens!F8</f>
        <v>19531.302977159168</v>
      </c>
      <c r="G4" s="458">
        <f>huishoudens!G8</f>
        <v>0</v>
      </c>
      <c r="H4" s="458">
        <f>huishoudens!H8</f>
        <v>0</v>
      </c>
      <c r="I4" s="458">
        <f>huishoudens!I8</f>
        <v>0</v>
      </c>
      <c r="J4" s="458">
        <f>huishoudens!J8</f>
        <v>109.80553774937198</v>
      </c>
      <c r="K4" s="458">
        <f>huishoudens!K8</f>
        <v>0</v>
      </c>
      <c r="L4" s="458">
        <f>huishoudens!L8</f>
        <v>0</v>
      </c>
      <c r="M4" s="458">
        <f>huishoudens!M8</f>
        <v>0</v>
      </c>
      <c r="N4" s="458">
        <f>huishoudens!N8</f>
        <v>16752.737263996372</v>
      </c>
      <c r="O4" s="458">
        <f>huishoudens!O8</f>
        <v>161.02333333333334</v>
      </c>
      <c r="P4" s="459">
        <f>huishoudens!P8</f>
        <v>400.4</v>
      </c>
      <c r="Q4" s="460">
        <f>SUM(B4:P4)</f>
        <v>130015.42059689605</v>
      </c>
    </row>
    <row r="5" spans="1:17">
      <c r="A5" s="457" t="s">
        <v>155</v>
      </c>
      <c r="B5" s="458">
        <f ca="1">tertiair!B16</f>
        <v>15574.303</v>
      </c>
      <c r="C5" s="458">
        <f ca="1">tertiair!C16</f>
        <v>35.357142857142861</v>
      </c>
      <c r="D5" s="458">
        <f ca="1">tertiair!D16</f>
        <v>16300.465155459195</v>
      </c>
      <c r="E5" s="458">
        <f>tertiair!E16</f>
        <v>233.11926477175945</v>
      </c>
      <c r="F5" s="458">
        <f ca="1">tertiair!F16</f>
        <v>3039.7892917716213</v>
      </c>
      <c r="G5" s="458">
        <f>tertiair!G16</f>
        <v>0</v>
      </c>
      <c r="H5" s="458">
        <f>tertiair!H16</f>
        <v>0</v>
      </c>
      <c r="I5" s="458">
        <f>tertiair!I16</f>
        <v>0</v>
      </c>
      <c r="J5" s="458">
        <f>tertiair!J16</f>
        <v>0</v>
      </c>
      <c r="K5" s="458">
        <f>tertiair!K16</f>
        <v>0</v>
      </c>
      <c r="L5" s="458">
        <f ca="1">tertiair!L16</f>
        <v>0</v>
      </c>
      <c r="M5" s="458">
        <f>tertiair!M16</f>
        <v>0</v>
      </c>
      <c r="N5" s="458">
        <f ca="1">tertiair!N16</f>
        <v>1103.1274849761407</v>
      </c>
      <c r="O5" s="458">
        <f>tertiair!O16</f>
        <v>0</v>
      </c>
      <c r="P5" s="459">
        <f>tertiair!P16</f>
        <v>57.2</v>
      </c>
      <c r="Q5" s="457">
        <f t="shared" ref="Q5:Q14" ca="1" si="0">SUM(B5:P5)</f>
        <v>36343.36133983585</v>
      </c>
    </row>
    <row r="6" spans="1:17">
      <c r="A6" s="457" t="s">
        <v>193</v>
      </c>
      <c r="B6" s="458">
        <f>'openbare verlichting'!B8</f>
        <v>1057.3109999999999</v>
      </c>
      <c r="C6" s="458"/>
      <c r="D6" s="458"/>
      <c r="E6" s="458"/>
      <c r="F6" s="458"/>
      <c r="G6" s="458"/>
      <c r="H6" s="458"/>
      <c r="I6" s="458"/>
      <c r="J6" s="458"/>
      <c r="K6" s="458"/>
      <c r="L6" s="458"/>
      <c r="M6" s="458"/>
      <c r="N6" s="458"/>
      <c r="O6" s="458"/>
      <c r="P6" s="459"/>
      <c r="Q6" s="457">
        <f t="shared" si="0"/>
        <v>1057.3109999999999</v>
      </c>
    </row>
    <row r="7" spans="1:17">
      <c r="A7" s="457" t="s">
        <v>111</v>
      </c>
      <c r="B7" s="458">
        <f>landbouw!B8</f>
        <v>2559.31</v>
      </c>
      <c r="C7" s="458">
        <f>landbouw!C8</f>
        <v>12914.303571428571</v>
      </c>
      <c r="D7" s="458">
        <f>landbouw!D8</f>
        <v>9824.8084513732829</v>
      </c>
      <c r="E7" s="458">
        <f>landbouw!E8</f>
        <v>32.250603061640462</v>
      </c>
      <c r="F7" s="458">
        <f>landbouw!F8</f>
        <v>8830.2606454650122</v>
      </c>
      <c r="G7" s="458">
        <f>landbouw!G8</f>
        <v>0</v>
      </c>
      <c r="H7" s="458">
        <f>landbouw!H8</f>
        <v>0</v>
      </c>
      <c r="I7" s="458">
        <f>landbouw!I8</f>
        <v>0</v>
      </c>
      <c r="J7" s="458">
        <f>landbouw!J8</f>
        <v>384.8911307907149</v>
      </c>
      <c r="K7" s="458">
        <f>landbouw!K8</f>
        <v>0</v>
      </c>
      <c r="L7" s="458">
        <f>landbouw!L8</f>
        <v>0</v>
      </c>
      <c r="M7" s="458">
        <f>landbouw!M8</f>
        <v>0</v>
      </c>
      <c r="N7" s="458">
        <f>landbouw!N8</f>
        <v>0</v>
      </c>
      <c r="O7" s="458">
        <f>landbouw!O8</f>
        <v>0</v>
      </c>
      <c r="P7" s="459">
        <f>landbouw!P8</f>
        <v>0</v>
      </c>
      <c r="Q7" s="457">
        <f t="shared" si="0"/>
        <v>34545.824402119222</v>
      </c>
    </row>
    <row r="8" spans="1:17">
      <c r="A8" s="457" t="s">
        <v>655</v>
      </c>
      <c r="B8" s="458">
        <f>industrie!B18</f>
        <v>16025.626</v>
      </c>
      <c r="C8" s="458">
        <f>industrie!C18</f>
        <v>0</v>
      </c>
      <c r="D8" s="458">
        <f>industrie!D18</f>
        <v>17537.543271667982</v>
      </c>
      <c r="E8" s="458">
        <f>industrie!E18</f>
        <v>634.03167041412178</v>
      </c>
      <c r="F8" s="458">
        <f>industrie!F18</f>
        <v>3083.1445384069598</v>
      </c>
      <c r="G8" s="458">
        <f>industrie!G18</f>
        <v>0</v>
      </c>
      <c r="H8" s="458">
        <f>industrie!H18</f>
        <v>0</v>
      </c>
      <c r="I8" s="458">
        <f>industrie!I18</f>
        <v>0</v>
      </c>
      <c r="J8" s="458">
        <f>industrie!J18</f>
        <v>0.45369816994575651</v>
      </c>
      <c r="K8" s="458">
        <f>industrie!K18</f>
        <v>0</v>
      </c>
      <c r="L8" s="458">
        <f>industrie!L18</f>
        <v>0</v>
      </c>
      <c r="M8" s="458">
        <f>industrie!M18</f>
        <v>0</v>
      </c>
      <c r="N8" s="458">
        <f>industrie!N18</f>
        <v>2814.4429594982016</v>
      </c>
      <c r="O8" s="458">
        <f>industrie!O18</f>
        <v>0</v>
      </c>
      <c r="P8" s="459">
        <f>industrie!P18</f>
        <v>0</v>
      </c>
      <c r="Q8" s="457">
        <f t="shared" si="0"/>
        <v>40095.242138157213</v>
      </c>
    </row>
    <row r="9" spans="1:17" s="463" customFormat="1">
      <c r="A9" s="461" t="s">
        <v>573</v>
      </c>
      <c r="B9" s="462">
        <f>transport!B14</f>
        <v>10.636229524080473</v>
      </c>
      <c r="C9" s="462">
        <f>transport!C14</f>
        <v>0</v>
      </c>
      <c r="D9" s="462">
        <f>transport!D14</f>
        <v>16.849141012347879</v>
      </c>
      <c r="E9" s="462">
        <f>transport!E14</f>
        <v>686.6499468169809</v>
      </c>
      <c r="F9" s="462">
        <f>transport!F14</f>
        <v>0</v>
      </c>
      <c r="G9" s="462">
        <f>transport!G14</f>
        <v>199089.41151082949</v>
      </c>
      <c r="H9" s="462">
        <f>transport!H14</f>
        <v>31706.680645927241</v>
      </c>
      <c r="I9" s="462">
        <f>transport!I14</f>
        <v>0</v>
      </c>
      <c r="J9" s="462">
        <f>transport!J14</f>
        <v>0</v>
      </c>
      <c r="K9" s="462">
        <f>transport!K14</f>
        <v>0</v>
      </c>
      <c r="L9" s="462">
        <f>transport!L14</f>
        <v>0</v>
      </c>
      <c r="M9" s="462">
        <f>transport!M14</f>
        <v>10434.41892378432</v>
      </c>
      <c r="N9" s="462">
        <f>transport!N14</f>
        <v>0</v>
      </c>
      <c r="O9" s="462">
        <f>transport!O14</f>
        <v>0</v>
      </c>
      <c r="P9" s="462">
        <f>transport!P14</f>
        <v>0</v>
      </c>
      <c r="Q9" s="461">
        <f>SUM(B9:P9)</f>
        <v>241944.64639789445</v>
      </c>
    </row>
    <row r="10" spans="1:17">
      <c r="A10" s="457" t="s">
        <v>563</v>
      </c>
      <c r="B10" s="458">
        <f>transport!B54</f>
        <v>0</v>
      </c>
      <c r="C10" s="458">
        <f>transport!C54</f>
        <v>0</v>
      </c>
      <c r="D10" s="458">
        <f>transport!D54</f>
        <v>0</v>
      </c>
      <c r="E10" s="458">
        <f>transport!E54</f>
        <v>0</v>
      </c>
      <c r="F10" s="458">
        <f>transport!F54</f>
        <v>0</v>
      </c>
      <c r="G10" s="458">
        <f>transport!G54</f>
        <v>1367.4674215017703</v>
      </c>
      <c r="H10" s="458">
        <f>transport!H54</f>
        <v>0</v>
      </c>
      <c r="I10" s="458">
        <f>transport!I54</f>
        <v>0</v>
      </c>
      <c r="J10" s="458">
        <f>transport!J54</f>
        <v>0</v>
      </c>
      <c r="K10" s="458">
        <f>transport!K54</f>
        <v>0</v>
      </c>
      <c r="L10" s="458">
        <f>transport!L54</f>
        <v>0</v>
      </c>
      <c r="M10" s="458">
        <f>transport!M54</f>
        <v>60.867106226153538</v>
      </c>
      <c r="N10" s="458">
        <f>transport!N54</f>
        <v>0</v>
      </c>
      <c r="O10" s="458">
        <f>transport!O54</f>
        <v>0</v>
      </c>
      <c r="P10" s="459">
        <f>transport!P54</f>
        <v>0</v>
      </c>
      <c r="Q10" s="457">
        <f t="shared" si="0"/>
        <v>1428.3345277279238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568.45600000000002</v>
      </c>
      <c r="C14" s="465"/>
      <c r="D14" s="465">
        <f>'SEAP template'!E25</f>
        <v>2208.2050479149998</v>
      </c>
      <c r="E14" s="465"/>
      <c r="F14" s="465"/>
      <c r="G14" s="465"/>
      <c r="H14" s="465"/>
      <c r="I14" s="465"/>
      <c r="J14" s="465"/>
      <c r="K14" s="465"/>
      <c r="L14" s="465"/>
      <c r="M14" s="465"/>
      <c r="N14" s="465"/>
      <c r="O14" s="465"/>
      <c r="P14" s="466"/>
      <c r="Q14" s="457">
        <f t="shared" si="0"/>
        <v>2776.6610479149999</v>
      </c>
    </row>
    <row r="15" spans="1:17" s="470" customFormat="1">
      <c r="A15" s="467" t="s">
        <v>567</v>
      </c>
      <c r="B15" s="468">
        <f ca="1">SUM(B4:B14)</f>
        <v>64005.081475076448</v>
      </c>
      <c r="C15" s="468">
        <f t="shared" ref="C15:Q15" ca="1" si="1">SUM(C4:C14)</f>
        <v>12949.660714285714</v>
      </c>
      <c r="D15" s="468">
        <f t="shared" ca="1" si="1"/>
        <v>106881.28770507849</v>
      </c>
      <c r="E15" s="468">
        <f t="shared" si="1"/>
        <v>5443.347086519283</v>
      </c>
      <c r="F15" s="468">
        <f t="shared" ca="1" si="1"/>
        <v>34484.49745280276</v>
      </c>
      <c r="G15" s="468">
        <f t="shared" si="1"/>
        <v>200456.87893233125</v>
      </c>
      <c r="H15" s="468">
        <f t="shared" si="1"/>
        <v>31706.680645927241</v>
      </c>
      <c r="I15" s="468">
        <f t="shared" si="1"/>
        <v>0</v>
      </c>
      <c r="J15" s="468">
        <f t="shared" si="1"/>
        <v>495.15036671003264</v>
      </c>
      <c r="K15" s="468">
        <f t="shared" si="1"/>
        <v>0</v>
      </c>
      <c r="L15" s="468">
        <f t="shared" ca="1" si="1"/>
        <v>0</v>
      </c>
      <c r="M15" s="468">
        <f t="shared" si="1"/>
        <v>10495.286030010473</v>
      </c>
      <c r="N15" s="468">
        <f t="shared" ca="1" si="1"/>
        <v>20670.307708470715</v>
      </c>
      <c r="O15" s="468">
        <f t="shared" si="1"/>
        <v>161.02333333333334</v>
      </c>
      <c r="P15" s="468">
        <f t="shared" si="1"/>
        <v>457.59999999999997</v>
      </c>
      <c r="Q15" s="468">
        <f t="shared" ca="1" si="1"/>
        <v>488206.80145054567</v>
      </c>
    </row>
    <row r="17" spans="1:17">
      <c r="A17" s="471" t="s">
        <v>568</v>
      </c>
      <c r="B17" s="777">
        <f ca="1">huishoudens!B10</f>
        <v>0.20758493444203857</v>
      </c>
      <c r="C17" s="777">
        <f ca="1">huishoudens!C10</f>
        <v>0.23659806797118485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5855.8545964346577</v>
      </c>
      <c r="C22" s="458">
        <f t="shared" ref="C22:C32" ca="1" si="3">C4*$C$17</f>
        <v>0</v>
      </c>
      <c r="D22" s="458">
        <f t="shared" ref="D22:D32" si="4">D4*$D$17</f>
        <v>12320.670160805434</v>
      </c>
      <c r="E22" s="458">
        <f t="shared" ref="E22:E32" si="5">E4*$E$17</f>
        <v>875.60610153023526</v>
      </c>
      <c r="F22" s="458">
        <f t="shared" ref="F22:F32" si="6">F4*$F$17</f>
        <v>5214.8578949014982</v>
      </c>
      <c r="G22" s="458">
        <f t="shared" ref="G22:G32" si="7">G4*$G$17</f>
        <v>0</v>
      </c>
      <c r="H22" s="458">
        <f t="shared" ref="H22:H32" si="8">H4*$H$17</f>
        <v>0</v>
      </c>
      <c r="I22" s="458">
        <f t="shared" ref="I22:I32" si="9">I4*$I$17</f>
        <v>0</v>
      </c>
      <c r="J22" s="458">
        <f t="shared" ref="J22:J32" si="10">J4*$J$17</f>
        <v>38.871160363277681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24305.859914035103</v>
      </c>
    </row>
    <row r="23" spans="1:17">
      <c r="A23" s="457" t="s">
        <v>155</v>
      </c>
      <c r="B23" s="458">
        <f t="shared" ca="1" si="2"/>
        <v>3232.9906672354446</v>
      </c>
      <c r="C23" s="458">
        <f t="shared" ca="1" si="3"/>
        <v>8.3654316889811788</v>
      </c>
      <c r="D23" s="458">
        <f t="shared" ca="1" si="4"/>
        <v>3292.6939614027574</v>
      </c>
      <c r="E23" s="458">
        <f t="shared" si="5"/>
        <v>52.918073103189393</v>
      </c>
      <c r="F23" s="458">
        <f t="shared" ca="1" si="6"/>
        <v>811.62374090302296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7398.591874333395</v>
      </c>
    </row>
    <row r="24" spans="1:17">
      <c r="A24" s="457" t="s">
        <v>193</v>
      </c>
      <c r="B24" s="458">
        <f t="shared" ca="1" si="2"/>
        <v>219.48183461984624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219.48183461984624</v>
      </c>
    </row>
    <row r="25" spans="1:17">
      <c r="A25" s="457" t="s">
        <v>111</v>
      </c>
      <c r="B25" s="458">
        <f t="shared" ca="1" si="2"/>
        <v>531.27419856685367</v>
      </c>
      <c r="C25" s="458">
        <f t="shared" ca="1" si="3"/>
        <v>3055.499274193372</v>
      </c>
      <c r="D25" s="458">
        <f t="shared" si="4"/>
        <v>1984.6113071774032</v>
      </c>
      <c r="E25" s="458">
        <f t="shared" si="5"/>
        <v>7.3208868949923849</v>
      </c>
      <c r="F25" s="458">
        <f t="shared" si="6"/>
        <v>2357.6795923391583</v>
      </c>
      <c r="G25" s="458">
        <f t="shared" si="7"/>
        <v>0</v>
      </c>
      <c r="H25" s="458">
        <f t="shared" si="8"/>
        <v>0</v>
      </c>
      <c r="I25" s="458">
        <f t="shared" si="9"/>
        <v>0</v>
      </c>
      <c r="J25" s="458">
        <f t="shared" si="10"/>
        <v>136.25146029991308</v>
      </c>
      <c r="K25" s="458">
        <f t="shared" si="11"/>
        <v>0</v>
      </c>
      <c r="L25" s="458">
        <f t="shared" si="12"/>
        <v>0</v>
      </c>
      <c r="M25" s="458">
        <f t="shared" si="13"/>
        <v>0</v>
      </c>
      <c r="N25" s="458">
        <f t="shared" si="14"/>
        <v>0</v>
      </c>
      <c r="O25" s="458">
        <f t="shared" si="15"/>
        <v>0</v>
      </c>
      <c r="P25" s="459">
        <f t="shared" si="16"/>
        <v>0</v>
      </c>
      <c r="Q25" s="457">
        <f t="shared" ca="1" si="17"/>
        <v>8072.6367194716922</v>
      </c>
    </row>
    <row r="26" spans="1:17">
      <c r="A26" s="457" t="s">
        <v>655</v>
      </c>
      <c r="B26" s="458">
        <f t="shared" ca="1" si="2"/>
        <v>3326.6785226026291</v>
      </c>
      <c r="C26" s="458">
        <f t="shared" ca="1" si="3"/>
        <v>0</v>
      </c>
      <c r="D26" s="458">
        <f t="shared" si="4"/>
        <v>3542.5837408769326</v>
      </c>
      <c r="E26" s="458">
        <f t="shared" si="5"/>
        <v>143.92518918400566</v>
      </c>
      <c r="F26" s="458">
        <f t="shared" si="6"/>
        <v>823.19959175465829</v>
      </c>
      <c r="G26" s="458">
        <f t="shared" si="7"/>
        <v>0</v>
      </c>
      <c r="H26" s="458">
        <f t="shared" si="8"/>
        <v>0</v>
      </c>
      <c r="I26" s="458">
        <f t="shared" si="9"/>
        <v>0</v>
      </c>
      <c r="J26" s="458">
        <f t="shared" si="10"/>
        <v>0.1606091521607978</v>
      </c>
      <c r="K26" s="458">
        <f t="shared" si="11"/>
        <v>0</v>
      </c>
      <c r="L26" s="458">
        <f t="shared" si="12"/>
        <v>0</v>
      </c>
      <c r="M26" s="458">
        <f t="shared" si="13"/>
        <v>0</v>
      </c>
      <c r="N26" s="458">
        <f t="shared" si="14"/>
        <v>0</v>
      </c>
      <c r="O26" s="458">
        <f t="shared" si="15"/>
        <v>0</v>
      </c>
      <c r="P26" s="459">
        <f t="shared" si="16"/>
        <v>0</v>
      </c>
      <c r="Q26" s="457">
        <f t="shared" ca="1" si="17"/>
        <v>7836.5476535703865</v>
      </c>
    </row>
    <row r="27" spans="1:17" s="463" customFormat="1">
      <c r="A27" s="461" t="s">
        <v>573</v>
      </c>
      <c r="B27" s="771">
        <f t="shared" ca="1" si="2"/>
        <v>2.20792100846672</v>
      </c>
      <c r="C27" s="462">
        <f t="shared" ca="1" si="3"/>
        <v>0</v>
      </c>
      <c r="D27" s="462">
        <f t="shared" si="4"/>
        <v>3.4035264844942716</v>
      </c>
      <c r="E27" s="462">
        <f t="shared" si="5"/>
        <v>155.86953792745467</v>
      </c>
      <c r="F27" s="462">
        <f t="shared" si="6"/>
        <v>0</v>
      </c>
      <c r="G27" s="462">
        <f t="shared" si="7"/>
        <v>53156.872873391476</v>
      </c>
      <c r="H27" s="462">
        <f t="shared" si="8"/>
        <v>7894.9634808358833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61213.317339647772</v>
      </c>
    </row>
    <row r="28" spans="1:17">
      <c r="A28" s="457" t="s">
        <v>563</v>
      </c>
      <c r="B28" s="458">
        <f t="shared" ca="1" si="2"/>
        <v>0</v>
      </c>
      <c r="C28" s="458">
        <f t="shared" ca="1" si="3"/>
        <v>0</v>
      </c>
      <c r="D28" s="458">
        <f t="shared" si="4"/>
        <v>0</v>
      </c>
      <c r="E28" s="458">
        <f t="shared" si="5"/>
        <v>0</v>
      </c>
      <c r="F28" s="458">
        <f t="shared" si="6"/>
        <v>0</v>
      </c>
      <c r="G28" s="458">
        <f t="shared" si="7"/>
        <v>365.1138015409727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365.1138015409727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118.00290149318349</v>
      </c>
      <c r="C32" s="458">
        <f t="shared" ca="1" si="3"/>
        <v>0</v>
      </c>
      <c r="D32" s="458">
        <f t="shared" si="4"/>
        <v>446.05741967883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564.06032117201346</v>
      </c>
    </row>
    <row r="33" spans="1:17" s="470" customFormat="1">
      <c r="A33" s="467" t="s">
        <v>567</v>
      </c>
      <c r="B33" s="468">
        <f ca="1">SUM(B22:B32)</f>
        <v>13286.490641961083</v>
      </c>
      <c r="C33" s="468">
        <f t="shared" ref="C33:Q33" ca="1" si="18">SUM(C22:C32)</f>
        <v>3063.8647058823531</v>
      </c>
      <c r="D33" s="468">
        <f t="shared" ca="1" si="18"/>
        <v>21590.020116425851</v>
      </c>
      <c r="E33" s="468">
        <f t="shared" si="18"/>
        <v>1235.6397886398775</v>
      </c>
      <c r="F33" s="468">
        <f t="shared" ca="1" si="18"/>
        <v>9207.3608198983384</v>
      </c>
      <c r="G33" s="468">
        <f t="shared" si="18"/>
        <v>53521.98667493245</v>
      </c>
      <c r="H33" s="468">
        <f t="shared" si="18"/>
        <v>7894.9634808358833</v>
      </c>
      <c r="I33" s="468">
        <f t="shared" si="18"/>
        <v>0</v>
      </c>
      <c r="J33" s="468">
        <f t="shared" si="18"/>
        <v>175.28322981535155</v>
      </c>
      <c r="K33" s="468">
        <f t="shared" si="18"/>
        <v>0</v>
      </c>
      <c r="L33" s="468">
        <f t="shared" ca="1" si="18"/>
        <v>0</v>
      </c>
      <c r="M33" s="468">
        <f t="shared" si="18"/>
        <v>0</v>
      </c>
      <c r="N33" s="468">
        <f t="shared" ca="1" si="18"/>
        <v>0</v>
      </c>
      <c r="O33" s="468">
        <f t="shared" si="18"/>
        <v>0</v>
      </c>
      <c r="P33" s="468">
        <f t="shared" si="18"/>
        <v>0</v>
      </c>
      <c r="Q33" s="468">
        <f t="shared" ca="1" si="18"/>
        <v>109975.60945839118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4525.0006590428138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9024.7500000000018</v>
      </c>
      <c r="D8" s="1034">
        <f>'SEAP template'!D76</f>
        <v>10617.352941176474</v>
      </c>
      <c r="E8" s="1034">
        <f>'SEAP template'!E76</f>
        <v>0</v>
      </c>
      <c r="F8" s="1034">
        <f>'SEAP template'!F76</f>
        <v>0</v>
      </c>
      <c r="G8" s="1034">
        <f>'SEAP template'!G76</f>
        <v>0</v>
      </c>
      <c r="H8" s="1034">
        <f>'SEAP template'!H76</f>
        <v>0</v>
      </c>
      <c r="I8" s="1034">
        <f>'SEAP template'!I76</f>
        <v>0</v>
      </c>
      <c r="J8" s="1034">
        <f>'SEAP template'!J76</f>
        <v>47.07352941176471</v>
      </c>
      <c r="K8" s="1034">
        <f>'SEAP template'!K76</f>
        <v>0</v>
      </c>
      <c r="L8" s="1034">
        <f>'SEAP template'!L76</f>
        <v>0</v>
      </c>
      <c r="M8" s="1034">
        <f>'SEAP template'!M76</f>
        <v>0</v>
      </c>
      <c r="N8" s="1034">
        <f>'SEAP template'!N76</f>
        <v>0</v>
      </c>
      <c r="O8" s="1034">
        <f>'SEAP template'!O76</f>
        <v>0</v>
      </c>
      <c r="P8" s="1035">
        <f>'SEAP template'!Q76</f>
        <v>2144.705294117648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4565.0131590428136</v>
      </c>
      <c r="C10" s="1038">
        <f>SUM(C4:C9)</f>
        <v>9024.7500000000018</v>
      </c>
      <c r="D10" s="1038">
        <f t="shared" ref="D10:H10" si="0">SUM(D8:D9)</f>
        <v>10617.352941176474</v>
      </c>
      <c r="E10" s="1038">
        <f t="shared" si="0"/>
        <v>0</v>
      </c>
      <c r="F10" s="1038">
        <f t="shared" si="0"/>
        <v>0</v>
      </c>
      <c r="G10" s="1038">
        <f t="shared" si="0"/>
        <v>0</v>
      </c>
      <c r="H10" s="1038">
        <f t="shared" si="0"/>
        <v>0</v>
      </c>
      <c r="I10" s="1038">
        <f>SUM(I8:I9)</f>
        <v>0</v>
      </c>
      <c r="J10" s="1038">
        <f>SUM(J8:J9)</f>
        <v>47.07352941176471</v>
      </c>
      <c r="K10" s="1038">
        <f t="shared" ref="K10:L10" si="1">SUM(K8:K9)</f>
        <v>0</v>
      </c>
      <c r="L10" s="1038">
        <f t="shared" si="1"/>
        <v>0</v>
      </c>
      <c r="M10" s="1038">
        <f>SUM(M8:M9)</f>
        <v>0</v>
      </c>
      <c r="N10" s="1038">
        <f>SUM(N8:N9)</f>
        <v>0</v>
      </c>
      <c r="O10" s="1038">
        <f>SUM(O8:O9)</f>
        <v>0</v>
      </c>
      <c r="P10" s="1038">
        <f>SUM(P8:P9)</f>
        <v>2144.705294117648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0.20758493444203857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57.160714285714285</v>
      </c>
      <c r="C17" s="1040">
        <f>'SEAP template'!C87</f>
        <v>12892.5</v>
      </c>
      <c r="D17" s="1035">
        <f>'SEAP template'!D87</f>
        <v>15167.647058823532</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3063.8647058823535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57.160714285714285</v>
      </c>
      <c r="C20" s="1038">
        <f>SUM(C17:C19)</f>
        <v>12892.5</v>
      </c>
      <c r="D20" s="1038">
        <f t="shared" ref="D20:H20" si="2">SUM(D17:D19)</f>
        <v>15167.647058823532</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3063.8647058823535</v>
      </c>
    </row>
    <row r="22" spans="1:16">
      <c r="A22" s="471" t="s">
        <v>879</v>
      </c>
      <c r="B22" s="777" t="s">
        <v>873</v>
      </c>
      <c r="C22" s="777">
        <f ca="1">'EF ele_warmte'!B22</f>
        <v>0.23659806797118485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0.20758493444203857</v>
      </c>
      <c r="C17" s="508">
        <f ca="1">'EF ele_warmte'!B22</f>
        <v>0.23659806797118485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0.20758493444203857</v>
      </c>
      <c r="C17" s="508">
        <f ca="1">'EF ele_warmte'!B22</f>
        <v>0.23659806797118485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0.20758493444203857</v>
      </c>
      <c r="C29" s="509">
        <f ca="1">'EF ele_warmte'!B22</f>
        <v>0.23659806797118485</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5454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3349</v>
      </c>
      <c r="C14" s="332"/>
      <c r="D14" s="332"/>
      <c r="E14" s="332"/>
      <c r="F14" s="332"/>
    </row>
    <row r="15" spans="1:6">
      <c r="A15" s="1306" t="s">
        <v>183</v>
      </c>
      <c r="B15" s="1307">
        <v>34</v>
      </c>
      <c r="C15" s="332"/>
      <c r="D15" s="332"/>
      <c r="E15" s="332"/>
      <c r="F15" s="332"/>
    </row>
    <row r="16" spans="1:6">
      <c r="A16" s="1306" t="s">
        <v>6</v>
      </c>
      <c r="B16" s="1307">
        <v>1429</v>
      </c>
      <c r="C16" s="332"/>
      <c r="D16" s="332"/>
      <c r="E16" s="332"/>
      <c r="F16" s="332"/>
    </row>
    <row r="17" spans="1:6">
      <c r="A17" s="1306" t="s">
        <v>7</v>
      </c>
      <c r="B17" s="1307">
        <v>1881</v>
      </c>
      <c r="C17" s="332"/>
      <c r="D17" s="332"/>
      <c r="E17" s="332"/>
      <c r="F17" s="332"/>
    </row>
    <row r="18" spans="1:6">
      <c r="A18" s="1306" t="s">
        <v>8</v>
      </c>
      <c r="B18" s="1307">
        <v>2535</v>
      </c>
      <c r="C18" s="332"/>
      <c r="D18" s="332"/>
      <c r="E18" s="332"/>
      <c r="F18" s="332"/>
    </row>
    <row r="19" spans="1:6">
      <c r="A19" s="1306" t="s">
        <v>9</v>
      </c>
      <c r="B19" s="1307">
        <v>2312</v>
      </c>
      <c r="C19" s="332"/>
      <c r="D19" s="332"/>
      <c r="E19" s="332"/>
      <c r="F19" s="332"/>
    </row>
    <row r="20" spans="1:6">
      <c r="A20" s="1306" t="s">
        <v>10</v>
      </c>
      <c r="B20" s="1307">
        <v>1596</v>
      </c>
      <c r="C20" s="332"/>
      <c r="D20" s="332"/>
      <c r="E20" s="332"/>
      <c r="F20" s="332"/>
    </row>
    <row r="21" spans="1:6">
      <c r="A21" s="1306" t="s">
        <v>11</v>
      </c>
      <c r="B21" s="1307">
        <v>10948</v>
      </c>
      <c r="C21" s="332"/>
      <c r="D21" s="332"/>
      <c r="E21" s="332"/>
      <c r="F21" s="332"/>
    </row>
    <row r="22" spans="1:6">
      <c r="A22" s="1306" t="s">
        <v>12</v>
      </c>
      <c r="B22" s="1307">
        <v>14794</v>
      </c>
      <c r="C22" s="332"/>
      <c r="D22" s="332"/>
      <c r="E22" s="332"/>
      <c r="F22" s="332"/>
    </row>
    <row r="23" spans="1:6">
      <c r="A23" s="1306" t="s">
        <v>13</v>
      </c>
      <c r="B23" s="1307">
        <v>835</v>
      </c>
      <c r="C23" s="332"/>
      <c r="D23" s="332"/>
      <c r="E23" s="332"/>
      <c r="F23" s="332"/>
    </row>
    <row r="24" spans="1:6">
      <c r="A24" s="1306" t="s">
        <v>14</v>
      </c>
      <c r="B24" s="1307">
        <v>16</v>
      </c>
      <c r="C24" s="332"/>
      <c r="D24" s="332"/>
      <c r="E24" s="332"/>
      <c r="F24" s="332"/>
    </row>
    <row r="25" spans="1:6">
      <c r="A25" s="1306" t="s">
        <v>15</v>
      </c>
      <c r="B25" s="1307">
        <v>2467</v>
      </c>
      <c r="C25" s="332"/>
      <c r="D25" s="332"/>
      <c r="E25" s="332"/>
      <c r="F25" s="332"/>
    </row>
    <row r="26" spans="1:6">
      <c r="A26" s="1306" t="s">
        <v>16</v>
      </c>
      <c r="B26" s="1307">
        <v>288</v>
      </c>
      <c r="C26" s="332"/>
      <c r="D26" s="332"/>
      <c r="E26" s="332"/>
      <c r="F26" s="332"/>
    </row>
    <row r="27" spans="1:6">
      <c r="A27" s="1306" t="s">
        <v>17</v>
      </c>
      <c r="B27" s="1307">
        <v>3</v>
      </c>
      <c r="C27" s="332"/>
      <c r="D27" s="332"/>
      <c r="E27" s="332"/>
      <c r="F27" s="332"/>
    </row>
    <row r="28" spans="1:6" s="43" customFormat="1">
      <c r="A28" s="1308" t="s">
        <v>18</v>
      </c>
      <c r="B28" s="1309">
        <v>11728</v>
      </c>
      <c r="C28" s="338"/>
      <c r="D28" s="338"/>
      <c r="E28" s="338"/>
      <c r="F28" s="338"/>
    </row>
    <row r="29" spans="1:6">
      <c r="A29" s="1308" t="s">
        <v>916</v>
      </c>
      <c r="B29" s="1309">
        <v>144</v>
      </c>
      <c r="C29" s="338"/>
      <c r="D29" s="338"/>
      <c r="E29" s="338"/>
      <c r="F29" s="338"/>
    </row>
    <row r="30" spans="1:6">
      <c r="A30" s="1301" t="s">
        <v>917</v>
      </c>
      <c r="B30" s="1310">
        <v>37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27156</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15117</v>
      </c>
    </row>
    <row r="39" spans="1:6">
      <c r="A39" s="1306" t="s">
        <v>29</v>
      </c>
      <c r="B39" s="1306" t="s">
        <v>30</v>
      </c>
      <c r="C39" s="1307">
        <v>3313</v>
      </c>
      <c r="D39" s="1307">
        <v>67599132.828880996</v>
      </c>
      <c r="E39" s="1307">
        <v>5246</v>
      </c>
      <c r="F39" s="1307">
        <v>25209764.48489115</v>
      </c>
    </row>
    <row r="40" spans="1:6">
      <c r="A40" s="1306" t="s">
        <v>29</v>
      </c>
      <c r="B40" s="1306" t="s">
        <v>28</v>
      </c>
      <c r="C40" s="1307">
        <v>1</v>
      </c>
      <c r="D40" s="1307">
        <v>21063</v>
      </c>
      <c r="E40" s="1307">
        <v>0</v>
      </c>
      <c r="F40" s="1307">
        <v>0</v>
      </c>
    </row>
    <row r="41" spans="1:6">
      <c r="A41" s="1306" t="s">
        <v>31</v>
      </c>
      <c r="B41" s="1306" t="s">
        <v>32</v>
      </c>
      <c r="C41" s="1307">
        <v>44</v>
      </c>
      <c r="D41" s="1307">
        <v>1394123.3477604699</v>
      </c>
      <c r="E41" s="1307">
        <v>128</v>
      </c>
      <c r="F41" s="1307">
        <v>1576442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177796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13457550</v>
      </c>
    </row>
    <row r="48" spans="1:6">
      <c r="A48" s="1306" t="s">
        <v>31</v>
      </c>
      <c r="B48" s="1306" t="s">
        <v>28</v>
      </c>
      <c r="C48" s="1307">
        <v>29</v>
      </c>
      <c r="D48" s="1307">
        <v>17469878.9114419</v>
      </c>
      <c r="E48" s="1307">
        <v>2</v>
      </c>
      <c r="F48" s="1307">
        <v>173753</v>
      </c>
    </row>
    <row r="49" spans="1:6">
      <c r="A49" s="1306" t="s">
        <v>31</v>
      </c>
      <c r="B49" s="1306" t="s">
        <v>39</v>
      </c>
      <c r="C49" s="1307">
        <v>0</v>
      </c>
      <c r="D49" s="1307">
        <v>0</v>
      </c>
      <c r="E49" s="1307">
        <v>3</v>
      </c>
      <c r="F49" s="1307">
        <v>8258</v>
      </c>
    </row>
    <row r="50" spans="1:6">
      <c r="A50" s="1306" t="s">
        <v>31</v>
      </c>
      <c r="B50" s="1306" t="s">
        <v>40</v>
      </c>
      <c r="C50" s="1307">
        <v>7</v>
      </c>
      <c r="D50" s="1307">
        <v>578950.37014128896</v>
      </c>
      <c r="E50" s="1307">
        <v>17</v>
      </c>
      <c r="F50" s="1307">
        <v>631827</v>
      </c>
    </row>
    <row r="51" spans="1:6">
      <c r="A51" s="1306" t="s">
        <v>41</v>
      </c>
      <c r="B51" s="1306" t="s">
        <v>42</v>
      </c>
      <c r="C51" s="1307">
        <v>24</v>
      </c>
      <c r="D51" s="1307">
        <v>39279018.596488401</v>
      </c>
      <c r="E51" s="1307">
        <v>147</v>
      </c>
      <c r="F51" s="1307">
        <v>2559310</v>
      </c>
    </row>
    <row r="52" spans="1:6">
      <c r="A52" s="1306" t="s">
        <v>41</v>
      </c>
      <c r="B52" s="1306" t="s">
        <v>28</v>
      </c>
      <c r="C52" s="1307">
        <v>5</v>
      </c>
      <c r="D52" s="1307">
        <v>121307.529519359</v>
      </c>
      <c r="E52" s="1307">
        <v>0</v>
      </c>
      <c r="F52" s="1307">
        <v>0</v>
      </c>
    </row>
    <row r="53" spans="1:6">
      <c r="A53" s="1306" t="s">
        <v>43</v>
      </c>
      <c r="B53" s="1306" t="s">
        <v>44</v>
      </c>
      <c r="C53" s="1307">
        <v>104</v>
      </c>
      <c r="D53" s="1307">
        <v>2208205.047915</v>
      </c>
      <c r="E53" s="1307">
        <v>0</v>
      </c>
      <c r="F53" s="1307">
        <v>0</v>
      </c>
    </row>
    <row r="54" spans="1:6">
      <c r="A54" s="1306" t="s">
        <v>45</v>
      </c>
      <c r="B54" s="1306" t="s">
        <v>46</v>
      </c>
      <c r="C54" s="1307">
        <v>0</v>
      </c>
      <c r="D54" s="1307">
        <v>0</v>
      </c>
      <c r="E54" s="1307">
        <v>75</v>
      </c>
      <c r="F54" s="1307">
        <v>1057311</v>
      </c>
    </row>
    <row r="55" spans="1:6">
      <c r="A55" s="1306" t="s">
        <v>45</v>
      </c>
      <c r="B55" s="1306" t="s">
        <v>28</v>
      </c>
      <c r="C55" s="1307">
        <v>0</v>
      </c>
      <c r="D55" s="1307">
        <v>0</v>
      </c>
      <c r="E55" s="1307">
        <v>0</v>
      </c>
      <c r="F55" s="1307">
        <v>0</v>
      </c>
    </row>
    <row r="56" spans="1:6">
      <c r="A56" s="1306" t="s">
        <v>47</v>
      </c>
      <c r="B56" s="1306" t="s">
        <v>28</v>
      </c>
      <c r="C56" s="1307">
        <v>0</v>
      </c>
      <c r="D56" s="1307">
        <v>0</v>
      </c>
      <c r="E56" s="1307">
        <v>97</v>
      </c>
      <c r="F56" s="1307">
        <v>568456</v>
      </c>
    </row>
    <row r="57" spans="1:6">
      <c r="A57" s="1306" t="s">
        <v>48</v>
      </c>
      <c r="B57" s="1306" t="s">
        <v>49</v>
      </c>
      <c r="C57" s="1307">
        <v>49</v>
      </c>
      <c r="D57" s="1307">
        <v>3758870.0758264498</v>
      </c>
      <c r="E57" s="1307">
        <v>71</v>
      </c>
      <c r="F57" s="1307">
        <v>1538013</v>
      </c>
    </row>
    <row r="58" spans="1:6">
      <c r="A58" s="1306" t="s">
        <v>48</v>
      </c>
      <c r="B58" s="1306" t="s">
        <v>50</v>
      </c>
      <c r="C58" s="1307">
        <v>28</v>
      </c>
      <c r="D58" s="1307">
        <v>1081434.5172885701</v>
      </c>
      <c r="E58" s="1307">
        <v>53</v>
      </c>
      <c r="F58" s="1307">
        <v>1305298</v>
      </c>
    </row>
    <row r="59" spans="1:6">
      <c r="A59" s="1306" t="s">
        <v>48</v>
      </c>
      <c r="B59" s="1306" t="s">
        <v>51</v>
      </c>
      <c r="C59" s="1307">
        <v>58</v>
      </c>
      <c r="D59" s="1307">
        <v>2252145.2725450001</v>
      </c>
      <c r="E59" s="1307">
        <v>181</v>
      </c>
      <c r="F59" s="1307">
        <v>5227471</v>
      </c>
    </row>
    <row r="60" spans="1:6">
      <c r="A60" s="1306" t="s">
        <v>48</v>
      </c>
      <c r="B60" s="1306" t="s">
        <v>52</v>
      </c>
      <c r="C60" s="1307">
        <v>45</v>
      </c>
      <c r="D60" s="1307">
        <v>2803292.5201386302</v>
      </c>
      <c r="E60" s="1307">
        <v>58</v>
      </c>
      <c r="F60" s="1307">
        <v>2295015</v>
      </c>
    </row>
    <row r="61" spans="1:6">
      <c r="A61" s="1306" t="s">
        <v>48</v>
      </c>
      <c r="B61" s="1306" t="s">
        <v>53</v>
      </c>
      <c r="C61" s="1307">
        <v>102</v>
      </c>
      <c r="D61" s="1307">
        <v>4388188.1932307798</v>
      </c>
      <c r="E61" s="1307">
        <v>330</v>
      </c>
      <c r="F61" s="1307">
        <v>5145681</v>
      </c>
    </row>
    <row r="62" spans="1:6">
      <c r="A62" s="1306" t="s">
        <v>48</v>
      </c>
      <c r="B62" s="1306" t="s">
        <v>54</v>
      </c>
      <c r="C62" s="1307">
        <v>4</v>
      </c>
      <c r="D62" s="1307">
        <v>779436.21448547998</v>
      </c>
      <c r="E62" s="1307">
        <v>7</v>
      </c>
      <c r="F62" s="1307">
        <v>38075</v>
      </c>
    </row>
    <row r="63" spans="1:6">
      <c r="A63" s="1306" t="s">
        <v>48</v>
      </c>
      <c r="B63" s="1306" t="s">
        <v>28</v>
      </c>
      <c r="C63" s="1307">
        <v>76</v>
      </c>
      <c r="D63" s="1307">
        <v>3086499.54924948</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65697.742603735998</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154166.29840032</v>
      </c>
      <c r="E68" s="1310">
        <v>3</v>
      </c>
      <c r="F68" s="1310">
        <v>33951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65970609</v>
      </c>
      <c r="E73" s="456"/>
      <c r="F73" s="332"/>
    </row>
    <row r="74" spans="1:6">
      <c r="A74" s="1306" t="s">
        <v>63</v>
      </c>
      <c r="B74" s="1306" t="s">
        <v>724</v>
      </c>
      <c r="C74" s="1320" t="s">
        <v>725</v>
      </c>
      <c r="D74" s="1321">
        <v>3302800.4925332577</v>
      </c>
      <c r="E74" s="456"/>
      <c r="F74" s="332"/>
    </row>
    <row r="75" spans="1:6">
      <c r="A75" s="1306" t="s">
        <v>64</v>
      </c>
      <c r="B75" s="1306" t="s">
        <v>722</v>
      </c>
      <c r="C75" s="1320" t="s">
        <v>726</v>
      </c>
      <c r="D75" s="1321">
        <v>24772942</v>
      </c>
      <c r="E75" s="456"/>
      <c r="F75" s="332"/>
    </row>
    <row r="76" spans="1:6">
      <c r="A76" s="1306" t="s">
        <v>64</v>
      </c>
      <c r="B76" s="1306" t="s">
        <v>724</v>
      </c>
      <c r="C76" s="1320" t="s">
        <v>727</v>
      </c>
      <c r="D76" s="1321">
        <v>811523.49253325758</v>
      </c>
      <c r="E76" s="456"/>
      <c r="F76" s="332"/>
    </row>
    <row r="77" spans="1:6">
      <c r="A77" s="1306" t="s">
        <v>65</v>
      </c>
      <c r="B77" s="1306" t="s">
        <v>722</v>
      </c>
      <c r="C77" s="1320" t="s">
        <v>728</v>
      </c>
      <c r="D77" s="1321">
        <v>155637435</v>
      </c>
      <c r="E77" s="456"/>
      <c r="F77" s="332"/>
    </row>
    <row r="78" spans="1:6">
      <c r="A78" s="1301" t="s">
        <v>65</v>
      </c>
      <c r="B78" s="1301" t="s">
        <v>724</v>
      </c>
      <c r="C78" s="1301" t="s">
        <v>729</v>
      </c>
      <c r="D78" s="1322">
        <v>23396343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377947.01493348484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2999.6747606612125</v>
      </c>
      <c r="C91" s="332"/>
      <c r="D91" s="332"/>
      <c r="E91" s="332"/>
      <c r="F91" s="332"/>
    </row>
    <row r="92" spans="1:6">
      <c r="A92" s="1301" t="s">
        <v>68</v>
      </c>
      <c r="B92" s="1302">
        <v>1525.3258983816011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2245</v>
      </c>
      <c r="C97" s="332"/>
      <c r="D97" s="332"/>
      <c r="E97" s="332"/>
      <c r="F97" s="332"/>
    </row>
    <row r="98" spans="1:6">
      <c r="A98" s="1306" t="s">
        <v>71</v>
      </c>
      <c r="B98" s="1307">
        <v>1</v>
      </c>
      <c r="C98" s="332"/>
      <c r="D98" s="332"/>
      <c r="E98" s="332"/>
      <c r="F98" s="332"/>
    </row>
    <row r="99" spans="1:6">
      <c r="A99" s="1306" t="s">
        <v>72</v>
      </c>
      <c r="B99" s="1307">
        <v>93</v>
      </c>
      <c r="C99" s="332"/>
      <c r="D99" s="332"/>
      <c r="E99" s="332"/>
      <c r="F99" s="332"/>
    </row>
    <row r="100" spans="1:6">
      <c r="A100" s="1306" t="s">
        <v>73</v>
      </c>
      <c r="B100" s="1307">
        <v>500</v>
      </c>
      <c r="C100" s="332"/>
      <c r="D100" s="332"/>
      <c r="E100" s="332"/>
      <c r="F100" s="332"/>
    </row>
    <row r="101" spans="1:6">
      <c r="A101" s="1306" t="s">
        <v>74</v>
      </c>
      <c r="B101" s="1307">
        <v>118</v>
      </c>
      <c r="C101" s="332"/>
      <c r="D101" s="332"/>
      <c r="E101" s="332"/>
      <c r="F101" s="332"/>
    </row>
    <row r="102" spans="1:6">
      <c r="A102" s="1306" t="s">
        <v>75</v>
      </c>
      <c r="B102" s="1307">
        <v>82</v>
      </c>
      <c r="C102" s="332"/>
      <c r="D102" s="332"/>
      <c r="E102" s="332"/>
      <c r="F102" s="332"/>
    </row>
    <row r="103" spans="1:6">
      <c r="A103" s="1306" t="s">
        <v>76</v>
      </c>
      <c r="B103" s="1307">
        <v>110</v>
      </c>
      <c r="C103" s="332"/>
      <c r="D103" s="332"/>
      <c r="E103" s="332"/>
      <c r="F103" s="332"/>
    </row>
    <row r="104" spans="1:6">
      <c r="A104" s="1306" t="s">
        <v>77</v>
      </c>
      <c r="B104" s="1307">
        <v>1792</v>
      </c>
      <c r="C104" s="332"/>
      <c r="D104" s="332"/>
      <c r="E104" s="332"/>
      <c r="F104" s="332"/>
    </row>
    <row r="105" spans="1:6">
      <c r="A105" s="1301" t="s">
        <v>78</v>
      </c>
      <c r="B105" s="1310">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90</v>
      </c>
      <c r="C129" s="332"/>
      <c r="D129" s="332"/>
      <c r="E129" s="332"/>
      <c r="F129" s="332"/>
    </row>
    <row r="130" spans="1:6">
      <c r="A130" s="1306" t="s">
        <v>294</v>
      </c>
      <c r="B130" s="1307">
        <v>0</v>
      </c>
      <c r="C130" s="332"/>
      <c r="D130" s="332"/>
      <c r="E130" s="332"/>
      <c r="F130" s="332"/>
    </row>
    <row r="131" spans="1:6">
      <c r="A131" s="1306" t="s">
        <v>295</v>
      </c>
      <c r="B131" s="1307">
        <v>3</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64005.081475076455</v>
      </c>
      <c r="C3" s="43" t="s">
        <v>169</v>
      </c>
      <c r="D3" s="43"/>
      <c r="E3" s="156"/>
      <c r="F3" s="43"/>
      <c r="G3" s="43"/>
      <c r="H3" s="43"/>
      <c r="I3" s="43"/>
      <c r="J3" s="43"/>
      <c r="K3" s="96"/>
    </row>
    <row r="4" spans="1:11">
      <c r="A4" s="363" t="s">
        <v>170</v>
      </c>
      <c r="B4" s="49">
        <f>IF(ISERROR('SEAP template'!B78+'SEAP template'!C78),0,'SEAP template'!B78+'SEAP template'!C78)</f>
        <v>13589.763159042815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2144.705294117648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0.20758493444203857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3063.8647058823535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12949.660714285714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0.23659806797118485</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1057.3109999999999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0.20758493444203857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219.48183461984624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B46*B57</f>
        <v>3857.2956014547808</v>
      </c>
      <c r="F5" s="17">
        <f>B51*B62</f>
        <v>19531.302977159168</v>
      </c>
      <c r="G5" s="18"/>
      <c r="H5" s="17"/>
      <c r="I5" s="17"/>
      <c r="J5" s="17">
        <f>B50*B61+C50*C61</f>
        <v>109.80553774937198</v>
      </c>
      <c r="K5" s="17"/>
      <c r="L5" s="17"/>
      <c r="M5" s="17"/>
      <c r="N5" s="17">
        <f>B48*B59+C48*C59</f>
        <v>16752.737263996372</v>
      </c>
      <c r="O5" s="17">
        <f>B69*B70*B71</f>
        <v>161.02333333333334</v>
      </c>
      <c r="P5" s="17">
        <f>B77*B78*B79/1000-B77*B78*B79/1000/B80</f>
        <v>400.4</v>
      </c>
    </row>
    <row r="6" spans="1:16">
      <c r="A6" s="16" t="s">
        <v>633</v>
      </c>
      <c r="B6" s="779">
        <f>kWh_PV_kleiner_dan_10kW</f>
        <v>2999.6747606612125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28209.439245552363</v>
      </c>
      <c r="C8" s="21">
        <f>C5</f>
        <v>0</v>
      </c>
      <c r="D8" s="21">
        <f>D5</f>
        <v>60993.416637650662</v>
      </c>
      <c r="E8" s="21">
        <f>E5</f>
        <v>3857.2956014547808</v>
      </c>
      <c r="F8" s="21">
        <f>F5</f>
        <v>19531.302977159168</v>
      </c>
      <c r="G8" s="21"/>
      <c r="H8" s="21"/>
      <c r="I8" s="21"/>
      <c r="J8" s="21">
        <f>J5</f>
        <v>109.80553774937198</v>
      </c>
      <c r="K8" s="21"/>
      <c r="L8" s="21">
        <f>L5</f>
        <v>0</v>
      </c>
      <c r="M8" s="21">
        <f>M5</f>
        <v>0</v>
      </c>
      <c r="N8" s="21">
        <f>N5</f>
        <v>16752.737263996372</v>
      </c>
      <c r="O8" s="21">
        <f>O5</f>
        <v>161.02333333333334</v>
      </c>
      <c r="P8" s="21">
        <f>P5</f>
        <v>400.4</v>
      </c>
    </row>
    <row r="9" spans="1:16">
      <c r="B9" s="19"/>
      <c r="C9" s="19"/>
      <c r="D9" s="261"/>
      <c r="E9" s="19"/>
      <c r="F9" s="19"/>
      <c r="G9" s="19"/>
      <c r="H9" s="19"/>
      <c r="I9" s="19"/>
      <c r="J9" s="19"/>
      <c r="K9" s="19"/>
      <c r="L9" s="19"/>
      <c r="M9" s="19"/>
      <c r="N9" s="19"/>
      <c r="O9" s="19"/>
      <c r="P9" s="19"/>
    </row>
    <row r="10" spans="1:16">
      <c r="A10" s="24" t="s">
        <v>213</v>
      </c>
      <c r="B10" s="25">
        <f ca="1">'EF ele_warmte'!B12</f>
        <v>0.20758493444203857</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5855.8545964346577</v>
      </c>
      <c r="C12" s="23">
        <f ca="1">C10*C8</f>
        <v>0</v>
      </c>
      <c r="D12" s="23">
        <f>D8*D10</f>
        <v>12320.670160805434</v>
      </c>
      <c r="E12" s="23">
        <f>E10*E8</f>
        <v>875.60610153023526</v>
      </c>
      <c r="F12" s="23">
        <f>F10*F8</f>
        <v>5214.8578949014982</v>
      </c>
      <c r="G12" s="23"/>
      <c r="H12" s="23"/>
      <c r="I12" s="23"/>
      <c r="J12" s="23">
        <f>J10*J8</f>
        <v>38.871160363277681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2245</v>
      </c>
      <c r="C18" s="168" t="s">
        <v>110</v>
      </c>
      <c r="D18" s="230"/>
      <c r="E18" s="15"/>
    </row>
    <row r="19" spans="1:7">
      <c r="A19" s="173" t="s">
        <v>71</v>
      </c>
      <c r="B19" s="37">
        <f>aantalw2001_ander</f>
        <v>1</v>
      </c>
      <c r="C19" s="168" t="s">
        <v>110</v>
      </c>
      <c r="D19" s="231"/>
      <c r="E19" s="15"/>
    </row>
    <row r="20" spans="1:7">
      <c r="A20" s="173" t="s">
        <v>72</v>
      </c>
      <c r="B20" s="37">
        <f>aantalw2001_propaan</f>
        <v>93</v>
      </c>
      <c r="C20" s="169">
        <f>IF(ISERROR(B20/SUM($B$20,$B$21,$B$22)*100),0,B20/SUM($B$20,$B$21,$B$22)*100)</f>
        <v>13.080168776371309</v>
      </c>
      <c r="D20" s="231"/>
      <c r="E20" s="15"/>
    </row>
    <row r="21" spans="1:7">
      <c r="A21" s="173" t="s">
        <v>73</v>
      </c>
      <c r="B21" s="37">
        <f>aantalw2001_elektriciteit</f>
        <v>500</v>
      </c>
      <c r="C21" s="169">
        <f>IF(ISERROR(B21/SUM($B$20,$B$21,$B$22)*100),0,B21/SUM($B$20,$B$21,$B$22)*100)</f>
        <v>70.323488045007025</v>
      </c>
      <c r="D21" s="231"/>
      <c r="E21" s="15"/>
    </row>
    <row r="22" spans="1:7">
      <c r="A22" s="173" t="s">
        <v>74</v>
      </c>
      <c r="B22" s="37">
        <f>aantalw2001_hout</f>
        <v>118</v>
      </c>
      <c r="C22" s="169">
        <f>IF(ISERROR(B22/SUM($B$20,$B$21,$B$22)*100),0,B22/SUM($B$20,$B$21,$B$22)*100)</f>
        <v>16.596343178621659</v>
      </c>
      <c r="D22" s="231"/>
      <c r="E22" s="15"/>
    </row>
    <row r="23" spans="1:7">
      <c r="A23" s="173" t="s">
        <v>75</v>
      </c>
      <c r="B23" s="37">
        <f>aantalw2001_niet_gespec</f>
        <v>82</v>
      </c>
      <c r="C23" s="168" t="s">
        <v>110</v>
      </c>
      <c r="D23" s="230"/>
      <c r="E23" s="15"/>
    </row>
    <row r="24" spans="1:7">
      <c r="A24" s="173" t="s">
        <v>76</v>
      </c>
      <c r="B24" s="37">
        <f>aantalw2001_steenkool</f>
        <v>110</v>
      </c>
      <c r="C24" s="168" t="s">
        <v>110</v>
      </c>
      <c r="D24" s="231"/>
      <c r="E24" s="15"/>
    </row>
    <row r="25" spans="1:7">
      <c r="A25" s="173" t="s">
        <v>77</v>
      </c>
      <c r="B25" s="37">
        <f>aantalw2001_stookolie</f>
        <v>1792</v>
      </c>
      <c r="C25" s="168" t="s">
        <v>110</v>
      </c>
      <c r="D25" s="230"/>
      <c r="E25" s="52"/>
    </row>
    <row r="26" spans="1:7">
      <c r="A26" s="173" t="s">
        <v>78</v>
      </c>
      <c r="B26" s="37">
        <f>aantalw2001_WP</f>
        <v>13</v>
      </c>
      <c r="C26" s="168" t="s">
        <v>110</v>
      </c>
      <c r="D26" s="230"/>
      <c r="E26" s="15"/>
    </row>
    <row r="27" spans="1:7" s="15" customFormat="1">
      <c r="A27" s="173"/>
      <c r="B27" s="29"/>
      <c r="C27" s="36"/>
      <c r="D27" s="230"/>
    </row>
    <row r="28" spans="1:7" s="15" customFormat="1">
      <c r="A28" s="232" t="s">
        <v>742</v>
      </c>
      <c r="B28" s="37">
        <f>aantalHuishoudens</f>
        <v>5454</v>
      </c>
      <c r="C28" s="36"/>
      <c r="D28" s="230"/>
    </row>
    <row r="29" spans="1:7" s="15" customFormat="1">
      <c r="A29" s="232" t="s">
        <v>743</v>
      </c>
      <c r="B29" s="37">
        <f>SUM(HH_hh_gas_aantal,HH_rest_gas_aantal)</f>
        <v>3314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3314</v>
      </c>
      <c r="C32" s="169">
        <f>IF(ISERROR(B32/SUM($B$32,$B$34,$B$35,$B$36,$B$38,$B$39)*100),0,B32/SUM($B$32,$B$34,$B$35,$B$36,$B$38,$B$39)*100)</f>
        <v>60.99760721516656</v>
      </c>
      <c r="D32" s="235"/>
      <c r="G32" s="15"/>
    </row>
    <row r="33" spans="1:7">
      <c r="A33" s="173" t="s">
        <v>71</v>
      </c>
      <c r="B33" s="34" t="s">
        <v>110</v>
      </c>
      <c r="C33" s="169"/>
      <c r="D33" s="235"/>
      <c r="G33" s="15"/>
    </row>
    <row r="34" spans="1:7">
      <c r="A34" s="173" t="s">
        <v>72</v>
      </c>
      <c r="B34" s="33">
        <f>IF((($B$28-$B$32-$B$39-$B$77-$B$38)*C20/100)&lt;0,0,($B$28-$B$32-$B$39-$B$77-$B$38)*C20/100)</f>
        <v>168.21097046413502</v>
      </c>
      <c r="C34" s="169">
        <f>IF(ISERROR(B34/SUM($B$32,$B$34,$B$35,$B$36,$B$38,$B$39)*100),0,B34/SUM($B$32,$B$34,$B$35,$B$36,$B$38,$B$39)*100)</f>
        <v>3.0960973764795692</v>
      </c>
      <c r="D34" s="235"/>
      <c r="G34" s="15"/>
    </row>
    <row r="35" spans="1:7">
      <c r="A35" s="173" t="s">
        <v>73</v>
      </c>
      <c r="B35" s="33">
        <f>IF((($B$28-$B$32-$B$39-$B$77-$B$38)*C21/100)&lt;0,0,($B$28-$B$32-$B$39-$B$77-$B$38)*C21/100)</f>
        <v>904.36005625879034</v>
      </c>
      <c r="C35" s="169">
        <f>IF(ISERROR(B35/SUM($B$32,$B$34,$B$35,$B$36,$B$38,$B$39)*100),0,B35/SUM($B$32,$B$34,$B$35,$B$36,$B$38,$B$39)*100)</f>
        <v>16.645684819782627</v>
      </c>
      <c r="D35" s="235"/>
      <c r="G35" s="15"/>
    </row>
    <row r="36" spans="1:7">
      <c r="A36" s="173" t="s">
        <v>74</v>
      </c>
      <c r="B36" s="33">
        <f>IF((($B$28-$B$32-$B$39-$B$77-$B$38)*C22/100)&lt;0,0,($B$28-$B$32-$B$39-$B$77-$B$38)*C22/100)</f>
        <v>213.42897327707453</v>
      </c>
      <c r="C36" s="169">
        <f>IF(ISERROR(B36/SUM($B$32,$B$34,$B$35,$B$36,$B$38,$B$39)*100),0,B36/SUM($B$32,$B$34,$B$35,$B$36,$B$38,$B$39)*100)</f>
        <v>3.9283816174687005</v>
      </c>
      <c r="D36" s="235"/>
      <c r="G36" s="15"/>
    </row>
    <row r="37" spans="1:7">
      <c r="A37" s="173" t="s">
        <v>75</v>
      </c>
      <c r="B37" s="34" t="s">
        <v>110</v>
      </c>
      <c r="C37" s="169"/>
      <c r="D37" s="175"/>
      <c r="G37" s="15"/>
    </row>
    <row r="38" spans="1:7">
      <c r="A38" s="173" t="s">
        <v>76</v>
      </c>
      <c r="B38" s="33">
        <f>IF((B24-(B29-B18)*0.1)&lt;0,0,B24-(B29-B18)*0.1)</f>
        <v>3.0999999999999943</v>
      </c>
      <c r="C38" s="169">
        <f>IF(ISERROR(B38/SUM($B$32,$B$34,$B$35,$B$36,$B$38,$B$39)*100),0,B38/SUM($B$32,$B$34,$B$35,$B$36,$B$38,$B$39)*100)</f>
        <v>5.705871525860471E-2</v>
      </c>
      <c r="D38" s="236"/>
      <c r="G38" s="15"/>
    </row>
    <row r="39" spans="1:7">
      <c r="A39" s="173" t="s">
        <v>77</v>
      </c>
      <c r="B39" s="33">
        <f>IF((B25-(B29-B18))&lt;0,0,B25-(B29-B18)*0.9)</f>
        <v>829.9</v>
      </c>
      <c r="C39" s="169">
        <f>IF(ISERROR(B39/SUM($B$32,$B$34,$B$35,$B$36,$B$38,$B$39)*100),0,B39/SUM($B$32,$B$34,$B$35,$B$36,$B$38,$B$39)*100)</f>
        <v>15.275170255843914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3314</v>
      </c>
      <c r="C44" s="34" t="s">
        <v>110</v>
      </c>
      <c r="D44" s="176"/>
    </row>
    <row r="45" spans="1:7">
      <c r="A45" s="173" t="s">
        <v>71</v>
      </c>
      <c r="B45" s="33" t="str">
        <f t="shared" si="0"/>
        <v>-</v>
      </c>
      <c r="C45" s="34" t="s">
        <v>110</v>
      </c>
      <c r="D45" s="176"/>
    </row>
    <row r="46" spans="1:7">
      <c r="A46" s="173" t="s">
        <v>72</v>
      </c>
      <c r="B46" s="33">
        <f t="shared" si="0"/>
        <v>168.21097046413502</v>
      </c>
      <c r="C46" s="34" t="s">
        <v>110</v>
      </c>
      <c r="D46" s="176"/>
    </row>
    <row r="47" spans="1:7">
      <c r="A47" s="173" t="s">
        <v>73</v>
      </c>
      <c r="B47" s="33">
        <f t="shared" si="0"/>
        <v>904.36005625879034</v>
      </c>
      <c r="C47" s="34" t="s">
        <v>110</v>
      </c>
      <c r="D47" s="176"/>
    </row>
    <row r="48" spans="1:7">
      <c r="A48" s="173" t="s">
        <v>74</v>
      </c>
      <c r="B48" s="33">
        <f t="shared" si="0"/>
        <v>213.42897327707453</v>
      </c>
      <c r="C48" s="33">
        <f>B48*10</f>
        <v>2134.2897327707451</v>
      </c>
      <c r="D48" s="236"/>
    </row>
    <row r="49" spans="1:6">
      <c r="A49" s="173" t="s">
        <v>75</v>
      </c>
      <c r="B49" s="33" t="str">
        <f t="shared" si="0"/>
        <v>-</v>
      </c>
      <c r="C49" s="34" t="s">
        <v>110</v>
      </c>
      <c r="D49" s="236"/>
    </row>
    <row r="50" spans="1:6">
      <c r="A50" s="173" t="s">
        <v>76</v>
      </c>
      <c r="B50" s="33">
        <f t="shared" si="0"/>
        <v>3.0999999999999943</v>
      </c>
      <c r="C50" s="33">
        <f>B50*2</f>
        <v>6.1999999999999886</v>
      </c>
      <c r="D50" s="236"/>
    </row>
    <row r="51" spans="1:6">
      <c r="A51" s="173" t="s">
        <v>77</v>
      </c>
      <c r="B51" s="33">
        <f t="shared" si="0"/>
        <v>829.9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53</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52</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51</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50</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49</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54</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energieproductie'!N40+'lokale energieproductie'!N33</f>
        <v>24.75</v>
      </c>
      <c r="C13" s="249">
        <f ca="1">'lokale energieproductie'!O40+'lokale energieproductie'!O33</f>
        <v>35.357142857142861</v>
      </c>
      <c r="D13" s="310">
        <f ca="1">('lokale energieproductie'!P33+'lokale energieproductie'!P40)*(-1)</f>
        <v>-70.714285714285722</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0.20758493444203857</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3232.9906672354446</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5145.6809999999996</v>
      </c>
      <c r="C26" s="39">
        <f>IF(ISERROR(B26*3.6/1000000/'E Balans VL '!Z12*100),0,B26*3.6/1000000/'E Balans VL '!Z12*100)</f>
        <v>0.10929681327902287</v>
      </c>
      <c r="D26" s="239" t="s">
        <v>689</v>
      </c>
      <c r="F26" s="6"/>
    </row>
    <row r="27" spans="1:18">
      <c r="A27" s="233" t="s">
        <v>52</v>
      </c>
      <c r="B27" s="33">
        <f>IF(ISERROR(TER_horeca_ele_kWh/1000),0,TER_horeca_ele_kWh/1000)</f>
        <v>2295.0149999999999</v>
      </c>
      <c r="C27" s="39">
        <f>IF(ISERROR(B27*3.6/1000000/'E Balans VL '!Z9*100),0,B27*3.6/1000000/'E Balans VL '!Z9*100)</f>
        <v>0.17845139307103999</v>
      </c>
      <c r="D27" s="239" t="s">
        <v>689</v>
      </c>
      <c r="F27" s="6"/>
    </row>
    <row r="28" spans="1:18">
      <c r="A28" s="173" t="s">
        <v>51</v>
      </c>
      <c r="B28" s="33">
        <f>IF(ISERROR(TER_handel_ele_kWh/1000),0,TER_handel_ele_kWh/1000)</f>
        <v>5227.4709999999995</v>
      </c>
      <c r="C28" s="39">
        <f>IF(ISERROR(B28*3.6/1000000/'E Balans VL '!Z13*100),0,B28*3.6/1000000/'E Balans VL '!Z13*100)</f>
        <v>0.14956409742793939</v>
      </c>
      <c r="D28" s="239" t="s">
        <v>689</v>
      </c>
      <c r="F28" s="6"/>
    </row>
    <row r="29" spans="1:18">
      <c r="A29" s="233" t="s">
        <v>50</v>
      </c>
      <c r="B29" s="33">
        <f>IF(ISERROR(TER_gezond_ele_kWh/1000),0,TER_gezond_ele_kWh/1000)</f>
        <v>1305.298</v>
      </c>
      <c r="C29" s="39">
        <f>IF(ISERROR(B29*3.6/1000000/'E Balans VL '!Z10*100),0,B29*3.6/1000000/'E Balans VL '!Z10*100)</f>
        <v>0.14230781348780927</v>
      </c>
      <c r="D29" s="239" t="s">
        <v>689</v>
      </c>
      <c r="F29" s="6"/>
    </row>
    <row r="30" spans="1:18">
      <c r="A30" s="233" t="s">
        <v>49</v>
      </c>
      <c r="B30" s="33">
        <f>IF(ISERROR(TER_ander_ele_kWh/1000),0,TER_ander_ele_kWh/1000)</f>
        <v>1538.0129999999999</v>
      </c>
      <c r="C30" s="39">
        <f>IF(ISERROR(B30*3.6/1000000/'E Balans VL '!Z14*100),0,B30*3.6/1000000/'E Balans VL '!Z14*100)</f>
        <v>0.11254830244021542</v>
      </c>
      <c r="D30" s="239" t="s">
        <v>689</v>
      </c>
      <c r="F30" s="6"/>
    </row>
    <row r="31" spans="1:18">
      <c r="A31" s="233" t="s">
        <v>54</v>
      </c>
      <c r="B31" s="33">
        <f>IF(ISERROR(TER_onderwijs_ele_kWh/1000),0,TER_onderwijs_ele_kWh/1000)</f>
        <v>38.075000000000003</v>
      </c>
      <c r="C31" s="39">
        <f>IF(ISERROR(B31*3.6/1000000/'E Balans VL '!Z11*100),0,B31*3.6/1000000/'E Balans VL '!Z11*100)</f>
        <v>7.6473920237153555E-3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2814.4429594982016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32</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133.27772836424541</v>
      </c>
      <c r="O9" s="33"/>
      <c r="P9" s="33"/>
      <c r="R9" s="32"/>
    </row>
    <row r="10" spans="1:18">
      <c r="A10" s="6" t="s">
        <v>40</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39</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2482.6269893746639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8.0638419817341571</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2814.4429594982016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0.20758493444203857</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3326.6785226026291</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177.79599999999999</v>
      </c>
      <c r="C30" s="39">
        <f>IF(ISERROR(B30*3.6/1000000/'E Balans VL '!Z18*100),0,B30*3.6/1000000/'E Balans VL '!Z18*100)</f>
        <v>1.7494672535159975E-2</v>
      </c>
      <c r="D30" s="239" t="s">
        <v>689</v>
      </c>
    </row>
    <row r="31" spans="1:18">
      <c r="A31" s="6" t="s">
        <v>32</v>
      </c>
      <c r="B31" s="37">
        <f>IF( ISERROR(IND_ander_ele_kWh/1000),0,IND_ander_ele_kWh/1000)</f>
        <v>1576.442</v>
      </c>
      <c r="C31" s="39">
        <f>IF(ISERROR(B31*3.6/1000000/'E Balans VL '!Z19*100),0,B31*3.6/1000000/'E Balans VL '!Z19*100)</f>
        <v>6.8652791584603939E-2</v>
      </c>
      <c r="D31" s="239" t="s">
        <v>689</v>
      </c>
    </row>
    <row r="32" spans="1:18">
      <c r="A32" s="173" t="s">
        <v>40</v>
      </c>
      <c r="B32" s="37">
        <f>IF( ISERROR(IND_voed_ele_kWh/1000),0,IND_voed_ele_kWh/1000)</f>
        <v>631.827</v>
      </c>
      <c r="C32" s="39">
        <f>IF(ISERROR(B32*3.6/1000000/'E Balans VL '!Z20*100),0,B32*3.6/1000000/'E Balans VL '!Z20*100)</f>
        <v>0.11988006131339976</v>
      </c>
      <c r="D32" s="239" t="s">
        <v>689</v>
      </c>
    </row>
    <row r="33" spans="1:5">
      <c r="A33" s="173" t="s">
        <v>39</v>
      </c>
      <c r="B33" s="37">
        <f>IF( ISERROR(IND_textiel_ele_kWh/1000),0,IND_textiel_ele_kWh/1000)</f>
        <v>8.2579999999999991</v>
      </c>
      <c r="C33" s="39">
        <f>IF(ISERROR(B33*3.6/1000000/'E Balans VL '!Z21*100),0,B33*3.6/1000000/'E Balans VL '!Z21*100)</f>
        <v>4.7148992157319369E-4</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13457.55</v>
      </c>
      <c r="C35" s="39">
        <f>IF(ISERROR(B35*3.6/1000000/'E Balans VL '!Z22*100),0,B35*3.6/1000000/'E Balans VL '!Z22*100)</f>
        <v>1.892266666504945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173.75299999999999</v>
      </c>
      <c r="C37" s="39">
        <f>IF(ISERROR(B37*3.6/1000000/'E Balans VL '!Z15*100),0,B37*3.6/1000000/'E Balans VL '!Z15*100)</f>
        <v>1.3389802776744442E-3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2559.31</v>
      </c>
      <c r="C5" s="17">
        <f>'Eigen informatie GS &amp; warmtenet'!B60</f>
        <v>0</v>
      </c>
      <c r="D5" s="30">
        <f>IF(ISERROR(SUM(LB_lb_gas_kWh,LB_rest_gas_kWh)/1000),0,SUM(LB_lb_gas_kWh,LB_rest_gas_kWh)/1000)*0.902</f>
        <v>35539.094165659</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496</v>
      </c>
      <c r="B6" s="17" t="s">
        <v>210</v>
      </c>
      <c r="C6" s="17">
        <f>'lokale energieproductie'!O41+'lokale energieproductie'!O34</f>
        <v>12914.303571428571</v>
      </c>
      <c r="D6" s="310">
        <f>('lokale energieproductie'!P34+'lokale energieproductie'!P41)*(-1)</f>
        <v>-25714.285714285717</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2559.31</v>
      </c>
      <c r="C8" s="21">
        <f>C5+C6</f>
        <v>12914.303571428571</v>
      </c>
      <c r="D8" s="21">
        <f>MAX((D5+D6),0)</f>
        <v>9824.8084513732829</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0.20758493444203857</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531.27419856685367</v>
      </c>
      <c r="C12" s="23">
        <f ca="1">C8*C10</f>
        <v>3055.499274193372</v>
      </c>
      <c r="D12" s="23">
        <f>D8*D10</f>
        <v>1984.6113071774032</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0.35694308023109134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693.84856421114159</v>
      </c>
      <c r="C26" s="249">
        <f>B26*'GWP N2O_CH4'!B5</f>
        <v>14570.819848433974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214.06741479807644</v>
      </c>
      <c r="C27" s="249">
        <f>B27*'GWP N2O_CH4'!B5</f>
        <v>4495.4157107596056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9">
        <f>B28*'GWP N2O_CH4'!B4</f>
        <v>3083.4380826372344</v>
      </c>
      <c r="D28" s="50"/>
    </row>
    <row r="29" spans="1:4">
      <c r="A29" s="41" t="s">
        <v>276</v>
      </c>
      <c r="B29" s="249">
        <f>B34*'ha_N2O bodem landbouw'!B4</f>
        <v>19.948734297367256</v>
      </c>
      <c r="C29" s="249">
        <f>B29*'GWP N2O_CH4'!B4</f>
        <v>6184.1076321838491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4.9809996207360692E-3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3.8290426286689705E-5</v>
      </c>
      <c r="C5" s="444" t="s">
        <v>210</v>
      </c>
      <c r="D5" s="429">
        <f>SUM(D6:D11)</f>
        <v>6.0656907644452358E-5</v>
      </c>
      <c r="E5" s="429">
        <f>SUM(E6:E11)</f>
        <v>2.4719398085411314E-3</v>
      </c>
      <c r="F5" s="442" t="s">
        <v>210</v>
      </c>
      <c r="G5" s="429">
        <f>SUM(G6:G11)</f>
        <v>0.71672188143898619</v>
      </c>
      <c r="H5" s="429">
        <f>SUM(H6:H11)</f>
        <v>0.11414405032533807</v>
      </c>
      <c r="I5" s="444" t="s">
        <v>210</v>
      </c>
      <c r="J5" s="444" t="s">
        <v>210</v>
      </c>
      <c r="K5" s="444" t="s">
        <v>210</v>
      </c>
      <c r="L5" s="444" t="s">
        <v>210</v>
      </c>
      <c r="M5" s="429">
        <f>SUM(M6:M11)</f>
        <v>3.7563908125623553E-2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1.025258800207305E-5</v>
      </c>
      <c r="C6" s="883"/>
      <c r="D6" s="883">
        <f>vkm_GW_PW*SUMIFS(TableVerdeelsleutelVkm[CNG],TableVerdeelsleutelVkm[Voertuigtype],"Lichte voertuigen")*SUMIFS(TableECFTransport[EnergieConsumptieFactor (PJ per km)],TableECFTransport[Index],CONCATENATE($A6,"_CNG_CNG"))</f>
        <v>1.5194030039341991E-5</v>
      </c>
      <c r="E6" s="883">
        <f>vkm_GW_PW*SUMIFS(TableVerdeelsleutelVkm[LPG],TableVerdeelsleutelVkm[Voertuigtype],"Lichte voertuigen")*SUMIFS(TableECFTransport[EnergieConsumptieFactor (PJ per km)],TableECFTransport[Index],CONCATENATE($A6,"_LPG_LPG"))</f>
        <v>5.4419463644689889E-4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0.10952080767367246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2.7978655751028713E-2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6.2203997432909832E-3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3.1271558001508021E-2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7.2657417508640094E-7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1.4119596546282353E-3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3.8499988369858998E-6</v>
      </c>
      <c r="C8" s="883"/>
      <c r="D8" s="432">
        <f>vkm_NGW_PW*SUMIFS(TableVerdeelsleutelVkm[CNG],TableVerdeelsleutelVkm[Voertuigtype],"Lichte voertuigen")*SUMIFS(TableECFTransport[EnergieConsumptieFactor (PJ per km)],TableECFTransport[Index],CONCATENATE($A8,"_CNG_CNG"))</f>
        <v>9.6825187958519929E-6</v>
      </c>
      <c r="E8" s="432">
        <f>vkm_NGW_PW*SUMIFS(TableVerdeelsleutelVkm[LPG],TableVerdeelsleutelVkm[Voertuigtype],"Lichte voertuigen")*SUMIFS(TableECFTransport[EnergieConsumptieFactor (PJ per km)],TableECFTransport[Index],CONCATENATE($A8,"_LPG_LPG"))</f>
        <v>3.279142140397949E-4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6.2688693267743234E-2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1.7132689614892484E-2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3.6114644981134819E-3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9.9248198931809022E-3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2.6728253198657079E-7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4.4812278195831886E-4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2.4187839447630752E-5</v>
      </c>
      <c r="C10" s="883"/>
      <c r="D10" s="432">
        <f>vkm_SW_PW*SUMIFS(TableVerdeelsleutelVkm[CNG],TableVerdeelsleutelVkm[Voertuigtype],"Lichte voertuigen")*SUMIFS(TableECFTransport[EnergieConsumptieFactor (PJ per km)],TableECFTransport[Index],CONCATENATE($A10,"_CNG_CNG"))</f>
        <v>3.5780358809258373E-5</v>
      </c>
      <c r="E10" s="432">
        <f>vkm_SW_PW*SUMIFS(TableVerdeelsleutelVkm[LPG],TableVerdeelsleutelVkm[Voertuigtype],"Lichte voertuigen")*SUMIFS(TableECFTransport[EnergieConsumptieFactor (PJ per km)],TableECFTransport[Index],CONCATENATE($A10,"_LPG_LPG"))</f>
        <v>1.5998309580544377E-3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0.29187677426173003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6.9026470895203126E-2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1.6325135326248262E-2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0.2114392283411515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5.2402075066800456E-6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9.5468261213842737E-3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10.636229524080473</v>
      </c>
      <c r="C14" s="21"/>
      <c r="D14" s="21">
        <f t="shared" ref="D14:M14" si="0">((D5)*10^9/3600)+D12</f>
        <v>16.849141012347879</v>
      </c>
      <c r="E14" s="21">
        <f t="shared" si="0"/>
        <v>686.6499468169809</v>
      </c>
      <c r="F14" s="21"/>
      <c r="G14" s="21">
        <f t="shared" si="0"/>
        <v>199089.41151082949</v>
      </c>
      <c r="H14" s="21">
        <f t="shared" si="0"/>
        <v>31706.680645927241</v>
      </c>
      <c r="I14" s="21"/>
      <c r="J14" s="21"/>
      <c r="K14" s="21"/>
      <c r="L14" s="21"/>
      <c r="M14" s="21">
        <f t="shared" si="0"/>
        <v>10434.41892378432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0.20758493444203857</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2.20792100846672</v>
      </c>
      <c r="C18" s="23"/>
      <c r="D18" s="23">
        <f t="shared" ref="D18:M18" si="1">D14*D16</f>
        <v>3.4035264844942716</v>
      </c>
      <c r="E18" s="23">
        <f t="shared" si="1"/>
        <v>155.86953792745467</v>
      </c>
      <c r="F18" s="23"/>
      <c r="G18" s="23">
        <f t="shared" si="1"/>
        <v>53156.872873391476</v>
      </c>
      <c r="H18" s="23">
        <f t="shared" si="1"/>
        <v>7894.9634808358833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4.9228827174063738E-3</v>
      </c>
      <c r="H50" s="321">
        <f t="shared" si="2"/>
        <v>0</v>
      </c>
      <c r="I50" s="321">
        <f t="shared" si="2"/>
        <v>0</v>
      </c>
      <c r="J50" s="321">
        <f t="shared" si="2"/>
        <v>0</v>
      </c>
      <c r="K50" s="321">
        <f t="shared" si="2"/>
        <v>0</v>
      </c>
      <c r="L50" s="321">
        <f t="shared" si="2"/>
        <v>0</v>
      </c>
      <c r="M50" s="321">
        <f t="shared" si="2"/>
        <v>2.1912158241415273E-4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4.9228827174063738E-3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2.1912158241415273E-4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1367.4674215017703</v>
      </c>
      <c r="H54" s="21">
        <f t="shared" si="3"/>
        <v>0</v>
      </c>
      <c r="I54" s="21">
        <f t="shared" si="3"/>
        <v>0</v>
      </c>
      <c r="J54" s="21">
        <f t="shared" si="3"/>
        <v>0</v>
      </c>
      <c r="K54" s="21">
        <f t="shared" si="3"/>
        <v>0</v>
      </c>
      <c r="L54" s="21">
        <f t="shared" si="3"/>
        <v>0</v>
      </c>
      <c r="M54" s="21">
        <f t="shared" si="3"/>
        <v>60.867106226153538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0.20758493444203857</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365.1138015409727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4525.0006590428138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9064.7625000000007</v>
      </c>
      <c r="C8" s="556">
        <f>B50</f>
        <v>10617.352941176474</v>
      </c>
      <c r="D8" s="1015"/>
      <c r="E8" s="1015">
        <f>E50</f>
        <v>0</v>
      </c>
      <c r="F8" s="1016"/>
      <c r="G8" s="557"/>
      <c r="H8" s="1015">
        <f>I50</f>
        <v>0</v>
      </c>
      <c r="I8" s="1015">
        <f>G50+F50</f>
        <v>0</v>
      </c>
      <c r="J8" s="1015">
        <f>H50+D50+C50</f>
        <v>47.07352941176471</v>
      </c>
      <c r="K8" s="1015"/>
      <c r="L8" s="1015"/>
      <c r="M8" s="1015"/>
      <c r="N8" s="558"/>
      <c r="O8" s="559">
        <f>C8*$C$12+D8*$D$12+E8*$E$12+F8*$F$12+G8*$G$12+H8*$H$12+I8*$I$12+J8*$J$12</f>
        <v>2144.705294117648</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13589.763159042814</v>
      </c>
      <c r="C10" s="569">
        <f t="shared" ref="C10:L10" si="0">SUM(C8:C9)</f>
        <v>10617.352941176474</v>
      </c>
      <c r="D10" s="569">
        <f t="shared" si="0"/>
        <v>0</v>
      </c>
      <c r="E10" s="569">
        <f t="shared" si="0"/>
        <v>0</v>
      </c>
      <c r="F10" s="569">
        <f t="shared" si="0"/>
        <v>0</v>
      </c>
      <c r="G10" s="569">
        <f t="shared" si="0"/>
        <v>0</v>
      </c>
      <c r="H10" s="569">
        <f t="shared" si="0"/>
        <v>0</v>
      </c>
      <c r="I10" s="569">
        <f t="shared" si="0"/>
        <v>0</v>
      </c>
      <c r="J10" s="569">
        <f t="shared" si="0"/>
        <v>47.07352941176471</v>
      </c>
      <c r="K10" s="569">
        <f t="shared" si="0"/>
        <v>0</v>
      </c>
      <c r="L10" s="569">
        <f t="shared" si="0"/>
        <v>0</v>
      </c>
      <c r="M10" s="1018"/>
      <c r="N10" s="1018"/>
      <c r="O10" s="570">
        <f>SUM(O4:O9)</f>
        <v>2144.705294117648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12949.660714285714</v>
      </c>
      <c r="C17" s="581">
        <f>B51</f>
        <v>15167.647058823532</v>
      </c>
      <c r="D17" s="582"/>
      <c r="E17" s="582">
        <f>E51</f>
        <v>0</v>
      </c>
      <c r="F17" s="1021"/>
      <c r="G17" s="583"/>
      <c r="H17" s="581">
        <f>I51</f>
        <v>0</v>
      </c>
      <c r="I17" s="582">
        <f>G51+F51</f>
        <v>0</v>
      </c>
      <c r="J17" s="582">
        <f>H51+D51+C51</f>
        <v>67.247899159663874</v>
      </c>
      <c r="K17" s="582"/>
      <c r="L17" s="582"/>
      <c r="M17" s="582"/>
      <c r="N17" s="1022"/>
      <c r="O17" s="584">
        <f>C17*$C$22+E17*$E$22+H17*$H$22+I17*$I$22+J17*$J$22+D17*$D$22+F17*$F$22+G17*$G$22+K17*$K$22+L17*$L$22</f>
        <v>3063.8647058823535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12949.660714285714</v>
      </c>
      <c r="C20" s="568">
        <f>SUM(C17:C19)</f>
        <v>15167.647058823532</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3063.8647058823535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31012</v>
      </c>
      <c r="C28" s="787">
        <v>8490</v>
      </c>
      <c r="D28" s="640" t="s">
        <v>920</v>
      </c>
      <c r="E28" s="639" t="s">
        <v>921</v>
      </c>
      <c r="F28" s="639" t="s">
        <v>922</v>
      </c>
      <c r="G28" s="639" t="s">
        <v>923</v>
      </c>
      <c r="H28" s="639" t="s">
        <v>924</v>
      </c>
      <c r="I28" s="639" t="s">
        <v>921</v>
      </c>
      <c r="J28" s="786">
        <v>39995</v>
      </c>
      <c r="K28" s="786">
        <v>39995</v>
      </c>
      <c r="L28" s="639" t="s">
        <v>925</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63.75">
      <c r="A29" s="592"/>
      <c r="B29" s="787">
        <v>31012</v>
      </c>
      <c r="C29" s="787">
        <v>8490</v>
      </c>
      <c r="D29" s="640" t="s">
        <v>926</v>
      </c>
      <c r="E29" s="639" t="s">
        <v>927</v>
      </c>
      <c r="F29" s="639" t="s">
        <v>928</v>
      </c>
      <c r="G29" s="639" t="s">
        <v>923</v>
      </c>
      <c r="H29" s="639" t="s">
        <v>924</v>
      </c>
      <c r="I29" s="639" t="s">
        <v>927</v>
      </c>
      <c r="J29" s="786">
        <v>40477</v>
      </c>
      <c r="K29" s="786">
        <v>40513</v>
      </c>
      <c r="L29" s="639" t="s">
        <v>925</v>
      </c>
      <c r="M29" s="639">
        <v>5.5</v>
      </c>
      <c r="N29" s="639">
        <v>24.75</v>
      </c>
      <c r="O29" s="639">
        <v>35.357142857142861</v>
      </c>
      <c r="P29" s="639">
        <v>70.714285714285722</v>
      </c>
      <c r="Q29" s="639">
        <v>0</v>
      </c>
      <c r="R29" s="639">
        <v>0</v>
      </c>
      <c r="S29" s="639">
        <v>0</v>
      </c>
      <c r="T29" s="639">
        <v>0</v>
      </c>
      <c r="U29" s="639">
        <v>0</v>
      </c>
      <c r="V29" s="639">
        <v>0</v>
      </c>
      <c r="W29" s="639">
        <v>0</v>
      </c>
      <c r="X29" s="639">
        <v>1600</v>
      </c>
      <c r="Y29" s="639" t="s">
        <v>49</v>
      </c>
      <c r="Z29" s="641" t="s">
        <v>155</v>
      </c>
    </row>
    <row r="30" spans="1:26" s="593" customFormat="1" ht="25.5">
      <c r="A30" s="592"/>
      <c r="B30" s="787">
        <v>31012</v>
      </c>
      <c r="C30" s="787">
        <v>8490</v>
      </c>
      <c r="D30" s="640" t="s">
        <v>929</v>
      </c>
      <c r="E30" s="639" t="s">
        <v>930</v>
      </c>
      <c r="F30" s="639" t="s">
        <v>931</v>
      </c>
      <c r="G30" s="639" t="s">
        <v>923</v>
      </c>
      <c r="H30" s="639" t="s">
        <v>924</v>
      </c>
      <c r="I30" s="639" t="s">
        <v>932</v>
      </c>
      <c r="J30" s="786">
        <v>41257</v>
      </c>
      <c r="K30" s="786">
        <v>41275</v>
      </c>
      <c r="L30" s="639" t="s">
        <v>925</v>
      </c>
      <c r="M30" s="639">
        <v>9.6999999999999993</v>
      </c>
      <c r="N30" s="639">
        <v>40.012499999999996</v>
      </c>
      <c r="O30" s="639">
        <v>57.160714285714278</v>
      </c>
      <c r="P30" s="639">
        <v>0</v>
      </c>
      <c r="Q30" s="639">
        <v>114.32142857142857</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2015.2</v>
      </c>
      <c r="N31" s="597">
        <f>SUM(N28:N30)</f>
        <v>9064.7625000000007</v>
      </c>
      <c r="O31" s="597">
        <f>SUM(O28:O30)</f>
        <v>12949.660714285714</v>
      </c>
      <c r="P31" s="597">
        <f>SUM(P28:P30)</f>
        <v>25785.000000000004</v>
      </c>
      <c r="Q31" s="597">
        <f>SUM(Q28:Q30)</f>
        <v>114.32142857142857</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5.5</v>
      </c>
      <c r="N33" s="597">
        <f ca="1">SUMIF($Z$28:AD30,"tertiair",N28:N30)</f>
        <v>24.75</v>
      </c>
      <c r="O33" s="597">
        <f ca="1">SUMIF($Z$28:AE30,"tertiair",O28:O30)</f>
        <v>35.357142857142861</v>
      </c>
      <c r="P33" s="597">
        <f ca="1">SUMIF($Z$28:AF30,"tertiair",P28:P30)</f>
        <v>70.714285714285722</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2009.7</v>
      </c>
      <c r="N34" s="602">
        <f>SUMIF($Z$28:$Z$30,"landbouw",N28:N30)</f>
        <v>9040.0125000000007</v>
      </c>
      <c r="O34" s="602">
        <f>SUMIF($Z$28:$Z$30,"landbouw",O28:O30)</f>
        <v>12914.303571428571</v>
      </c>
      <c r="P34" s="602">
        <f>SUMIF($Z$28:$Z$30,"landbouw",P28:P30)</f>
        <v>25714.285714285717</v>
      </c>
      <c r="Q34" s="602">
        <f>SUMIF($Z$28:$Z$30,"landbouw",Q28:Q30)</f>
        <v>114.32142857142857</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10617.352941176474</v>
      </c>
      <c r="C50" s="631">
        <f t="shared" si="2"/>
        <v>47.07352941176471</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15167.647058823532</v>
      </c>
      <c r="C51" s="634">
        <f t="shared" si="3"/>
        <v>67.247899159663874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2020-06-20T16:18:10Z</dcterms:modified>
</cp:coreProperties>
</file>