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V37" i="18"/>
  <c r="J9" i="18" s="1"/>
  <c r="U37" i="18"/>
  <c r="T37" i="18"/>
  <c r="I9" i="18" s="1"/>
  <c r="S37" i="18"/>
  <c r="E9" i="18" s="1"/>
  <c r="R37" i="18"/>
  <c r="Q37" i="18"/>
  <c r="P37" i="18"/>
  <c r="C9" i="18" s="1"/>
  <c r="O37" i="18"/>
  <c r="N37" i="18"/>
  <c r="B9" i="18" s="1"/>
  <c r="M37" i="18"/>
  <c r="W33" i="18"/>
  <c r="V33" i="18"/>
  <c r="U33" i="18"/>
  <c r="T33" i="18"/>
  <c r="S33" i="18"/>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46" i="18" s="1"/>
  <c r="N30" i="18"/>
  <c r="B8" i="18" s="1"/>
  <c r="M30" i="18"/>
  <c r="G22" i="18"/>
  <c r="F22" i="18"/>
  <c r="E22" i="18"/>
  <c r="D22" i="18"/>
  <c r="C22" i="18"/>
  <c r="L20" i="18"/>
  <c r="D20" i="18"/>
  <c r="B17" i="18"/>
  <c r="G12" i="18"/>
  <c r="F12" i="18"/>
  <c r="E12" i="18"/>
  <c r="D12" i="18"/>
  <c r="C12" i="18"/>
  <c r="L10" i="18"/>
  <c r="K10" i="18"/>
  <c r="G10" i="18"/>
  <c r="D10" i="18"/>
  <c r="B6" i="18"/>
  <c r="B5" i="18"/>
  <c r="B4" i="18"/>
  <c r="I50" i="18" l="1"/>
  <c r="H17" i="18" s="1"/>
  <c r="G50" i="18"/>
  <c r="F50" i="18"/>
  <c r="C50" i="18"/>
  <c r="B50" i="18"/>
  <c r="C17" i="18" s="1"/>
  <c r="C20" i="18" s="1"/>
  <c r="B20" i="18"/>
  <c r="C46" i="18"/>
  <c r="E49" i="18" s="1"/>
  <c r="E8" i="18" s="1"/>
  <c r="E10" i="18" s="1"/>
  <c r="F20" i="18"/>
  <c r="O18" i="18"/>
  <c r="H20" i="18"/>
  <c r="G20" i="18"/>
  <c r="K20" i="18"/>
  <c r="B10" i="18"/>
  <c r="O19" i="18"/>
  <c r="O9" i="18"/>
  <c r="D50" i="18"/>
  <c r="H50" i="18"/>
  <c r="E50" i="18"/>
  <c r="E17" i="18" s="1"/>
  <c r="E20" i="18" s="1"/>
  <c r="N6" i="17"/>
  <c r="I49" i="18" l="1"/>
  <c r="H8" i="18" s="1"/>
  <c r="H10" i="18" s="1"/>
  <c r="G49" i="18"/>
  <c r="F49" i="18"/>
  <c r="D49" i="18"/>
  <c r="C49" i="18"/>
  <c r="B49" i="18"/>
  <c r="C8" i="18" s="1"/>
  <c r="C10" i="18" s="1"/>
  <c r="H49" i="18"/>
  <c r="J8" i="18" s="1"/>
  <c r="J10" i="18" s="1"/>
  <c r="I17" i="18"/>
  <c r="I2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B7" i="48"/>
  <c r="C24" i="14"/>
  <c r="C26" i="14" s="1"/>
  <c r="O4" i="48"/>
  <c r="O22" i="48" s="1"/>
  <c r="P11" i="14"/>
  <c r="D4" i="48"/>
  <c r="D22" i="48" s="1"/>
  <c r="E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P16" i="14" s="1"/>
  <c r="P27" i="14" s="1"/>
  <c r="O8" i="48"/>
  <c r="O26" i="48" s="1"/>
  <c r="O23"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O15" i="48" l="1"/>
  <c r="O33" i="48"/>
  <c r="N52" i="14"/>
  <c r="N61" i="14" s="1"/>
  <c r="J5" i="48"/>
  <c r="J23" i="48" s="1"/>
  <c r="K10" i="14"/>
  <c r="E20" i="15"/>
  <c r="F40" i="14" s="1"/>
  <c r="F46" i="14" s="1"/>
  <c r="F61" i="14" s="1"/>
  <c r="F10" i="14"/>
  <c r="E5" i="48"/>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Q5" i="48"/>
  <c r="B15" i="48"/>
  <c r="F18" i="16"/>
  <c r="E18" i="16"/>
  <c r="E22" i="16" s="1"/>
  <c r="F43" i="14" s="1"/>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63" i="14" l="1"/>
  <c r="E23" i="48"/>
  <c r="E33" i="48" s="1"/>
  <c r="F13" i="14"/>
  <c r="F16" i="14" s="1"/>
  <c r="F27" i="14" s="1"/>
  <c r="F63" i="14" s="1"/>
  <c r="E8" i="48"/>
  <c r="E26" i="48" s="1"/>
  <c r="J22" i="16"/>
  <c r="K43" i="14" s="1"/>
  <c r="K46" i="14" s="1"/>
  <c r="K61" i="14" s="1"/>
  <c r="K13" i="14"/>
  <c r="K16" i="14" s="1"/>
  <c r="K27" i="14" s="1"/>
  <c r="J8" i="48"/>
  <c r="J26" i="48" s="1"/>
  <c r="J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E15" i="48" l="1"/>
  <c r="K63" i="14"/>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<sst xmlns="http://schemas.openxmlformats.org/spreadsheetml/2006/main" count="2465" uniqueCount="929">
  <si>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</si>
  <si>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</si>
  <si>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</si>
  <si>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</si>
  <si>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</si>
  <si>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</si>
  <si>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</si>
  <si>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</si>
  <si>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</si>
  <si>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</si>
  <si>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</si>
  <si>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</si>
  <si>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</si>
  <si>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</si>
  <si>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</si>
  <si>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</si>
  <si>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</si>
  <si>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</si>
  <si>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</si>
  <si>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</si>
  <si>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</si>
  <si>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</si>
  <si>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</si>
  <si>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</si>
  <si>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</si>
  <si>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</si>
  <si>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</si>
  <si>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</si>
  <si>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</si>
  <si>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</si>
  <si>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</si>
  <si>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</si>
  <si>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</si>
  <si>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</si>
  <si>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</si>
  <si>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</si>
  <si>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</si>
  <si>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</si>
  <si>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</si>
  <si>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</si>
  <si>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</si>
  <si>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</si>
  <si>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</si>
  <si>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</si>
  <si>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</si>
  <si>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</si>
  <si>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</si>
  <si>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</si>
  <si>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</si>
  <si>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</si>
  <si>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</si>
  <si>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</si>
  <si>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</si>
  <si>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</si>
  <si>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</si>
  <si>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</si>
  <si>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</si>
  <si>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</si>
  <si>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</si>
  <si>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</si>
  <si>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</si>
  <si>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</si>
  <si>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</si>
  <si>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</si>
  <si>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</si>
  <si>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</si>
  <si>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</si>
  <si>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</si>
  <si>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</si>
  <si>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</si>
  <si>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</si>
  <si>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</si>
  <si>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</si>
  <si>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</si>
  <si>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</si>
  <si>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</si>
  <si>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</si>
  <si>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</si>
  <si>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</si>
  <si>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</si>
  <si>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</si>
  <si>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</si>
  <si>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</si>
  <si>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</si>
  <si>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</si>
  <si>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</si>
  <si>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</si>
  <si>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</si>
  <si>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</si>
  <si>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</si>
  <si>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</si>
  <si>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</si>
  <si>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</si>
  <si>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</si>
  <si>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</si>
  <si>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</si>
  <si>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</si>
  <si>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</si>
  <si>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</si>
  <si>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</si>
  <si>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</si>
  <si>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</si>
  <si>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</si>
  <si>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</si>
  <si>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</si>
  <si>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</si>
  <si>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</si>
  <si>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</si>
  <si>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</si>
  <si>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</si>
  <si>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</si>
  <si>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</si>
  <si>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</si>
  <si>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</si>
  <si>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</si>
  <si>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</si>
  <si>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</si>
  <si>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</si>
  <si>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</si>
  <si>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</si>
  <si>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</si>
  <si>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</si>
  <si>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</si>
  <si>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</si>
  <si>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</si>
  <si>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</si>
  <si>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</si>
  <si>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</si>
  <si>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</si>
  <si>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</si>
  <si>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</si>
  <si>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</si>
  <si>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</si>
  <si>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</si>
  <si>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</si>
  <si>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</si>
  <si>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</si>
  <si>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</si>
  <si>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</si>
  <si>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</si>
  <si>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</si>
  <si>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</si>
  <si>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</si>
  <si>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</si>
  <si>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</si>
  <si>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</si>
  <si>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</si>
  <si>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</si>
  <si>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</si>
  <si>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</si>
  <si>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</si>
  <si>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</si>
  <si>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</si>
  <si>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</si>
  <si>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</si>
  <si>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</si>
  <si>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</si>
  <si>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</si>
  <si>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</si>
  <si>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</si>
  <si>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</si>
  <si>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</si>
  <si>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</si>
  <si>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</si>
  <si>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</si>
  <si>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</si>
  <si>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</si>
  <si>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</si>
  <si>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</si>
  <si>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</si>
  <si>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</si>
  <si>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</si>
  <si>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</si>
  <si>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</si>
  <si>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</si>
  <si>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</si>
  <si>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</si>
  <si>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</si>
  <si>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</si>
  <si>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</si>
  <si>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</si>
  <si>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</si>
  <si>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</si>
  <si>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</si>
  <si>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</si>
  <si>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</si>
  <si>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</si>
  <si>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</si>
  <si>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</si>
  <si>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</si>
  <si>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</si>
  <si>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</si>
  <si>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</si>
  <si>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</si>
  <si>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</si>
  <si>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</si>
  <si>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</si>
  <si>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</si>
  <si>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</si>
  <si>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</si>
  <si>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</si>
  <si>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</si>
  <si>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</si>
  <si>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</si>
  <si>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</si>
  <si>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</si>
  <si>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</si>
  <si>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</si>
  <si>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</si>
  <si>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</si>
  <si>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</si>
  <si>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</si>
  <si>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</si>
  <si>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</si>
  <si>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</si>
  <si>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</si>
  <si>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</si>
  <si>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</si>
  <si>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</si>
  <si>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</si>
  <si>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</si>
  <si>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</si>
  <si>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</si>
  <si>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</si>
  <si>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</si>
  <si>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</si>
  <si>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</si>
  <si>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</si>
  <si>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</si>
  <si>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</si>
  <si>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</si>
  <si>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</si>
  <si>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</si>
  <si>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</si>
  <si>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</si>
  <si>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</si>
  <si>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</si>
  <si>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</si>
  <si>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</si>
  <si>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</si>
  <si>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</si>
  <si>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</si>
  <si>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</si>
  <si>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</si>
  <si>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</si>
  <si>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</si>
  <si>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</si>
  <si>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</si>
  <si>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</si>
  <si>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</si>
  <si>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</si>
  <si>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</si>
  <si>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</si>
  <si>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</si>
  <si>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</si>
  <si>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</si>
  <si>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</si>
  <si>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</si>
  <si>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</si>
  <si>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</si>
  <si>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</si>
  <si>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</si>
  <si>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</si>
  <si>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</si>
  <si>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</si>
  <si>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</si>
  <si>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</si>
  <si>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</si>
  <si>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</si>
  <si>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</si>
  <si>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</si>
  <si>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</si>
  <si>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</si>
  <si>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</si>
  <si>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</si>
  <si>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</si>
  <si>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</si>
  <si>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</si>
  <si>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</si>
  <si>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</si>
  <si>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</si>
  <si>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</si>
  <si>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</si>
  <si>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</si>
  <si>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</si>
  <si>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</si>
  <si>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</si>
  <si>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</si>
  <si>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</si>
  <si>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</si>
  <si>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</si>
  <si>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</si>
  <si>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</si>
  <si>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</si>
  <si>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</si>
  <si>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</si>
  <si>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</si>
  <si>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</si>
  <si>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</si>
  <si>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</si>
  <si>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</si>
  <si>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</si>
  <si>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</si>
  <si>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</si>
  <si>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</si>
  <si>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</si>
  <si>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</si>
  <si>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</si>
  <si>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</si>
  <si>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</si>
  <si>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</si>
  <si>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</si>
  <si>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</si>
  <si>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</si>
  <si>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</si>
  <si>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</si>
  <si>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</si>
  <si>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</si>
  <si>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</si>
  <si>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</si>
  <si>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</si>
  <si>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</si>
  <si>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</si>
  <si>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</si>
  <si>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</si>
  <si>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</si>
  <si>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</si>
  <si>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</si>
  <si>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</si>
  <si>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</si>
  <si>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</si>
  <si>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</si>
  <si>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</si>
  <si>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</si>
  <si>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</si>
  <si>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</si>
  <si>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</si>
  <si>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</si>
  <si>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</si>
  <si>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</si>
  <si>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</si>
  <si>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</si>
  <si>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</si>
  <si>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</si>
  <si>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</si>
  <si>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</si>
  <si>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</si>
  <si>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</si>
  <si>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</si>
  <si>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</si>
  <si>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</si>
  <si>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</si>
  <si>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</si>
  <si>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</si>
  <si>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</si>
  <si>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</si>
  <si>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</si>
  <si>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</si>
  <si>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</si>
  <si>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</si>
  <si>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</si>
  <si>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</si>
  <si>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</si>
  <si>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</si>
  <si>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</si>
  <si>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</si>
  <si>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</si>
  <si>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</si>
  <si>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</si>
  <si>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</si>
  <si>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</si>
  <si>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</si>
  <si>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</si>
  <si>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</si>
  <si>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</si>
  <si>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</si>
  <si>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</si>
  <si>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</si>
  <si>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</si>
  <si>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</si>
  <si>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</si>
  <si>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</si>
  <si>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</si>
  <si>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</si>
  <si>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</si>
  <si>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</si>
  <si>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</si>
  <si>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</si>
  <si>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</si>
  <si>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</si>
  <si>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</si>
  <si>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</si>
  <si>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</si>
  <si>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</si>
  <si>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</si>
  <si>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</si>
  <si>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</si>
  <si>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</si>
  <si>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</si>
  <si>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</si>
  <si>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</si>
  <si>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</si>
  <si>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</si>
  <si>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</si>
  <si>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</si>
  <si>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</si>
  <si>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</si>
  <si>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</si>
  <si>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</si>
  <si>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</si>
  <si>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</si>
  <si>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</si>
  <si>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</si>
  <si>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</si>
  <si>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</si>
  <si>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</si>
  <si>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</si>
  <si>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</si>
  <si>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</si>
  <si>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</si>
  <si>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</si>
  <si>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</si>
  <si>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</si>
  <si>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</si>
  <si>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</si>
  <si>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</si>
  <si>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</si>
  <si>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</si>
  <si>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</si>
  <si>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</si>
  <si>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</si>
  <si>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</si>
  <si>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</si>
  <si>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</si>
  <si>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</si>
  <si>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</si>
  <si>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</si>
  <si>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</si>
  <si>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</si>
  <si>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</si>
  <si>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</si>
  <si>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</si>
  <si>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</si>
  <si>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</si>
  <si>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</si>
  <si>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</si>
  <si>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</si>
  <si>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</si>
  <si>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</si>
  <si>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</si>
  <si>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</si>
  <si>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</si>
  <si>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</si>
  <si>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</si>
  <si>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</si>
  <si>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</si>
  <si>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</si>
  <si>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</si>
  <si>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</si>
  <si>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</si>
  <si>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</si>
  <si>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</si>
  <si>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</si>
  <si>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</si>
  <si>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</si>
  <si>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</si>
  <si>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</si>
  <si>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</si>
  <si>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</si>
  <si>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</si>
  <si>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</si>
  <si>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</si>
  <si>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</si>
  <si>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</si>
  <si>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</si>
  <si>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</si>
  <si>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</si>
  <si>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</si>
  <si>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</si>
  <si>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</si>
  <si>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</si>
  <si>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</si>
  <si>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</si>
  <si>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</si>
  <si>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</si>
  <si>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</si>
  <si>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</si>
  <si>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</si>
  <si>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</si>
  <si>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</si>
  <si>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</si>
  <si>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</si>
  <si>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</si>
  <si>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</si>
  <si>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</si>
  <si>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</si>
  <si>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</si>
  <si>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</si>
  <si>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</si>
  <si>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</si>
  <si>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</si>
  <si>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</si>
  <si>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</si>
  <si>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</si>
  <si>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</si>
  <si>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</si>
  <si>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</si>
  <si>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</si>
  <si>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</si>
  <si>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</si>
  <si>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</si>
  <si>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</si>
  <si>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</si>
  <si>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</si>
  <si>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</si>
  <si>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</si>
  <si>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</si>
  <si>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</si>
  <si>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</si>
  <si>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</si>
  <si>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</si>
  <si>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</si>
  <si>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</si>
  <si>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</si>
  <si>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</si>
  <si>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</si>
  <si>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</si>
  <si>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</si>
  <si>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</si>
  <si>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</si>
  <si>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</si>
  <si>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</si>
  <si>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</si>
  <si>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</si>
  <si>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</si>
  <si>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</si>
  <si>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</si>
  <si>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</si>
  <si>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</si>
  <si>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</si>
  <si>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</si>
  <si>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</si>
  <si>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</si>
  <si>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</si>
  <si>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</si>
  <si>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</si>
  <si>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</si>
  <si>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</si>
  <si>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</si>
  <si>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</si>
  <si>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</si>
  <si>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</si>
  <si>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</si>
  <si>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</si>
  <si>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</si>
  <si>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</si>
  <si>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</si>
  <si>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</si>
  <si>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</si>
  <si>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</si>
  <si>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</si>
  <si>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</si>
  <si>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</si>
  <si>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</si>
  <si>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</si>
  <si>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</si>
  <si>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</si>
  <si>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</si>
  <si>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</si>
  <si>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</si>
  <si>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</si>
  <si>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</si>
  <si>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</si>
  <si>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</si>
  <si>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</si>
  <si>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</si>
  <si>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</si>
  <si>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</si>
  <si>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</si>
  <si>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</si>
  <si>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</si>
  <si>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</si>
  <si>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</si>
  <si>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</si>
  <si>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</si>
  <si>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</si>
  <si>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</si>
  <si>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</si>
  <si>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</si>
  <si>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</si>
  <si>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</si>
  <si>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</si>
  <si>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</si>
  <si>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</si>
  <si>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</si>
  <si>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</si>
  <si>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</si>
  <si>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</si>
  <si>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</si>
  <si>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</si>
  <si>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</si>
  <si>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</si>
  <si>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</si>
  <si>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</si>
  <si>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</si>
  <si>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</si>
  <si>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</si>
  <si>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</si>
  <si>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</si>
  <si>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</si>
  <si>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</si>
  <si>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</si>
  <si>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</si>
  <si>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</si>
  <si>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</si>
  <si>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</si>
  <si>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</si>
  <si>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</si>
  <si>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</si>
  <si>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</si>
  <si>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</si>
  <si>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</si>
  <si>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</si>
  <si>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</si>
  <si>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</si>
  <si>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</si>
  <si>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</si>
  <si>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</si>
  <si>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</si>
  <si>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</si>
  <si>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</si>
  <si>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</si>
  <si>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</si>
  <si>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</si>
  <si>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</si>
  <si>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</si>
  <si>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</si>
  <si>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</si>
  <si>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</si>
  <si>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</si>
  <si>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</si>
  <si>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</si>
  <si>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</si>
  <si>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</si>
  <si>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</si>
  <si>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</si>
  <si>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</si>
  <si>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</si>
  <si>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</si>
  <si>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</si>
  <si>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</si>
  <si>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</si>
  <si>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</si>
  <si>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</si>
  <si>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</si>
  <si>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</si>
  <si>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</si>
  <si>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</si>
  <si>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</si>
  <si>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</si>
  <si>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</si>
  <si>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</si>
  <si>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</si>
  <si>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</si>
  <si>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</si>
  <si>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</si>
  <si>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</si>
  <si>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</si>
  <si>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</si>
  <si>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</si>
  <si>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</si>
  <si>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</si>
  <si>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</si>
  <si>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</si>
  <si>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</si>
  <si>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</si>
  <si>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</si>
  <si>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</si>
  <si>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</si>
  <si>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</si>
  <si>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</si>
  <si>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</si>
  <si>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</si>
  <si>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</si>
  <si>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</si>
  <si>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</si>
  <si>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</si>
  <si>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</si>
  <si>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</si>
  <si>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</si>
  <si>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</si>
  <si>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</si>
  <si>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</si>
  <si>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</si>
  <si>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</si>
  <si>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</si>
  <si>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</si>
  <si>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</si>
  <si>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</si>
  <si>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</si>
  <si>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</si>
  <si>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</si>
  <si>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</si>
  <si>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</si>
  <si>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</si>
  <si>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</si>
  <si>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</si>
  <si>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</si>
  <si>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</si>
  <si>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</si>
  <si>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</si>
  <si>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</si>
  <si>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</si>
  <si>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</si>
  <si>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</si>
  <si>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</si>
  <si>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</si>
  <si>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</si>
  <si>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</si>
  <si>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</si>
  <si>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</si>
  <si>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</si>
  <si>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</si>
  <si>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</si>
  <si>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</si>
  <si>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</si>
  <si>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</si>
  <si>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</si>
  <si>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</si>
  <si>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</si>
  <si>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</si>
  <si>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</si>
  <si>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</si>
  <si>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</si>
  <si>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</si>
  <si>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</si>
  <si>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</si>
  <si>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</si>
  <si>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</si>
  <si>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</si>
  <si>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</si>
  <si>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</si>
  <si>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</si>
  <si>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</si>
  <si>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</si>
  <si>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</si>
  <si>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</si>
  <si>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</si>
  <si>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</si>
  <si>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</si>
  <si>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</si>
  <si>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</si>
  <si>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</si>
  <si>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</si>
  <si>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</si>
  <si>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</si>
  <si>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</si>
  <si>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</si>
  <si>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</si>
  <si>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</si>
  <si>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</si>
  <si>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</si>
  <si>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</si>
  <si>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</si>
  <si>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</si>
  <si>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</si>
  <si>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</si>
  <si>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</si>
  <si>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</si>
  <si>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</si>
  <si>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</si>
  <si>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</si>
  <si>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</si>
  <si>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</si>
  <si>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</si>
  <si>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</si>
  <si>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</si>
  <si>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</si>
  <si>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</si>
  <si>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</si>
  <si>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</si>
  <si>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</si>
  <si>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</si>
  <si>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</si>
  <si>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</si>
  <si>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</si>
  <si>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</si>
  <si>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</si>
  <si>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</si>
  <si>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</si>
  <si>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</si>
  <si>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</si>
  <si>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</si>
  <si>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</si>
  <si>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</si>
  <si>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</si>
  <si>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</si>
  <si>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</si>
  <si>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</si>
  <si>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</si>
  <si>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</si>
  <si>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</si>
  <si>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</si>
  <si>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</si>
  <si>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</si>
  <si>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</si>
  <si>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</si>
  <si>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</si>
  <si>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</si>
  <si>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</si>
  <si>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</si>
  <si>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</si>
  <si>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</si>
  <si>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</si>
  <si>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</si>
  <si>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</si>
  <si>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</si>
  <si>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</si>
  <si>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</si>
  <si>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</si>
  <si>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</si>
  <si>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</si>
  <si>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</si>
  <si>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</si>
  <si>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</si>
  <si>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</si>
  <si>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</si>
  <si>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</si>
  <si>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</si>
  <si>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</si>
  <si>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</si>
  <si>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</si>
  <si>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</si>
  <si>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</si>
  <si>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</si>
  <si>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</si>
  <si>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</si>
  <si>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</si>
  <si>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</si>
  <si>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</si>
  <si>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</si>
  <si>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</si>
  <si>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</si>
  <si>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</si>
  <si>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</si>
  <si>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</si>
  <si>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</si>
  <si>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</si>
  <si>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</si>
  <si>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</si>
  <si>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</si>
  <si>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</si>
  <si>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</si>
  <si>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</si>
  <si>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</si>
  <si>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</si>
  <si>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</si>
  <si>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</si>
  <si>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</si>
  <si>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</si>
  <si>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</si>
  <si>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</si>
  <si>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</si>
  <si>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</si>
  <si>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</si>
  <si>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</si>
  <si>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</si>
  <si>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</si>
  <si>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</si>
  <si>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</si>
  <si>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</si>
  <si>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</si>
  <si>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</si>
  <si>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</si>
  <si>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</si>
  <si>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</si>
  <si>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</si>
  <si>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</si>
  <si>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</si>
  <si>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</si>
  <si>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</si>
  <si>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</si>
  <si>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</si>
  <si>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</si>
  <si>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</si>
  <si>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</si>
  <si>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</si>
  <si>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</si>
  <si>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</si>
  <si>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</si>
  <si>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</si>
  <si>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</si>
  <si>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</si>
  <si>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</si>
  <si>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</si>
  <si>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</si>
  <si>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</si>
  <si>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</si>
  <si>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</si>
  <si>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</si>
  <si>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</si>
  <si>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</si>
  <si>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</si>
  <si>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</si>
  <si>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</si>
  <si>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</si>
  <si>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</si>
  <si>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</si>
  <si>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</si>
  <si>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</si>
  <si>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</si>
  <si>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</si>
  <si>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</si>
  <si>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31003</t>
  </si>
  <si>
    <t>BEERNEM</t>
  </si>
  <si>
    <t>Cultuurgrond (ha)</t>
  </si>
  <si>
    <t>Paarden&amp;pony's 200 - 600 kg</t>
  </si>
  <si>
    <t>Paarden&amp;pony's &lt; 200 kg</t>
  </si>
  <si>
    <t>Fluvius</t>
  </si>
  <si>
    <t>referentietaak LNE (2017); Jaarverslag De Lijn</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</si>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</sst>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145622.42555719116</c:v>
                </c:pt>
                <c:pt idx="1">
                  <c:v>77768.534028920709</c:v>
                </c:pt>
                <c:pt idx="2">
                  <c:v>1138.1990000000001</c:v>
                </c:pt>
                <c:pt idx="3">
                  <c:v>37005.10316229218</c:v>
                </c:pt>
                <c:pt idx="4">
                  <c:v>48291.486758236664</c:v>
                </c:pt>
                <c:pt idx="5">
                  <c:v>252162.38553860533</c:v>
                </c:pt>
                <c:pt idx="6">
                  <c:v>1064.6086704426953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145622.42555719116</c:v>
                </c:pt>
                <c:pt idx="1">
                  <c:v>77768.534028920709</c:v>
                </c:pt>
                <c:pt idx="2">
                  <c:v>1138.1990000000001</c:v>
                </c:pt>
                <c:pt idx="3">
                  <c:v>37005.10316229218</c:v>
                </c:pt>
                <c:pt idx="4">
                  <c:v>48291.486758236664</c:v>
                </c:pt>
                <c:pt idx="5">
                  <c:v>252162.38553860533</c:v>
                </c:pt>
                <c:pt idx="6">
                  <c:v>1064.6086704426953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24514.826438997366</c:v>
                </c:pt>
                <c:pt idx="2">
                  <c:v>14542.687652349028</c:v>
                </c:pt>
                <c:pt idx="3">
                  <c:v>192.86415059816409</c:v>
                </c:pt>
                <c:pt idx="4">
                  <c:v>5243.9570598036671</c:v>
                </c:pt>
                <c:pt idx="5">
                  <c:v>9647.8790712551854</c:v>
                </c:pt>
                <c:pt idx="6">
                  <c:v>63853.91027671293</c:v>
                </c:pt>
                <c:pt idx="7">
                  <c:v>272.13745188750005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24514.826438997366</c:v>
                </c:pt>
                <c:pt idx="2">
                  <c:v>14542.687652349028</c:v>
                </c:pt>
                <c:pt idx="3">
                  <c:v>192.86415059816409</c:v>
                </c:pt>
                <c:pt idx="4">
                  <c:v>5243.9570598036671</c:v>
                </c:pt>
                <c:pt idx="5">
                  <c:v>9647.8790712551854</c:v>
                </c:pt>
                <c:pt idx="6">
                  <c:v>63853.91027671293</c:v>
                </c:pt>
                <c:pt idx="7">
                  <c:v>272.13745188750005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31003</v>
      </c>
      <c r="B6" s="395"/>
      <c r="C6" s="396"/>
    </row>
    <row r="7" spans="1:7" s="393" customFormat="1" ht="15.75" customHeight="1">
      <c r="A7" s="397" t="str">
        <f>txtMunicipality</f>
        <v>BEERNEM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0.16944677565009642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0.16944677565009642</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6021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4682</v>
      </c>
      <c r="C14" s="332"/>
      <c r="D14" s="332"/>
      <c r="E14" s="332"/>
      <c r="F14" s="332"/>
    </row>
    <row r="15" spans="1:6">
      <c r="A15" s="1306" t="s">
        <v>183</v>
      </c>
      <c r="B15" s="1307">
        <v>90</v>
      </c>
      <c r="C15" s="332"/>
      <c r="D15" s="332"/>
      <c r="E15" s="332"/>
      <c r="F15" s="332"/>
    </row>
    <row r="16" spans="1:6">
      <c r="A16" s="1306" t="s">
        <v>6</v>
      </c>
      <c r="B16" s="1307">
        <v>3845</v>
      </c>
      <c r="C16" s="332"/>
      <c r="D16" s="332"/>
      <c r="E16" s="332"/>
      <c r="F16" s="332"/>
    </row>
    <row r="17" spans="1:6">
      <c r="A17" s="1306" t="s">
        <v>7</v>
      </c>
      <c r="B17" s="1307">
        <v>1350</v>
      </c>
      <c r="C17" s="332"/>
      <c r="D17" s="332"/>
      <c r="E17" s="332"/>
      <c r="F17" s="332"/>
    </row>
    <row r="18" spans="1:6">
      <c r="A18" s="1306" t="s">
        <v>8</v>
      </c>
      <c r="B18" s="1307">
        <v>3224</v>
      </c>
      <c r="C18" s="332"/>
      <c r="D18" s="332"/>
      <c r="E18" s="332"/>
      <c r="F18" s="332"/>
    </row>
    <row r="19" spans="1:6">
      <c r="A19" s="1306" t="s">
        <v>9</v>
      </c>
      <c r="B19" s="1307">
        <v>3291</v>
      </c>
      <c r="C19" s="332"/>
      <c r="D19" s="332"/>
      <c r="E19" s="332"/>
      <c r="F19" s="332"/>
    </row>
    <row r="20" spans="1:6">
      <c r="A20" s="1306" t="s">
        <v>10</v>
      </c>
      <c r="B20" s="1307">
        <v>1917</v>
      </c>
      <c r="C20" s="332"/>
      <c r="D20" s="332"/>
      <c r="E20" s="332"/>
      <c r="F20" s="332"/>
    </row>
    <row r="21" spans="1:6">
      <c r="A21" s="1306" t="s">
        <v>11</v>
      </c>
      <c r="B21" s="1307">
        <v>18496</v>
      </c>
      <c r="C21" s="332"/>
      <c r="D21" s="332"/>
      <c r="E21" s="332"/>
      <c r="F21" s="332"/>
    </row>
    <row r="22" spans="1:6">
      <c r="A22" s="1306" t="s">
        <v>12</v>
      </c>
      <c r="B22" s="1307">
        <v>41045</v>
      </c>
      <c r="C22" s="332"/>
      <c r="D22" s="332"/>
      <c r="E22" s="332"/>
      <c r="F22" s="332"/>
    </row>
    <row r="23" spans="1:6">
      <c r="A23" s="1306" t="s">
        <v>13</v>
      </c>
      <c r="B23" s="1307">
        <v>669</v>
      </c>
      <c r="C23" s="332"/>
      <c r="D23" s="332"/>
      <c r="E23" s="332"/>
      <c r="F23" s="332"/>
    </row>
    <row r="24" spans="1:6">
      <c r="A24" s="1306" t="s">
        <v>14</v>
      </c>
      <c r="B24" s="1307">
        <v>26</v>
      </c>
      <c r="C24" s="332"/>
      <c r="D24" s="332"/>
      <c r="E24" s="332"/>
      <c r="F24" s="332"/>
    </row>
    <row r="25" spans="1:6">
      <c r="A25" s="1306" t="s">
        <v>15</v>
      </c>
      <c r="B25" s="1307">
        <v>4205</v>
      </c>
      <c r="C25" s="332"/>
      <c r="D25" s="332"/>
      <c r="E25" s="332"/>
      <c r="F25" s="332"/>
    </row>
    <row r="26" spans="1:6">
      <c r="A26" s="1306" t="s">
        <v>16</v>
      </c>
      <c r="B26" s="1307">
        <v>644</v>
      </c>
      <c r="C26" s="332"/>
      <c r="D26" s="332"/>
      <c r="E26" s="332"/>
      <c r="F26" s="332"/>
    </row>
    <row r="27" spans="1:6">
      <c r="A27" s="1306" t="s">
        <v>17</v>
      </c>
      <c r="B27" s="1307">
        <v>3</v>
      </c>
      <c r="C27" s="332"/>
      <c r="D27" s="332"/>
      <c r="E27" s="332"/>
      <c r="F27" s="332"/>
    </row>
    <row r="28" spans="1:6" s="43" customFormat="1">
      <c r="A28" s="1308" t="s">
        <v>18</v>
      </c>
      <c r="B28" s="1309">
        <v>89212</v>
      </c>
      <c r="C28" s="338"/>
      <c r="D28" s="338"/>
      <c r="E28" s="338"/>
      <c r="F28" s="338"/>
    </row>
    <row r="29" spans="1:6">
      <c r="A29" s="1308" t="s">
        <v>916</v>
      </c>
      <c r="B29" s="1309">
        <v>264</v>
      </c>
      <c r="C29" s="338"/>
      <c r="D29" s="338"/>
      <c r="E29" s="338"/>
      <c r="F29" s="338"/>
    </row>
    <row r="30" spans="1:6">
      <c r="A30" s="1301" t="s">
        <v>917</v>
      </c>
      <c r="B30" s="1310">
        <v>45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3694.4548419693001</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3218</v>
      </c>
      <c r="D39" s="1307">
        <v>56923303.883019403</v>
      </c>
      <c r="E39" s="1307">
        <v>5652</v>
      </c>
      <c r="F39" s="1307">
        <v>27074760.621629599</v>
      </c>
    </row>
    <row r="40" spans="1:6">
      <c r="A40" s="1306" t="s">
        <v>29</v>
      </c>
      <c r="B40" s="1306" t="s">
        <v>28</v>
      </c>
      <c r="C40" s="1307">
        <v>0</v>
      </c>
      <c r="D40" s="1307">
        <v>0</v>
      </c>
      <c r="E40" s="1307">
        <v>0</v>
      </c>
      <c r="F40" s="1307">
        <v>0</v>
      </c>
    </row>
    <row r="41" spans="1:6">
      <c r="A41" s="1306" t="s">
        <v>31</v>
      </c>
      <c r="B41" s="1306" t="s">
        <v>32</v>
      </c>
      <c r="C41" s="1307">
        <v>74</v>
      </c>
      <c r="D41" s="1307">
        <v>1259572.96432274</v>
      </c>
      <c r="E41" s="1307">
        <v>164</v>
      </c>
      <c r="F41" s="1307">
        <v>4972487.7064246899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5</v>
      </c>
      <c r="D44" s="1307">
        <v>316714.50574819499</v>
      </c>
      <c r="E44" s="1307">
        <v>19</v>
      </c>
      <c r="F44" s="1307">
        <v>1088437.4216722799</v>
      </c>
    </row>
    <row r="45" spans="1:6">
      <c r="A45" s="1306" t="s">
        <v>31</v>
      </c>
      <c r="B45" s="1306" t="s">
        <v>36</v>
      </c>
      <c r="C45" s="1307">
        <v>0</v>
      </c>
      <c r="D45" s="1307">
        <v>0</v>
      </c>
      <c r="E45" s="1307">
        <v>5</v>
      </c>
      <c r="F45" s="1307">
        <v>26272.996652187201</v>
      </c>
    </row>
    <row r="46" spans="1:6">
      <c r="A46" s="1306" t="s">
        <v>31</v>
      </c>
      <c r="B46" s="1306" t="s">
        <v>37</v>
      </c>
      <c r="C46" s="1307">
        <v>0</v>
      </c>
      <c r="D46" s="1307">
        <v>0</v>
      </c>
      <c r="E46" s="1307">
        <v>0</v>
      </c>
      <c r="F46" s="1307">
        <v>0</v>
      </c>
    </row>
    <row r="47" spans="1:6">
      <c r="A47" s="1306" t="s">
        <v>31</v>
      </c>
      <c r="B47" s="1306" t="s">
        <v>38</v>
      </c>
      <c r="C47" s="1307">
        <v>0</v>
      </c>
      <c r="D47" s="1307">
        <v>0</v>
      </c>
      <c r="E47" s="1307">
        <v>4</v>
      </c>
      <c r="F47" s="1307">
        <v>229378.74101076499</v>
      </c>
    </row>
    <row r="48" spans="1:6">
      <c r="A48" s="1306" t="s">
        <v>31</v>
      </c>
      <c r="B48" s="1306" t="s">
        <v>28</v>
      </c>
      <c r="C48" s="1307">
        <v>31</v>
      </c>
      <c r="D48" s="1307">
        <v>18585045.100566398</v>
      </c>
      <c r="E48" s="1307">
        <v>39</v>
      </c>
      <c r="F48" s="1307">
        <v>4066574.07093427</v>
      </c>
    </row>
    <row r="49" spans="1:6">
      <c r="A49" s="1306" t="s">
        <v>31</v>
      </c>
      <c r="B49" s="1306" t="s">
        <v>39</v>
      </c>
      <c r="C49" s="1307">
        <v>0</v>
      </c>
      <c r="D49" s="1307">
        <v>0</v>
      </c>
      <c r="E49" s="1307">
        <v>3</v>
      </c>
      <c r="F49" s="1307">
        <v>21459.961240156801</v>
      </c>
    </row>
    <row r="50" spans="1:6">
      <c r="A50" s="1306" t="s">
        <v>31</v>
      </c>
      <c r="B50" s="1306" t="s">
        <v>40</v>
      </c>
      <c r="C50" s="1307">
        <v>8</v>
      </c>
      <c r="D50" s="1307">
        <v>677806.53356466501</v>
      </c>
      <c r="E50" s="1307">
        <v>21</v>
      </c>
      <c r="F50" s="1307">
        <v>4261917.9351220597</v>
      </c>
    </row>
    <row r="51" spans="1:6">
      <c r="A51" s="1306" t="s">
        <v>41</v>
      </c>
      <c r="B51" s="1306" t="s">
        <v>42</v>
      </c>
      <c r="C51" s="1307">
        <v>14</v>
      </c>
      <c r="D51" s="1307">
        <v>349317.63805602898</v>
      </c>
      <c r="E51" s="1307">
        <v>208</v>
      </c>
      <c r="F51" s="1307">
        <v>4459623.2690655403</v>
      </c>
    </row>
    <row r="52" spans="1:6">
      <c r="A52" s="1306" t="s">
        <v>41</v>
      </c>
      <c r="B52" s="1306" t="s">
        <v>28</v>
      </c>
      <c r="C52" s="1307">
        <v>3</v>
      </c>
      <c r="D52" s="1307">
        <v>65017.972097727201</v>
      </c>
      <c r="E52" s="1307">
        <v>4</v>
      </c>
      <c r="F52" s="1307">
        <v>47383.995421578402</v>
      </c>
    </row>
    <row r="53" spans="1:6">
      <c r="A53" s="1306" t="s">
        <v>43</v>
      </c>
      <c r="B53" s="1306" t="s">
        <v>44</v>
      </c>
      <c r="C53" s="1307">
        <v>80</v>
      </c>
      <c r="D53" s="1307">
        <v>2121044.3898816202</v>
      </c>
      <c r="E53" s="1307">
        <v>163</v>
      </c>
      <c r="F53" s="1307">
        <v>1121053.86763321</v>
      </c>
    </row>
    <row r="54" spans="1:6">
      <c r="A54" s="1306" t="s">
        <v>45</v>
      </c>
      <c r="B54" s="1306" t="s">
        <v>46</v>
      </c>
      <c r="C54" s="1307">
        <v>0</v>
      </c>
      <c r="D54" s="1307">
        <v>0</v>
      </c>
      <c r="E54" s="1307">
        <v>1</v>
      </c>
      <c r="F54" s="1307">
        <v>1138199</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27</v>
      </c>
      <c r="D57" s="1307">
        <v>24042633.071840201</v>
      </c>
      <c r="E57" s="1307">
        <v>101</v>
      </c>
      <c r="F57" s="1307">
        <v>5095251.3784467401</v>
      </c>
    </row>
    <row r="58" spans="1:6">
      <c r="A58" s="1306" t="s">
        <v>48</v>
      </c>
      <c r="B58" s="1306" t="s">
        <v>50</v>
      </c>
      <c r="C58" s="1307">
        <v>32</v>
      </c>
      <c r="D58" s="1307">
        <v>3026202.9660447701</v>
      </c>
      <c r="E58" s="1307">
        <v>58</v>
      </c>
      <c r="F58" s="1307">
        <v>945352.55863043899</v>
      </c>
    </row>
    <row r="59" spans="1:6">
      <c r="A59" s="1306" t="s">
        <v>48</v>
      </c>
      <c r="B59" s="1306" t="s">
        <v>51</v>
      </c>
      <c r="C59" s="1307">
        <v>47</v>
      </c>
      <c r="D59" s="1307">
        <v>2276425.9158576401</v>
      </c>
      <c r="E59" s="1307">
        <v>153</v>
      </c>
      <c r="F59" s="1307">
        <v>5546184.79138654</v>
      </c>
    </row>
    <row r="60" spans="1:6">
      <c r="A60" s="1306" t="s">
        <v>48</v>
      </c>
      <c r="B60" s="1306" t="s">
        <v>52</v>
      </c>
      <c r="C60" s="1307">
        <v>32</v>
      </c>
      <c r="D60" s="1307">
        <v>17279442.242940199</v>
      </c>
      <c r="E60" s="1307">
        <v>59</v>
      </c>
      <c r="F60" s="1307">
        <v>1739135.30437573</v>
      </c>
    </row>
    <row r="61" spans="1:6">
      <c r="A61" s="1306" t="s">
        <v>48</v>
      </c>
      <c r="B61" s="1306" t="s">
        <v>53</v>
      </c>
      <c r="C61" s="1307">
        <v>63</v>
      </c>
      <c r="D61" s="1307">
        <v>3862492.07475683</v>
      </c>
      <c r="E61" s="1307">
        <v>184</v>
      </c>
      <c r="F61" s="1307">
        <v>2717797.78718718</v>
      </c>
    </row>
    <row r="62" spans="1:6">
      <c r="A62" s="1306" t="s">
        <v>48</v>
      </c>
      <c r="B62" s="1306" t="s">
        <v>54</v>
      </c>
      <c r="C62" s="1307">
        <v>5</v>
      </c>
      <c r="D62" s="1307">
        <v>473962.21258883103</v>
      </c>
      <c r="E62" s="1307">
        <v>11</v>
      </c>
      <c r="F62" s="1307">
        <v>164851.332358374</v>
      </c>
    </row>
    <row r="63" spans="1:6">
      <c r="A63" s="1306" t="s">
        <v>48</v>
      </c>
      <c r="B63" s="1306" t="s">
        <v>28</v>
      </c>
      <c r="C63" s="1307">
        <v>90</v>
      </c>
      <c r="D63" s="1307">
        <v>3279303.27879189</v>
      </c>
      <c r="E63" s="1307">
        <v>104</v>
      </c>
      <c r="F63" s="1307">
        <v>3995349.8811530001</v>
      </c>
    </row>
    <row r="64" spans="1:6">
      <c r="A64" s="1306" t="s">
        <v>55</v>
      </c>
      <c r="B64" s="1306" t="s">
        <v>56</v>
      </c>
      <c r="C64" s="1307">
        <v>0</v>
      </c>
      <c r="D64" s="1307">
        <v>0</v>
      </c>
      <c r="E64" s="1307">
        <v>0</v>
      </c>
      <c r="F64" s="1307">
        <v>0</v>
      </c>
    </row>
    <row r="65" spans="1:6">
      <c r="A65" s="1306" t="s">
        <v>55</v>
      </c>
      <c r="B65" s="1306" t="s">
        <v>28</v>
      </c>
      <c r="C65" s="1307">
        <v>1</v>
      </c>
      <c r="D65" s="1307">
        <v>11854.863279819599</v>
      </c>
      <c r="E65" s="1307">
        <v>2</v>
      </c>
      <c r="F65" s="1307">
        <v>9369.4082485041999</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131725.05171384101</v>
      </c>
      <c r="E68" s="1310">
        <v>13</v>
      </c>
      <c r="F68" s="1310">
        <v>135307.49063832601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55807950</v>
      </c>
      <c r="E73" s="456"/>
      <c r="F73" s="332"/>
    </row>
    <row r="74" spans="1:6">
      <c r="A74" s="1306" t="s">
        <v>63</v>
      </c>
      <c r="B74" s="1306" t="s">
        <v>724</v>
      </c>
      <c r="C74" s="1320" t="s">
        <v>725</v>
      </c>
      <c r="D74" s="1321">
        <v>4985133.6583657078</v>
      </c>
      <c r="E74" s="456"/>
      <c r="F74" s="332"/>
    </row>
    <row r="75" spans="1:6">
      <c r="A75" s="1306" t="s">
        <v>64</v>
      </c>
      <c r="B75" s="1306" t="s">
        <v>722</v>
      </c>
      <c r="C75" s="1320" t="s">
        <v>726</v>
      </c>
      <c r="D75" s="1321">
        <v>25342193</v>
      </c>
      <c r="E75" s="456"/>
      <c r="F75" s="332"/>
    </row>
    <row r="76" spans="1:6">
      <c r="A76" s="1306" t="s">
        <v>64</v>
      </c>
      <c r="B76" s="1306" t="s">
        <v>724</v>
      </c>
      <c r="C76" s="1320" t="s">
        <v>727</v>
      </c>
      <c r="D76" s="1321">
        <v>2567795.6583657078</v>
      </c>
      <c r="E76" s="456"/>
      <c r="F76" s="332"/>
    </row>
    <row r="77" spans="1:6">
      <c r="A77" s="1306" t="s">
        <v>65</v>
      </c>
      <c r="B77" s="1306" t="s">
        <v>722</v>
      </c>
      <c r="C77" s="1320" t="s">
        <v>728</v>
      </c>
      <c r="D77" s="1321">
        <v>151174711</v>
      </c>
      <c r="E77" s="456"/>
      <c r="F77" s="332"/>
    </row>
    <row r="78" spans="1:6">
      <c r="A78" s="1301" t="s">
        <v>65</v>
      </c>
      <c r="B78" s="1301" t="s">
        <v>724</v>
      </c>
      <c r="C78" s="1301" t="s">
        <v>729</v>
      </c>
      <c r="D78" s="1322">
        <v>26451007</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281702.6832685846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3671.324891960156</v>
      </c>
      <c r="C91" s="332"/>
      <c r="D91" s="332"/>
      <c r="E91" s="332"/>
      <c r="F91" s="332"/>
    </row>
    <row r="92" spans="1:6">
      <c r="A92" s="1301" t="s">
        <v>68</v>
      </c>
      <c r="B92" s="1302">
        <v>2128.3064365494383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1822</v>
      </c>
      <c r="C97" s="332"/>
      <c r="D97" s="332"/>
      <c r="E97" s="332"/>
      <c r="F97" s="332"/>
    </row>
    <row r="98" spans="1:6">
      <c r="A98" s="1306" t="s">
        <v>71</v>
      </c>
      <c r="B98" s="1307">
        <v>0</v>
      </c>
      <c r="C98" s="332"/>
      <c r="D98" s="332"/>
      <c r="E98" s="332"/>
      <c r="F98" s="332"/>
    </row>
    <row r="99" spans="1:6">
      <c r="A99" s="1306" t="s">
        <v>72</v>
      </c>
      <c r="B99" s="1307">
        <v>231</v>
      </c>
      <c r="C99" s="332"/>
      <c r="D99" s="332"/>
      <c r="E99" s="332"/>
      <c r="F99" s="332"/>
    </row>
    <row r="100" spans="1:6">
      <c r="A100" s="1306" t="s">
        <v>73</v>
      </c>
      <c r="B100" s="1307">
        <v>578</v>
      </c>
      <c r="C100" s="332"/>
      <c r="D100" s="332"/>
      <c r="E100" s="332"/>
      <c r="F100" s="332"/>
    </row>
    <row r="101" spans="1:6">
      <c r="A101" s="1306" t="s">
        <v>74</v>
      </c>
      <c r="B101" s="1307">
        <v>208</v>
      </c>
      <c r="C101" s="332"/>
      <c r="D101" s="332"/>
      <c r="E101" s="332"/>
      <c r="F101" s="332"/>
    </row>
    <row r="102" spans="1:6">
      <c r="A102" s="1306" t="s">
        <v>75</v>
      </c>
      <c r="B102" s="1307">
        <v>118</v>
      </c>
      <c r="C102" s="332"/>
      <c r="D102" s="332"/>
      <c r="E102" s="332"/>
      <c r="F102" s="332"/>
    </row>
    <row r="103" spans="1:6">
      <c r="A103" s="1306" t="s">
        <v>76</v>
      </c>
      <c r="B103" s="1307">
        <v>262</v>
      </c>
      <c r="C103" s="332"/>
      <c r="D103" s="332"/>
      <c r="E103" s="332"/>
      <c r="F103" s="332"/>
    </row>
    <row r="104" spans="1:6">
      <c r="A104" s="1306" t="s">
        <v>77</v>
      </c>
      <c r="B104" s="1307">
        <v>2094</v>
      </c>
      <c r="C104" s="332"/>
      <c r="D104" s="332"/>
      <c r="E104" s="332"/>
      <c r="F104" s="332"/>
    </row>
    <row r="105" spans="1:6">
      <c r="A105" s="1301" t="s">
        <v>78</v>
      </c>
      <c r="B105" s="1310">
        <v>10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16</v>
      </c>
      <c r="C123" s="1307">
        <v>19</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222</v>
      </c>
      <c r="C129" s="332"/>
      <c r="D129" s="332"/>
      <c r="E129" s="332"/>
      <c r="F129" s="332"/>
    </row>
    <row r="130" spans="1:6">
      <c r="A130" s="1306" t="s">
        <v>294</v>
      </c>
      <c r="B130" s="1307">
        <v>1</v>
      </c>
      <c r="C130" s="332"/>
      <c r="D130" s="332"/>
      <c r="E130" s="332"/>
      <c r="F130" s="332"/>
    </row>
    <row r="131" spans="1:6">
      <c r="A131" s="1306" t="s">
        <v>295</v>
      </c>
      <c r="B131" s="1307">
        <v>4</v>
      </c>
      <c r="C131" s="332"/>
      <c r="D131" s="332"/>
      <c r="E131" s="332"/>
      <c r="F131" s="332"/>
    </row>
    <row r="132" spans="1:6">
      <c r="A132" s="1301" t="s">
        <v>296</v>
      </c>
      <c r="B132" s="1302">
        <v>21</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72392.826940757615</v>
      </c>
      <c r="C3" s="43" t="s">
        <v>169</v>
      </c>
      <c r="D3" s="43"/>
      <c r="E3" s="156"/>
      <c r="F3" s="43"/>
      <c r="G3" s="43"/>
      <c r="H3" s="43"/>
      <c r="I3" s="43"/>
      <c r="J3" s="43"/>
      <c r="K3" s="96"/>
    </row>
    <row r="4" spans="1:11">
      <c r="A4" s="363" t="s">
        <v>170</v>
      </c>
      <c r="B4" s="49">
        <f>IF(ISERROR('SEAP template'!B78+'SEAP template'!C78),0,'SEAP template'!B78+'SEAP template'!C78)</f>
        <v>16887.256328509597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0.16944677565009642</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15839.464285714286</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1138.1990000000001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1138.1990000000001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0.16944677565009642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192.86415059816409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27074.760621629601</v>
      </c>
      <c r="C5" s="17">
        <f>IF(ISERROR('Eigen informatie GS &amp; warmtenet'!B57),0,'Eigen informatie GS &amp; warmtenet'!B57)</f>
        <v>0</v>
      </c>
      <c r="D5" s="30">
        <f>(SUM(HH_hh_gas_kWh,HH_rest_gas_kWh)/1000)*0.902</f>
        <v>51344.820102483507</v>
      </c>
      <c r="E5" s="17">
        <f>B46*B57</f>
        <v>9406.7018390881294</v>
      </c>
      <c r="F5" s="17">
        <f>B51*B62</f>
        <v>19712.518825965199</v>
      </c>
      <c r="G5" s="18"/>
      <c r="H5" s="17"/>
      <c r="I5" s="17"/>
      <c r="J5" s="17">
        <f>B50*B61+C50*C61</f>
        <v>4335.5476840397278</v>
      </c>
      <c r="K5" s="17"/>
      <c r="L5" s="17"/>
      <c r="M5" s="17"/>
      <c r="N5" s="17">
        <f>B48*B59+C48*C59</f>
        <v>28992.95825869152</v>
      </c>
      <c r="O5" s="17">
        <f>B69*B70*B71</f>
        <v>378.32666666666671</v>
      </c>
      <c r="P5" s="17">
        <f>B77*B78*B79/1000-B77*B78*B79/1000/B80</f>
        <v>705.4666666666667</v>
      </c>
    </row>
    <row r="6" spans="1:16">
      <c r="A6" s="16" t="s">
        <v>633</v>
      </c>
      <c r="B6" s="779">
        <f>kWh_PV_kleiner_dan_10kW</f>
        <v>3671.324891960156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30746.085513589758</v>
      </c>
      <c r="C8" s="21">
        <f>C5</f>
        <v>0</v>
      </c>
      <c r="D8" s="21">
        <f>D5</f>
        <v>51344.820102483507</v>
      </c>
      <c r="E8" s="21">
        <f>E5</f>
        <v>9406.7018390881294</v>
      </c>
      <c r="F8" s="21">
        <f>F5</f>
        <v>19712.518825965199</v>
      </c>
      <c r="G8" s="21"/>
      <c r="H8" s="21"/>
      <c r="I8" s="21"/>
      <c r="J8" s="21">
        <f>J5</f>
        <v>4335.5476840397278</v>
      </c>
      <c r="K8" s="21"/>
      <c r="L8" s="21">
        <f>L5</f>
        <v>0</v>
      </c>
      <c r="M8" s="21">
        <f>M5</f>
        <v>0</v>
      </c>
      <c r="N8" s="21">
        <f>N5</f>
        <v>28992.95825869152</v>
      </c>
      <c r="O8" s="21">
        <f>O5</f>
        <v>378.32666666666671</v>
      </c>
      <c r="P8" s="21">
        <f>P5</f>
        <v>705.4666666666667</v>
      </c>
    </row>
    <row r="9" spans="1:16">
      <c r="B9" s="19"/>
      <c r="C9" s="19"/>
      <c r="D9" s="261"/>
      <c r="E9" s="19"/>
      <c r="F9" s="19"/>
      <c r="G9" s="19"/>
      <c r="H9" s="19"/>
      <c r="I9" s="19"/>
      <c r="J9" s="19"/>
      <c r="K9" s="19"/>
      <c r="L9" s="19"/>
      <c r="M9" s="19"/>
      <c r="N9" s="19"/>
      <c r="O9" s="19"/>
      <c r="P9" s="19"/>
    </row>
    <row r="10" spans="1:16">
      <c r="A10" s="24" t="s">
        <v>213</v>
      </c>
      <c r="B10" s="25">
        <f ca="1">'EF ele_warmte'!B12</f>
        <v>0.16944677565009642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5209.8250541399229</v>
      </c>
      <c r="C12" s="23">
        <f ca="1">C10*C8</f>
        <v>0</v>
      </c>
      <c r="D12" s="23">
        <f>D8*D10</f>
        <v>10371.65366070167</v>
      </c>
      <c r="E12" s="23">
        <f>E10*E8</f>
        <v>2135.3213174730054</v>
      </c>
      <c r="F12" s="23">
        <f>F10*F8</f>
        <v>5263.2425265327083</v>
      </c>
      <c r="G12" s="23"/>
      <c r="H12" s="23"/>
      <c r="I12" s="23"/>
      <c r="J12" s="23">
        <f>J10*J8</f>
        <v>1534.7838801500636</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1822</v>
      </c>
      <c r="C18" s="168" t="s">
        <v>110</v>
      </c>
      <c r="D18" s="230"/>
      <c r="E18" s="15"/>
    </row>
    <row r="19" spans="1:7">
      <c r="A19" s="173" t="s">
        <v>71</v>
      </c>
      <c r="B19" s="37">
        <f>aantalw2001_ander</f>
        <v>0</v>
      </c>
      <c r="C19" s="168" t="s">
        <v>110</v>
      </c>
      <c r="D19" s="231"/>
      <c r="E19" s="15"/>
    </row>
    <row r="20" spans="1:7">
      <c r="A20" s="173" t="s">
        <v>72</v>
      </c>
      <c r="B20" s="37">
        <f>aantalw2001_propaan</f>
        <v>231</v>
      </c>
      <c r="C20" s="169">
        <f>IF(ISERROR(B20/SUM($B$20,$B$21,$B$22)*100),0,B20/SUM($B$20,$B$21,$B$22)*100)</f>
        <v>22.713864306784661</v>
      </c>
      <c r="D20" s="231"/>
      <c r="E20" s="15"/>
    </row>
    <row r="21" spans="1:7">
      <c r="A21" s="173" t="s">
        <v>73</v>
      </c>
      <c r="B21" s="37">
        <f>aantalw2001_elektriciteit</f>
        <v>578</v>
      </c>
      <c r="C21" s="169">
        <f>IF(ISERROR(B21/SUM($B$20,$B$21,$B$22)*100),0,B21/SUM($B$20,$B$21,$B$22)*100)</f>
        <v>56.83382497541789</v>
      </c>
      <c r="D21" s="231"/>
      <c r="E21" s="15"/>
    </row>
    <row r="22" spans="1:7">
      <c r="A22" s="173" t="s">
        <v>74</v>
      </c>
      <c r="B22" s="37">
        <f>aantalw2001_hout</f>
        <v>208</v>
      </c>
      <c r="C22" s="169">
        <f>IF(ISERROR(B22/SUM($B$20,$B$21,$B$22)*100),0,B22/SUM($B$20,$B$21,$B$22)*100)</f>
        <v>20.452310717797442</v>
      </c>
      <c r="D22" s="231"/>
      <c r="E22" s="15"/>
    </row>
    <row r="23" spans="1:7">
      <c r="A23" s="173" t="s">
        <v>75</v>
      </c>
      <c r="B23" s="37">
        <f>aantalw2001_niet_gespec</f>
        <v>118</v>
      </c>
      <c r="C23" s="168" t="s">
        <v>110</v>
      </c>
      <c r="D23" s="230"/>
      <c r="E23" s="15"/>
    </row>
    <row r="24" spans="1:7">
      <c r="A24" s="173" t="s">
        <v>76</v>
      </c>
      <c r="B24" s="37">
        <f>aantalw2001_steenkool</f>
        <v>262</v>
      </c>
      <c r="C24" s="168" t="s">
        <v>110</v>
      </c>
      <c r="D24" s="231"/>
      <c r="E24" s="15"/>
    </row>
    <row r="25" spans="1:7">
      <c r="A25" s="173" t="s">
        <v>77</v>
      </c>
      <c r="B25" s="37">
        <f>aantalw2001_stookolie</f>
        <v>2094</v>
      </c>
      <c r="C25" s="168" t="s">
        <v>110</v>
      </c>
      <c r="D25" s="230"/>
      <c r="E25" s="52"/>
    </row>
    <row r="26" spans="1:7">
      <c r="A26" s="173" t="s">
        <v>78</v>
      </c>
      <c r="B26" s="37">
        <f>aantalw2001_WP</f>
        <v>10</v>
      </c>
      <c r="C26" s="168" t="s">
        <v>110</v>
      </c>
      <c r="D26" s="230"/>
      <c r="E26" s="15"/>
    </row>
    <row r="27" spans="1:7" s="15" customFormat="1">
      <c r="A27" s="173"/>
      <c r="B27" s="29"/>
      <c r="C27" s="36"/>
      <c r="D27" s="230"/>
    </row>
    <row r="28" spans="1:7" s="15" customFormat="1">
      <c r="A28" s="232" t="s">
        <v>742</v>
      </c>
      <c r="B28" s="37">
        <f>aantalHuishoudens</f>
        <v>6021</v>
      </c>
      <c r="C28" s="36"/>
      <c r="D28" s="230"/>
    </row>
    <row r="29" spans="1:7" s="15" customFormat="1">
      <c r="A29" s="232" t="s">
        <v>743</v>
      </c>
      <c r="B29" s="37">
        <f>SUM(HH_hh_gas_aantal,HH_rest_gas_aantal)</f>
        <v>3218</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3218</v>
      </c>
      <c r="C32" s="169">
        <f>IF(ISERROR(B32/SUM($B$32,$B$34,$B$35,$B$36,$B$38,$B$39)*100),0,B32/SUM($B$32,$B$34,$B$35,$B$36,$B$38,$B$39)*100)</f>
        <v>53.776737967914436</v>
      </c>
      <c r="D32" s="235"/>
      <c r="G32" s="15"/>
    </row>
    <row r="33" spans="1:7">
      <c r="A33" s="173" t="s">
        <v>71</v>
      </c>
      <c r="B33" s="34" t="s">
        <v>110</v>
      </c>
      <c r="C33" s="169"/>
      <c r="D33" s="235"/>
      <c r="G33" s="15"/>
    </row>
    <row r="34" spans="1:7">
      <c r="A34" s="173" t="s">
        <v>72</v>
      </c>
      <c r="B34" s="33">
        <f>IF((($B$28-$B$32-$B$39-$B$77-$B$38)*C20/100)&lt;0,0,($B$28-$B$32-$B$39-$B$77-$B$38)*C20/100)</f>
        <v>410.21238938053096</v>
      </c>
      <c r="C34" s="169">
        <f>IF(ISERROR(B34/SUM($B$32,$B$34,$B$35,$B$36,$B$38,$B$39)*100),0,B34/SUM($B$32,$B$34,$B$35,$B$36,$B$38,$B$39)*100)</f>
        <v>6.8551535658511185</v>
      </c>
      <c r="D34" s="235"/>
      <c r="G34" s="15"/>
    </row>
    <row r="35" spans="1:7">
      <c r="A35" s="173" t="s">
        <v>73</v>
      </c>
      <c r="B35" s="33">
        <f>IF((($B$28-$B$32-$B$39-$B$77-$B$38)*C21/100)&lt;0,0,($B$28-$B$32-$B$39-$B$77-$B$38)*C21/100)</f>
        <v>1026.4188790560472</v>
      </c>
      <c r="C35" s="169">
        <f>IF(ISERROR(B35/SUM($B$32,$B$34,$B$35,$B$36,$B$38,$B$39)*100),0,B35/SUM($B$32,$B$34,$B$35,$B$36,$B$38,$B$39)*100)</f>
        <v>17.152721909359077</v>
      </c>
      <c r="D35" s="235"/>
      <c r="G35" s="15"/>
    </row>
    <row r="36" spans="1:7">
      <c r="A36" s="173" t="s">
        <v>74</v>
      </c>
      <c r="B36" s="33">
        <f>IF((($B$28-$B$32-$B$39-$B$77-$B$38)*C22/100)&lt;0,0,($B$28-$B$32-$B$39-$B$77-$B$38)*C22/100)</f>
        <v>369.36873156342182</v>
      </c>
      <c r="C36" s="169">
        <f>IF(ISERROR(B36/SUM($B$32,$B$34,$B$35,$B$36,$B$38,$B$39)*100),0,B36/SUM($B$32,$B$34,$B$35,$B$36,$B$38,$B$39)*100)</f>
        <v>6.1726058082122632</v>
      </c>
      <c r="D36" s="235"/>
      <c r="G36" s="15"/>
    </row>
    <row r="37" spans="1:7">
      <c r="A37" s="173" t="s">
        <v>75</v>
      </c>
      <c r="B37" s="34" t="s">
        <v>110</v>
      </c>
      <c r="C37" s="169"/>
      <c r="D37" s="175"/>
      <c r="G37" s="15"/>
    </row>
    <row r="38" spans="1:7">
      <c r="A38" s="173" t="s">
        <v>76</v>
      </c>
      <c r="B38" s="33">
        <f>IF((B24-(B29-B18)*0.1)&lt;0,0,B24-(B29-B18)*0.1)</f>
        <v>122.4</v>
      </c>
      <c r="C38" s="169">
        <f>IF(ISERROR(B38/SUM($B$32,$B$34,$B$35,$B$36,$B$38,$B$39)*100),0,B38/SUM($B$32,$B$34,$B$35,$B$36,$B$38,$B$39)*100)</f>
        <v>2.0454545454545454</v>
      </c>
      <c r="D38" s="236"/>
      <c r="G38" s="15"/>
    </row>
    <row r="39" spans="1:7">
      <c r="A39" s="173" t="s">
        <v>77</v>
      </c>
      <c r="B39" s="33">
        <f>IF((B25-(B29-B18))&lt;0,0,B25-(B29-B18)*0.9)</f>
        <v>837.59999999999991</v>
      </c>
      <c r="C39" s="169">
        <f>IF(ISERROR(B39/SUM($B$32,$B$34,$B$35,$B$36,$B$38,$B$39)*100),0,B39/SUM($B$32,$B$34,$B$35,$B$36,$B$38,$B$39)*100)</f>
        <v>13.997326203208555</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3218</v>
      </c>
      <c r="C44" s="34" t="s">
        <v>110</v>
      </c>
      <c r="D44" s="176"/>
    </row>
    <row r="45" spans="1:7">
      <c r="A45" s="173" t="s">
        <v>71</v>
      </c>
      <c r="B45" s="33" t="str">
        <f t="shared" si="0"/>
        <v>-</v>
      </c>
      <c r="C45" s="34" t="s">
        <v>110</v>
      </c>
      <c r="D45" s="176"/>
    </row>
    <row r="46" spans="1:7">
      <c r="A46" s="173" t="s">
        <v>72</v>
      </c>
      <c r="B46" s="33">
        <f t="shared" si="0"/>
        <v>410.21238938053096</v>
      </c>
      <c r="C46" s="34" t="s">
        <v>110</v>
      </c>
      <c r="D46" s="176"/>
    </row>
    <row r="47" spans="1:7">
      <c r="A47" s="173" t="s">
        <v>73</v>
      </c>
      <c r="B47" s="33">
        <f t="shared" si="0"/>
        <v>1026.4188790560472</v>
      </c>
      <c r="C47" s="34" t="s">
        <v>110</v>
      </c>
      <c r="D47" s="176"/>
    </row>
    <row r="48" spans="1:7">
      <c r="A48" s="173" t="s">
        <v>74</v>
      </c>
      <c r="B48" s="33">
        <f t="shared" si="0"/>
        <v>369.36873156342182</v>
      </c>
      <c r="C48" s="33">
        <f>B48*10</f>
        <v>3693.6873156342181</v>
      </c>
      <c r="D48" s="236"/>
    </row>
    <row r="49" spans="1:6">
      <c r="A49" s="173" t="s">
        <v>75</v>
      </c>
      <c r="B49" s="33" t="str">
        <f t="shared" si="0"/>
        <v>-</v>
      </c>
      <c r="C49" s="34" t="s">
        <v>110</v>
      </c>
      <c r="D49" s="236"/>
    </row>
    <row r="50" spans="1:6">
      <c r="A50" s="173" t="s">
        <v>76</v>
      </c>
      <c r="B50" s="33">
        <f t="shared" si="0"/>
        <v>122.4</v>
      </c>
      <c r="C50" s="33">
        <f>B50*2</f>
        <v>244.8</v>
      </c>
      <c r="D50" s="236"/>
    </row>
    <row r="51" spans="1:6">
      <c r="A51" s="173" t="s">
        <v>77</v>
      </c>
      <c r="B51" s="33">
        <f t="shared" si="0"/>
        <v>837.59999999999991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242</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37</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20203.923033538002</v>
      </c>
      <c r="C5" s="17">
        <f>IF(ISERROR('Eigen informatie GS &amp; warmtenet'!B58),0,'Eigen informatie GS &amp; warmtenet'!B58)</f>
        <v>0</v>
      </c>
      <c r="D5" s="30">
        <f>SUM(D6:D12)</f>
        <v>48924.896510063962</v>
      </c>
      <c r="E5" s="17">
        <f>SUM(E6:E12)</f>
        <v>261.5212123176567</v>
      </c>
      <c r="F5" s="17">
        <f>SUM(F6:F12)</f>
        <v>4408.2532906526994</v>
      </c>
      <c r="G5" s="18"/>
      <c r="H5" s="17"/>
      <c r="I5" s="17"/>
      <c r="J5" s="17">
        <f>SUM(J6:J12)</f>
        <v>0</v>
      </c>
      <c r="K5" s="17"/>
      <c r="L5" s="17"/>
      <c r="M5" s="17"/>
      <c r="N5" s="17">
        <f>SUM(N6:N12)</f>
        <v>3892.1099823483878</v>
      </c>
      <c r="O5" s="17">
        <f>B38*B39*B40</f>
        <v>1.5633333333333335</v>
      </c>
      <c r="P5" s="17">
        <f>B46*B47*B48/1000-B46*B47*B48/1000/B49</f>
        <v>76.266666666666666</v>
      </c>
      <c r="R5" s="32"/>
    </row>
    <row r="6" spans="1:18">
      <c r="A6" s="32" t="s">
        <v>53</v>
      </c>
      <c r="B6" s="37">
        <f>B26</f>
        <v>2717.7977871871799</v>
      </c>
      <c r="C6" s="33"/>
      <c r="D6" s="37">
        <f>IF(ISERROR(TER_kantoor_gas_kWh/1000),0,TER_kantoor_gas_kWh/1000)*0.902</f>
        <v>3483.9678514306606</v>
      </c>
      <c r="E6" s="33">
        <f>$C$26*'E Balans VL '!I12/100/3.6*1000000</f>
        <v>10.559219794538826</v>
      </c>
      <c r="F6" s="33">
        <f>$C$26*('E Balans VL '!L12+'E Balans VL '!N12)/100/3.6*1000000</f>
        <v>413.35231344295238</v>
      </c>
      <c r="G6" s="34"/>
      <c r="H6" s="33"/>
      <c r="I6" s="33"/>
      <c r="J6" s="33">
        <f>$C$26*('E Balans VL '!D12+'E Balans VL '!E12)/100/3.6*1000000</f>
        <v>0</v>
      </c>
      <c r="K6" s="33"/>
      <c r="L6" s="33"/>
      <c r="M6" s="33"/>
      <c r="N6" s="33">
        <f>$C$26*'E Balans VL '!Y12/100/3.6*1000000</f>
        <v>1.4978321648968986</v>
      </c>
      <c r="O6" s="33"/>
      <c r="P6" s="33"/>
      <c r="R6" s="32"/>
    </row>
    <row r="7" spans="1:18">
      <c r="A7" s="32" t="s">
        <v>52</v>
      </c>
      <c r="B7" s="37">
        <f t="shared" ref="B7:B12" si="0">B27</f>
        <v>1739.1353043757299</v>
      </c>
      <c r="C7" s="33"/>
      <c r="D7" s="37">
        <f>IF(ISERROR(TER_horeca_gas_kWh/1000),0,TER_horeca_gas_kWh/1000)*0.902</f>
        <v>15586.056903132061</v>
      </c>
      <c r="E7" s="33">
        <f>$C$27*'E Balans VL '!I9/100/3.6*1000000</f>
        <v>97.965956663228241</v>
      </c>
      <c r="F7" s="33">
        <f>$C$27*('E Balans VL '!L9+'E Balans VL '!N9)/100/3.6*1000000</f>
        <v>501.46250187679095</v>
      </c>
      <c r="G7" s="34"/>
      <c r="H7" s="33"/>
      <c r="I7" s="33"/>
      <c r="J7" s="33">
        <f>$C$27*('E Balans VL '!D9+'E Balans VL '!E9)/100/3.6*1000000</f>
        <v>0</v>
      </c>
      <c r="K7" s="33"/>
      <c r="L7" s="33"/>
      <c r="M7" s="33"/>
      <c r="N7" s="33">
        <f>$C$27*'E Balans VL '!Y9/100/3.6*1000000</f>
        <v>0.48016622014079652</v>
      </c>
      <c r="O7" s="33"/>
      <c r="P7" s="33"/>
      <c r="R7" s="32"/>
    </row>
    <row r="8" spans="1:18">
      <c r="A8" s="6" t="s">
        <v>51</v>
      </c>
      <c r="B8" s="37">
        <f t="shared" si="0"/>
        <v>5546.1847913865404</v>
      </c>
      <c r="C8" s="33"/>
      <c r="D8" s="37">
        <f>IF(ISERROR(TER_handel_gas_kWh/1000),0,TER_handel_gas_kWh/1000)*0.902</f>
        <v>2053.3361761035912</v>
      </c>
      <c r="E8" s="33">
        <f>$C$28*'E Balans VL '!I13/100/3.6*1000000</f>
        <v>79.939339177109758</v>
      </c>
      <c r="F8" s="33">
        <f>$C$28*('E Balans VL '!L13+'E Balans VL '!N13)/100/3.6*1000000</f>
        <v>963.50146019193471</v>
      </c>
      <c r="G8" s="34"/>
      <c r="H8" s="33"/>
      <c r="I8" s="33"/>
      <c r="J8" s="33">
        <f>$C$28*('E Balans VL '!D13+'E Balans VL '!E13)/100/3.6*1000000</f>
        <v>0</v>
      </c>
      <c r="K8" s="33"/>
      <c r="L8" s="33"/>
      <c r="M8" s="33"/>
      <c r="N8" s="33">
        <f>$C$28*'E Balans VL '!Y13/100/3.6*1000000</f>
        <v>16.616987049003875</v>
      </c>
      <c r="O8" s="33"/>
      <c r="P8" s="33"/>
      <c r="R8" s="32"/>
    </row>
    <row r="9" spans="1:18">
      <c r="A9" s="32" t="s">
        <v>50</v>
      </c>
      <c r="B9" s="37">
        <f t="shared" si="0"/>
        <v>945.35255863043903</v>
      </c>
      <c r="C9" s="33"/>
      <c r="D9" s="37">
        <f>IF(ISERROR(TER_gezond_gas_kWh/1000),0,TER_gezond_gas_kWh/1000)*0.902</f>
        <v>2729.6350753723827</v>
      </c>
      <c r="E9" s="33">
        <f>$C$29*'E Balans VL '!I10/100/3.6*1000000</f>
        <v>1.009881559002197</v>
      </c>
      <c r="F9" s="33">
        <f>$C$29*('E Balans VL '!L10+'E Balans VL '!N10)/100/3.6*1000000</f>
        <v>154.21573265499438</v>
      </c>
      <c r="G9" s="34"/>
      <c r="H9" s="33"/>
      <c r="I9" s="33"/>
      <c r="J9" s="33">
        <f>$C$29*('E Balans VL '!D10+'E Balans VL '!E10)/100/3.6*1000000</f>
        <v>0</v>
      </c>
      <c r="K9" s="33"/>
      <c r="L9" s="33"/>
      <c r="M9" s="33"/>
      <c r="N9" s="33">
        <f>$C$29*'E Balans VL '!Y10/100/3.6*1000000</f>
        <v>9.7318651836917596</v>
      </c>
      <c r="O9" s="33"/>
      <c r="P9" s="33"/>
      <c r="R9" s="32"/>
    </row>
    <row r="10" spans="1:18">
      <c r="A10" s="32" t="s">
        <v>49</v>
      </c>
      <c r="B10" s="37">
        <f t="shared" si="0"/>
        <v>5095.2513784467401</v>
      </c>
      <c r="C10" s="33"/>
      <c r="D10" s="37">
        <f>IF(ISERROR(TER_ander_gas_kWh/1000),0,TER_ander_gas_kWh/1000)*0.902</f>
        <v>21686.455030799862</v>
      </c>
      <c r="E10" s="33">
        <f>$C$30*'E Balans VL '!I14/100/3.6*1000000</f>
        <v>23.432286044207469</v>
      </c>
      <c r="F10" s="33">
        <f>$C$30*('E Balans VL '!L14+'E Balans VL '!N14)/100/3.6*1000000</f>
        <v>1527.2075567940851</v>
      </c>
      <c r="G10" s="34"/>
      <c r="H10" s="33"/>
      <c r="I10" s="33"/>
      <c r="J10" s="33">
        <f>$C$30*('E Balans VL '!D14+'E Balans VL '!E14)/100/3.6*1000000</f>
        <v>0</v>
      </c>
      <c r="K10" s="33"/>
      <c r="L10" s="33"/>
      <c r="M10" s="33"/>
      <c r="N10" s="33">
        <f>$C$30*'E Balans VL '!Y14/100/3.6*1000000</f>
        <v>3546.6313008590682</v>
      </c>
      <c r="O10" s="33"/>
      <c r="P10" s="33"/>
      <c r="R10" s="32"/>
    </row>
    <row r="11" spans="1:18">
      <c r="A11" s="32" t="s">
        <v>54</v>
      </c>
      <c r="B11" s="37">
        <f t="shared" si="0"/>
        <v>164.85133235837401</v>
      </c>
      <c r="C11" s="33"/>
      <c r="D11" s="37">
        <f>IF(ISERROR(TER_onderwijs_gas_kWh/1000),0,TER_onderwijs_gas_kWh/1000)*0.902</f>
        <v>427.51391575512559</v>
      </c>
      <c r="E11" s="33">
        <f>$C$31*'E Balans VL '!I11/100/3.6*1000000</f>
        <v>0.15292129015969885</v>
      </c>
      <c r="F11" s="33">
        <f>$C$31*('E Balans VL '!L11+'E Balans VL '!N11)/100/3.6*1000000</f>
        <v>57.90848422202545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3995.3498811529998</v>
      </c>
      <c r="C12" s="33"/>
      <c r="D12" s="37">
        <f>IF(ISERROR(TER_rest_gas_kWh/1000),0,TER_rest_gas_kWh/1000)*0.902</f>
        <v>2957.931557470285</v>
      </c>
      <c r="E12" s="33">
        <f>$C$32*'E Balans VL '!I8/100/3.6*1000000</f>
        <v>48.4616077894105</v>
      </c>
      <c r="F12" s="33">
        <f>$C$32*('E Balans VL '!L8+'E Balans VL '!N8)/100/3.6*1000000</f>
        <v>790.60524146991645</v>
      </c>
      <c r="G12" s="34"/>
      <c r="H12" s="33"/>
      <c r="I12" s="33"/>
      <c r="J12" s="33">
        <f>$C$32*('E Balans VL '!D8+'E Balans VL '!E8)/100/3.6*1000000</f>
        <v>0</v>
      </c>
      <c r="K12" s="33"/>
      <c r="L12" s="33"/>
      <c r="M12" s="33"/>
      <c r="N12" s="33">
        <f>$C$32*'E Balans VL '!Y8/100/3.6*1000000</f>
        <v>317.15183087158624</v>
      </c>
      <c r="O12" s="33"/>
      <c r="P12" s="33"/>
      <c r="R12" s="32"/>
    </row>
    <row r="13" spans="1:18">
      <c r="A13" s="16" t="s">
        <v>496</v>
      </c>
      <c r="B13" s="249">
        <f ca="1">'lokale energieproductie'!N39+'lokale energieproductie'!N32</f>
        <v>0</v>
      </c>
      <c r="C13" s="249">
        <f ca="1">'lokale energieproductie'!O39+'lokale energieproductie'!O32</f>
        <v>0</v>
      </c>
      <c r="D13" s="310">
        <f ca="1">('lokale energieproductie'!P32+'lokale energieproductie'!P39)*(-1)</f>
        <v>0</v>
      </c>
      <c r="E13" s="250"/>
      <c r="F13" s="310">
        <f ca="1">('lokale energieproductie'!S32+'lokale energieproductie'!S39)*(-1)</f>
        <v>0</v>
      </c>
      <c r="G13" s="251"/>
      <c r="H13" s="250"/>
      <c r="I13" s="250"/>
      <c r="J13" s="250"/>
      <c r="K13" s="250"/>
      <c r="L13" s="310">
        <f ca="1">('lokale energieproductie'!U32+'lokale energieproductie'!T32+'lokale energieproductie'!U39+'lokale energieproductie'!T39)*(-1)</f>
        <v>0</v>
      </c>
      <c r="M13" s="250"/>
      <c r="N13" s="310">
        <f ca="1">('lokale energieproductie'!Q32+'lokale energieproductie'!R32+'lokale energieproductie'!V32+'lokale energieproductie'!Q39+'lokale energieproductie'!R39+'lokale energieproductie'!V39)*(-1)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20203.923033538002</v>
      </c>
      <c r="C16" s="21">
        <f t="shared" ca="1" si="1"/>
        <v>0</v>
      </c>
      <c r="D16" s="21">
        <f t="shared" ca="1" si="1"/>
        <v>48924.896510063962</v>
      </c>
      <c r="E16" s="21">
        <f t="shared" si="1"/>
        <v>261.5212123176567</v>
      </c>
      <c r="F16" s="21">
        <f t="shared" ca="1" si="1"/>
        <v>4408.2532906526994</v>
      </c>
      <c r="G16" s="21">
        <f t="shared" si="1"/>
        <v>0</v>
      </c>
      <c r="H16" s="21">
        <f t="shared" si="1"/>
        <v>0</v>
      </c>
      <c r="I16" s="21">
        <f t="shared" si="1"/>
        <v>0</v>
      </c>
      <c r="J16" s="21">
        <f t="shared" si="1"/>
        <v>0</v>
      </c>
      <c r="K16" s="21">
        <f t="shared" si="1"/>
        <v>0</v>
      </c>
      <c r="L16" s="21">
        <f t="shared" ca="1" si="1"/>
        <v>0</v>
      </c>
      <c r="M16" s="21">
        <f t="shared" si="1"/>
        <v>0</v>
      </c>
      <c r="N16" s="21">
        <f t="shared" ca="1" si="1"/>
        <v>3892.1099823483878</v>
      </c>
      <c r="O16" s="21">
        <f>O5</f>
        <v>1.5633333333333335</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0.16944677565009642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3423.4896135157292</v>
      </c>
      <c r="C20" s="23">
        <f t="shared" ref="C20:P20" ca="1" si="2">C16*C18</f>
        <v>0</v>
      </c>
      <c r="D20" s="23">
        <f t="shared" ca="1" si="2"/>
        <v>9882.829095032921</v>
      </c>
      <c r="E20" s="23">
        <f t="shared" si="2"/>
        <v>59.365315196108071</v>
      </c>
      <c r="F20" s="23">
        <f t="shared" ca="1" si="2"/>
        <v>1177.0036286042707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2717.7977871871799</v>
      </c>
      <c r="C26" s="39">
        <f>IF(ISERROR(B26*3.6/1000000/'E Balans VL '!Z12*100),0,B26*3.6/1000000/'E Balans VL '!Z12*100)</f>
        <v>5.7727371221873006E-2</v>
      </c>
      <c r="D26" s="239" t="s">
        <v>689</v>
      </c>
      <c r="F26" s="6"/>
    </row>
    <row r="27" spans="1:18">
      <c r="A27" s="233" t="s">
        <v>52</v>
      </c>
      <c r="B27" s="33">
        <f>IF(ISERROR(TER_horeca_ele_kWh/1000),0,TER_horeca_ele_kWh/1000)</f>
        <v>1739.1353043757299</v>
      </c>
      <c r="C27" s="39">
        <f>IF(ISERROR(B27*3.6/1000000/'E Balans VL '!Z9*100),0,B27*3.6/1000000/'E Balans VL '!Z9*100)</f>
        <v>0.13522836138538361</v>
      </c>
      <c r="D27" s="239" t="s">
        <v>689</v>
      </c>
      <c r="F27" s="6"/>
    </row>
    <row r="28" spans="1:18">
      <c r="A28" s="173" t="s">
        <v>51</v>
      </c>
      <c r="B28" s="33">
        <f>IF(ISERROR(TER_handel_ele_kWh/1000),0,TER_handel_ele_kWh/1000)</f>
        <v>5546.1847913865404</v>
      </c>
      <c r="C28" s="39">
        <f>IF(ISERROR(B28*3.6/1000000/'E Balans VL '!Z13*100),0,B28*3.6/1000000/'E Balans VL '!Z13*100)</f>
        <v>0.15868287408811876</v>
      </c>
      <c r="D28" s="239" t="s">
        <v>689</v>
      </c>
      <c r="F28" s="6"/>
    </row>
    <row r="29" spans="1:18">
      <c r="A29" s="233" t="s">
        <v>50</v>
      </c>
      <c r="B29" s="33">
        <f>IF(ISERROR(TER_gezond_ele_kWh/1000),0,TER_gezond_ele_kWh/1000)</f>
        <v>945.35255863043903</v>
      </c>
      <c r="C29" s="39">
        <f>IF(ISERROR(B29*3.6/1000000/'E Balans VL '!Z10*100),0,B29*3.6/1000000/'E Balans VL '!Z10*100)</f>
        <v>0.10306539624959497</v>
      </c>
      <c r="D29" s="239" t="s">
        <v>689</v>
      </c>
      <c r="F29" s="6"/>
    </row>
    <row r="30" spans="1:18">
      <c r="A30" s="233" t="s">
        <v>49</v>
      </c>
      <c r="B30" s="33">
        <f>IF(ISERROR(TER_ander_ele_kWh/1000),0,TER_ander_ele_kWh/1000)</f>
        <v>5095.2513784467401</v>
      </c>
      <c r="C30" s="39">
        <f>IF(ISERROR(B30*3.6/1000000/'E Balans VL '!Z14*100),0,B30*3.6/1000000/'E Balans VL '!Z14*100)</f>
        <v>0.37285893757097521</v>
      </c>
      <c r="D30" s="239" t="s">
        <v>689</v>
      </c>
      <c r="F30" s="6"/>
    </row>
    <row r="31" spans="1:18">
      <c r="A31" s="233" t="s">
        <v>54</v>
      </c>
      <c r="B31" s="33">
        <f>IF(ISERROR(TER_onderwijs_ele_kWh/1000),0,TER_onderwijs_ele_kWh/1000)</f>
        <v>164.85133235837401</v>
      </c>
      <c r="C31" s="39">
        <f>IF(ISERROR(B31*3.6/1000000/'E Balans VL '!Z11*100),0,B31*3.6/1000000/'E Balans VL '!Z11*100)</f>
        <v>3.3110512519403237E-2</v>
      </c>
      <c r="D31" s="239" t="s">
        <v>689</v>
      </c>
    </row>
    <row r="32" spans="1:18">
      <c r="A32" s="233" t="s">
        <v>259</v>
      </c>
      <c r="B32" s="33">
        <f>IF(ISERROR(TER_rest_ele_kWh/1000),0,TER_rest_ele_kWh/1000)</f>
        <v>3995.3498811529998</v>
      </c>
      <c r="C32" s="39">
        <f>IF(ISERROR(B32*3.6/1000000/'E Balans VL '!Z8*100),0,B32*3.6/1000000/'E Balans VL '!Z8*100)</f>
        <v>3.2559676876748822E-2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14666.528833056409</v>
      </c>
      <c r="C5" s="17">
        <f>IF(ISERROR('Eigen informatie GS &amp; warmtenet'!B59),0,'Eigen informatie GS &amp; warmtenet'!B59)</f>
        <v>0</v>
      </c>
      <c r="D5" s="30">
        <f>SUM(D6:D15)</f>
        <v>18796.903471990205</v>
      </c>
      <c r="E5" s="17">
        <f>SUM(E6:E15)</f>
        <v>1954.2847704555643</v>
      </c>
      <c r="F5" s="17">
        <f>SUM(F6:F15)</f>
        <v>10930.056530827174</v>
      </c>
      <c r="G5" s="18"/>
      <c r="H5" s="17"/>
      <c r="I5" s="17"/>
      <c r="J5" s="17">
        <f>SUM(J6:J15)</f>
        <v>10.623764260779826</v>
      </c>
      <c r="K5" s="17"/>
      <c r="L5" s="17"/>
      <c r="M5" s="17"/>
      <c r="N5" s="17">
        <f>SUM(N6:N15)</f>
        <v>1933.0893876465257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1088.4374216722799</v>
      </c>
      <c r="C8" s="33"/>
      <c r="D8" s="37">
        <f>IF( ISERROR(IND_metaal_Gas_kWH/1000),0,IND_metaal_Gas_kWH/1000)*0.902</f>
        <v>285.67648418487187</v>
      </c>
      <c r="E8" s="33">
        <f>C30*'E Balans VL '!I18/100/3.6*1000000</f>
        <v>31.264008243306474</v>
      </c>
      <c r="F8" s="33">
        <f>C30*'E Balans VL '!L18/100/3.6*1000000+C30*'E Balans VL '!N18/100/3.6*1000000</f>
        <v>279.16326499891795</v>
      </c>
      <c r="G8" s="34"/>
      <c r="H8" s="33"/>
      <c r="I8" s="33"/>
      <c r="J8" s="40">
        <f>C30*'E Balans VL '!D18/100/3.6*1000000+C30*'E Balans VL '!E18/100/3.6*1000000</f>
        <v>0</v>
      </c>
      <c r="K8" s="33"/>
      <c r="L8" s="33"/>
      <c r="M8" s="33"/>
      <c r="N8" s="33">
        <f>C30*'E Balans VL '!Y18/100/3.6*1000000</f>
        <v>29.553297813961802</v>
      </c>
      <c r="O8" s="33"/>
      <c r="P8" s="33"/>
      <c r="R8" s="32"/>
    </row>
    <row r="9" spans="1:18">
      <c r="A9" s="6" t="s">
        <v>32</v>
      </c>
      <c r="B9" s="37">
        <f t="shared" si="0"/>
        <v>4972.4877064246903</v>
      </c>
      <c r="C9" s="33"/>
      <c r="D9" s="37">
        <f>IF( ISERROR(IND_andere_gas_kWh/1000),0,IND_andere_gas_kWh/1000)*0.902</f>
        <v>1136.1348138191115</v>
      </c>
      <c r="E9" s="33">
        <f>C31*'E Balans VL '!I19/100/3.6*1000000</f>
        <v>1345.9301633728098</v>
      </c>
      <c r="F9" s="33">
        <f>C31*'E Balans VL '!L19/100/3.6*1000000+C31*'E Balans VL '!N19/100/3.6*1000000</f>
        <v>3312.2030115960488</v>
      </c>
      <c r="G9" s="34"/>
      <c r="H9" s="33"/>
      <c r="I9" s="33"/>
      <c r="J9" s="40">
        <f>C31*'E Balans VL '!D19/100/3.6*1000000+C31*'E Balans VL '!E19/100/3.6*1000000</f>
        <v>0</v>
      </c>
      <c r="K9" s="33"/>
      <c r="L9" s="33"/>
      <c r="M9" s="33"/>
      <c r="N9" s="33">
        <f>C31*'E Balans VL '!Y19/100/3.6*1000000</f>
        <v>420.39089660857786</v>
      </c>
      <c r="O9" s="33"/>
      <c r="P9" s="33"/>
      <c r="R9" s="32"/>
    </row>
    <row r="10" spans="1:18">
      <c r="A10" s="6" t="s">
        <v>40</v>
      </c>
      <c r="B10" s="37">
        <f t="shared" si="0"/>
        <v>4261.91793512206</v>
      </c>
      <c r="C10" s="33"/>
      <c r="D10" s="37">
        <f>IF( ISERROR(IND_voed_gas_kWh/1000),0,IND_voed_gas_kWh/1000)*0.902</f>
        <v>611.38149327532778</v>
      </c>
      <c r="E10" s="33">
        <f>C32*'E Balans VL '!I20/100/3.6*1000000</f>
        <v>347.61181829022303</v>
      </c>
      <c r="F10" s="33">
        <f>C32*'E Balans VL '!L20/100/3.6*1000000+C32*'E Balans VL '!N20/100/3.6*1000000</f>
        <v>6354.9063163430355</v>
      </c>
      <c r="G10" s="34"/>
      <c r="H10" s="33"/>
      <c r="I10" s="33"/>
      <c r="J10" s="40">
        <f>C32*'E Balans VL '!D20/100/3.6*1000000+C32*'E Balans VL '!E20/100/3.6*1000000</f>
        <v>5.6380001007289536E-2</v>
      </c>
      <c r="K10" s="33"/>
      <c r="L10" s="33"/>
      <c r="M10" s="33"/>
      <c r="N10" s="33">
        <f>C32*'E Balans VL '!Y20/100/3.6*1000000</f>
        <v>1252.0011024708249</v>
      </c>
      <c r="O10" s="33"/>
      <c r="P10" s="33"/>
      <c r="R10" s="32"/>
    </row>
    <row r="11" spans="1:18">
      <c r="A11" s="6" t="s">
        <v>39</v>
      </c>
      <c r="B11" s="37">
        <f t="shared" si="0"/>
        <v>21.459961240156801</v>
      </c>
      <c r="C11" s="33"/>
      <c r="D11" s="37">
        <f>IF( ISERROR(IND_textiel_gas_kWh/1000),0,IND_textiel_gas_kWh/1000)*0.902</f>
        <v>0</v>
      </c>
      <c r="E11" s="33">
        <f>C33*'E Balans VL '!I21/100/3.6*1000000</f>
        <v>4.2538033823772293E-3</v>
      </c>
      <c r="F11" s="33">
        <f>C33*'E Balans VL '!L21/100/3.6*1000000+C33*'E Balans VL '!N21/100/3.6*1000000</f>
        <v>0.79039626400086516</v>
      </c>
      <c r="G11" s="34"/>
      <c r="H11" s="33"/>
      <c r="I11" s="33"/>
      <c r="J11" s="40">
        <f>C33*'E Balans VL '!D21/100/3.6*1000000+C33*'E Balans VL '!E21/100/3.6*1000000</f>
        <v>0</v>
      </c>
      <c r="K11" s="33"/>
      <c r="L11" s="33"/>
      <c r="M11" s="33"/>
      <c r="N11" s="33">
        <f>C33*'E Balans VL '!Y21/100/3.6*1000000</f>
        <v>9.9783402374484353E-2</v>
      </c>
      <c r="O11" s="33"/>
      <c r="P11" s="33"/>
      <c r="R11" s="32"/>
    </row>
    <row r="12" spans="1:18">
      <c r="A12" s="6" t="s">
        <v>36</v>
      </c>
      <c r="B12" s="37">
        <f t="shared" si="0"/>
        <v>26.272996652187199</v>
      </c>
      <c r="C12" s="33"/>
      <c r="D12" s="37">
        <f>IF( ISERROR(IND_min_gas_kWh/1000),0,IND_min_gas_kWh/1000)*0.902</f>
        <v>0</v>
      </c>
      <c r="E12" s="33">
        <f>C34*'E Balans VL '!I22/100/3.6*1000000</f>
        <v>0.20466091927824026</v>
      </c>
      <c r="F12" s="33">
        <f>C34*'E Balans VL '!L22/100/3.6*1000000+C34*'E Balans VL '!N22/100/3.6*1000000</f>
        <v>9.9085598122495195</v>
      </c>
      <c r="G12" s="34"/>
      <c r="H12" s="33"/>
      <c r="I12" s="33"/>
      <c r="J12" s="40">
        <f>C34*'E Balans VL '!D22/100/3.6*1000000+C34*'E Balans VL '!E22/100/3.6*1000000</f>
        <v>0.14449918446201979</v>
      </c>
      <c r="K12" s="33"/>
      <c r="L12" s="33"/>
      <c r="M12" s="33"/>
      <c r="N12" s="33">
        <f>C34*'E Balans VL '!Y22/100/3.6*1000000</f>
        <v>0</v>
      </c>
      <c r="O12" s="33"/>
      <c r="P12" s="33"/>
      <c r="R12" s="32"/>
    </row>
    <row r="13" spans="1:18">
      <c r="A13" s="6" t="s">
        <v>38</v>
      </c>
      <c r="B13" s="37">
        <f t="shared" si="0"/>
        <v>229.378741010765</v>
      </c>
      <c r="C13" s="33"/>
      <c r="D13" s="37">
        <f>IF( ISERROR(IND_papier_gas_kWh/1000),0,IND_papier_gas_kWh/1000)*0.902</f>
        <v>0</v>
      </c>
      <c r="E13" s="33">
        <f>C35*'E Balans VL '!I23/100/3.6*1000000</f>
        <v>2.4031601891560612</v>
      </c>
      <c r="F13" s="33">
        <f>C35*'E Balans VL '!L23/100/3.6*1000000+C35*'E Balans VL '!N23/100/3.6*1000000</f>
        <v>17.116282310695187</v>
      </c>
      <c r="G13" s="34"/>
      <c r="H13" s="33"/>
      <c r="I13" s="33"/>
      <c r="J13" s="40">
        <f>C35*'E Balans VL '!D23/100/3.6*1000000+C35*'E Balans VL '!E23/100/3.6*1000000</f>
        <v>0</v>
      </c>
      <c r="K13" s="33"/>
      <c r="L13" s="33"/>
      <c r="M13" s="33"/>
      <c r="N13" s="33">
        <f>C35*'E Balans VL '!Y23/100/3.6*1000000</f>
        <v>42.315417978911938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4066.5740709342699</v>
      </c>
      <c r="C15" s="33"/>
      <c r="D15" s="37">
        <f>IF( ISERROR(IND_rest_gas_kWh/1000),0,IND_rest_gas_kWh/1000)*0.902</f>
        <v>16763.710680710894</v>
      </c>
      <c r="E15" s="33">
        <f>C37*'E Balans VL '!I15/100/3.6*1000000</f>
        <v>226.86670563740824</v>
      </c>
      <c r="F15" s="33">
        <f>C37*'E Balans VL '!L15/100/3.6*1000000+C37*'E Balans VL '!N15/100/3.6*1000000</f>
        <v>955.96869950222595</v>
      </c>
      <c r="G15" s="34"/>
      <c r="H15" s="33"/>
      <c r="I15" s="33"/>
      <c r="J15" s="40">
        <f>C37*'E Balans VL '!D15/100/3.6*1000000+C37*'E Balans VL '!E15/100/3.6*1000000</f>
        <v>10.422885075310516</v>
      </c>
      <c r="K15" s="33"/>
      <c r="L15" s="33"/>
      <c r="M15" s="33"/>
      <c r="N15" s="33">
        <f>C37*'E Balans VL '!Y15/100/3.6*1000000</f>
        <v>188.72888937187471</v>
      </c>
      <c r="O15" s="33"/>
      <c r="P15" s="33"/>
      <c r="R15" s="32"/>
    </row>
    <row r="16" spans="1:18">
      <c r="A16" s="16" t="s">
        <v>496</v>
      </c>
      <c r="B16" s="249">
        <f>'lokale energieproductie'!N38+'lokale energieproductie'!N31</f>
        <v>0</v>
      </c>
      <c r="C16" s="249">
        <f>'lokale energieproductie'!O38+'lokale energieproductie'!O31</f>
        <v>0</v>
      </c>
      <c r="D16" s="310">
        <f>('lokale energieproductie'!P31+'lokale energieproductie'!P38)*(-1)</f>
        <v>0</v>
      </c>
      <c r="E16" s="250"/>
      <c r="F16" s="310">
        <f>('lokale energieproductie'!S31+'lokale energieproductie'!S38)*(-1)</f>
        <v>0</v>
      </c>
      <c r="G16" s="251"/>
      <c r="H16" s="250"/>
      <c r="I16" s="250"/>
      <c r="J16" s="250"/>
      <c r="K16" s="250"/>
      <c r="L16" s="310">
        <f>('lokale energieproductie'!T31+'lokale energieproductie'!U31+'lokale energieproductie'!T38+'lokale energieproductie'!U38)*(-1)</f>
        <v>0</v>
      </c>
      <c r="M16" s="250"/>
      <c r="N16" s="310">
        <f>('lokale energieproductie'!Q31+'lokale energieproductie'!R31+'lokale energieproductie'!V31+'lokale energieproductie'!Q38+'lokale energieproductie'!R38+'lokale energieproductie'!V38)*(-1)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14666.528833056409</v>
      </c>
      <c r="C18" s="21">
        <f>C5+C16</f>
        <v>0</v>
      </c>
      <c r="D18" s="21">
        <f>MAX((D5+D16),0)</f>
        <v>18796.903471990205</v>
      </c>
      <c r="E18" s="21">
        <f>MAX((E5+E16),0)</f>
        <v>1954.2847704555643</v>
      </c>
      <c r="F18" s="21">
        <f>MAX((F5+F16),0)</f>
        <v>10930.056530827174</v>
      </c>
      <c r="G18" s="21"/>
      <c r="H18" s="21"/>
      <c r="I18" s="21"/>
      <c r="J18" s="21">
        <f>MAX((J5+J16),0)</f>
        <v>10.623764260779826</v>
      </c>
      <c r="K18" s="21"/>
      <c r="L18" s="21">
        <f>MAX((L5+L16),0)</f>
        <v>0</v>
      </c>
      <c r="M18" s="21"/>
      <c r="N18" s="21">
        <f>MAX((N5+N16),0)</f>
        <v>1933.0893876465257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0.16944677565009642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2485.1960207405796</v>
      </c>
      <c r="C22" s="23">
        <f ca="1">C18*C20</f>
        <v>0</v>
      </c>
      <c r="D22" s="23">
        <f>D18*D20</f>
        <v>3796.9745013420215</v>
      </c>
      <c r="E22" s="23">
        <f>E18*E20</f>
        <v>443.62264289341311</v>
      </c>
      <c r="F22" s="23">
        <f>F18*F20</f>
        <v>2918.3250937308558</v>
      </c>
      <c r="G22" s="23"/>
      <c r="H22" s="23"/>
      <c r="I22" s="23"/>
      <c r="J22" s="23">
        <f>J18*J20</f>
        <v>3.7608125483160579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1088.4374216722799</v>
      </c>
      <c r="C30" s="39">
        <f>IF(ISERROR(B30*3.6/1000000/'E Balans VL '!Z18*100),0,B30*3.6/1000000/'E Balans VL '!Z18*100)</f>
        <v>0.10709946380779307</v>
      </c>
      <c r="D30" s="239" t="s">
        <v>689</v>
      </c>
    </row>
    <row r="31" spans="1:18">
      <c r="A31" s="6" t="s">
        <v>32</v>
      </c>
      <c r="B31" s="37">
        <f>IF( ISERROR(IND_ander_ele_kWh/1000),0,IND_ander_ele_kWh/1000)</f>
        <v>4972.4877064246903</v>
      </c>
      <c r="C31" s="39">
        <f>IF(ISERROR(B31*3.6/1000000/'E Balans VL '!Z19*100),0,B31*3.6/1000000/'E Balans VL '!Z19*100)</f>
        <v>0.21654787310042461</v>
      </c>
      <c r="D31" s="239" t="s">
        <v>689</v>
      </c>
    </row>
    <row r="32" spans="1:18">
      <c r="A32" s="173" t="s">
        <v>40</v>
      </c>
      <c r="B32" s="37">
        <f>IF( ISERROR(IND_voed_ele_kWh/1000),0,IND_voed_ele_kWh/1000)</f>
        <v>4261.91793512206</v>
      </c>
      <c r="C32" s="39">
        <f>IF(ISERROR(B32*3.6/1000000/'E Balans VL '!Z20*100),0,B32*3.6/1000000/'E Balans VL '!Z20*100)</f>
        <v>0.80863746464635189</v>
      </c>
      <c r="D32" s="239" t="s">
        <v>689</v>
      </c>
    </row>
    <row r="33" spans="1:5">
      <c r="A33" s="173" t="s">
        <v>39</v>
      </c>
      <c r="B33" s="37">
        <f>IF( ISERROR(IND_textiel_ele_kWh/1000),0,IND_textiel_ele_kWh/1000)</f>
        <v>21.459961240156801</v>
      </c>
      <c r="C33" s="39">
        <f>IF(ISERROR(B33*3.6/1000000/'E Balans VL '!Z21*100),0,B33*3.6/1000000/'E Balans VL '!Z21*100)</f>
        <v>1.2252549578693761E-3</v>
      </c>
      <c r="D33" s="239" t="s">
        <v>689</v>
      </c>
    </row>
    <row r="34" spans="1:5">
      <c r="A34" s="173" t="s">
        <v>36</v>
      </c>
      <c r="B34" s="37">
        <f>IF( ISERROR(IND_min_ele_kWh/1000),0,IND_min_ele_kWh/1000)</f>
        <v>26.272996652187199</v>
      </c>
      <c r="C34" s="39">
        <f>IF(ISERROR(B34*3.6/1000000/'E Balans VL '!Z22*100),0,B34*3.6/1000000/'E Balans VL '!Z22*100)</f>
        <v>3.6942471545065667E-3</v>
      </c>
      <c r="D34" s="239" t="s">
        <v>689</v>
      </c>
    </row>
    <row r="35" spans="1:5">
      <c r="A35" s="173" t="s">
        <v>38</v>
      </c>
      <c r="B35" s="37">
        <f>IF( ISERROR(IND_papier_ele_kWh/1000),0,IND_papier_ele_kWh/1000)</f>
        <v>229.378741010765</v>
      </c>
      <c r="C35" s="39">
        <f>IF(ISERROR(B35*3.6/1000000/'E Balans VL '!Z22*100),0,B35*3.6/1000000/'E Balans VL '!Z22*100)</f>
        <v>3.2252954335636234E-2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4066.5740709342699</v>
      </c>
      <c r="C37" s="39">
        <f>IF(ISERROR(B37*3.6/1000000/'E Balans VL '!Z15*100),0,B37*3.6/1000000/'E Balans VL '!Z15*100)</f>
        <v>3.1337947999074918E-2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4507.0072644871188</v>
      </c>
      <c r="C5" s="17">
        <f>'Eigen informatie GS &amp; warmtenet'!B60</f>
        <v>0</v>
      </c>
      <c r="D5" s="30">
        <f>IF(ISERROR(SUM(LB_lb_gas_kWh,LB_rest_gas_kWh)/1000),0,SUM(LB_lb_gas_kWh,LB_rest_gas_kWh)/1000)*0.902</f>
        <v>373.73072035868802</v>
      </c>
      <c r="E5" s="17">
        <f>B17*'E Balans VL '!I25/3.6*1000000/100</f>
        <v>56.794097738415466</v>
      </c>
      <c r="F5" s="17">
        <f>B17*('E Balans VL '!L25/3.6*1000000+'E Balans VL '!N25/3.6*1000000)/100</f>
        <v>15550.304135265178</v>
      </c>
      <c r="G5" s="18"/>
      <c r="H5" s="17"/>
      <c r="I5" s="17"/>
      <c r="J5" s="17">
        <f>('E Balans VL '!D25+'E Balans VL '!E25)/3.6*1000000*landbouw!B17/100</f>
        <v>677.80265872849077</v>
      </c>
      <c r="K5" s="17"/>
      <c r="L5" s="17">
        <f>L6*(-1)</f>
        <v>0</v>
      </c>
      <c r="M5" s="17"/>
      <c r="N5" s="17">
        <f>N6*(-1)</f>
        <v>31678.928571428572</v>
      </c>
      <c r="O5" s="17"/>
      <c r="P5" s="17"/>
      <c r="R5" s="32"/>
    </row>
    <row r="6" spans="1:18">
      <c r="A6" s="16" t="s">
        <v>496</v>
      </c>
      <c r="B6" s="17" t="s">
        <v>210</v>
      </c>
      <c r="C6" s="17">
        <f>'lokale energieproductie'!O40+'lokale energieproductie'!O33</f>
        <v>15839.464285714286</v>
      </c>
      <c r="D6" s="310">
        <f>('lokale energieproductie'!P33+'lokale energieproductie'!P40)*(-1)</f>
        <v>0</v>
      </c>
      <c r="E6" s="250"/>
      <c r="F6" s="310">
        <f>('lokale energieproductie'!S33+'lokale energieproductie'!S40)*(-1)</f>
        <v>0</v>
      </c>
      <c r="G6" s="251"/>
      <c r="H6" s="250"/>
      <c r="I6" s="250"/>
      <c r="J6" s="250"/>
      <c r="K6" s="250"/>
      <c r="L6" s="310">
        <f>('lokale energieproductie'!T33+'lokale energieproductie'!U33+'lokale energieproductie'!T40+'lokale energieproductie'!U40)*(-1)</f>
        <v>0</v>
      </c>
      <c r="M6" s="250"/>
      <c r="N6" s="1030">
        <f>('lokale energieproductie'!V33+'lokale energieproductie'!R33+'lokale energieproductie'!Q33+'lokale energieproductie'!Q40+'lokale energieproductie'!R40+'lokale energieproductie'!V40)*(-1)</f>
        <v>-31678.928571428572</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4507.0072644871188</v>
      </c>
      <c r="C8" s="21">
        <f>C5+C6</f>
        <v>15839.464285714286</v>
      </c>
      <c r="D8" s="21">
        <f>MAX((D5+D6),0)</f>
        <v>373.73072035868802</v>
      </c>
      <c r="E8" s="21">
        <f>MAX((E5+E6),0)</f>
        <v>56.794097738415466</v>
      </c>
      <c r="F8" s="21">
        <f>MAX((F5+F6),0)</f>
        <v>15550.304135265178</v>
      </c>
      <c r="G8" s="21"/>
      <c r="H8" s="21"/>
      <c r="I8" s="21"/>
      <c r="J8" s="21">
        <f>MAX((J5+J6),0)</f>
        <v>677.80265872849077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0.16944677565009642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763.69784879890358</v>
      </c>
      <c r="C12" s="23">
        <f ca="1">C8*C10</f>
        <v>0</v>
      </c>
      <c r="D12" s="23">
        <f>D8*D10</f>
        <v>75.493605512454991</v>
      </c>
      <c r="E12" s="23">
        <f>E8*E10</f>
        <v>12.892260186620311</v>
      </c>
      <c r="F12" s="23">
        <f>F8*F10</f>
        <v>4151.9312041158028</v>
      </c>
      <c r="G12" s="23"/>
      <c r="H12" s="23"/>
      <c r="I12" s="23"/>
      <c r="J12" s="23">
        <f>J8*J10</f>
        <v>239.94214118988572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0.62858546077260558</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1136.2992430565562</v>
      </c>
      <c r="C26" s="249">
        <f>B26*'GWP N2O_CH4'!B5</f>
        <v>23862.284104187678</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473.90699251530862</v>
      </c>
      <c r="C27" s="249">
        <f>B27*'GWP N2O_CH4'!B5</f>
        <v>9952.0468428214808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14.824486142594616</v>
      </c>
      <c r="C28" s="249">
        <f>B28*'GWP N2O_CH4'!B4</f>
        <v>4595.5907042043309</v>
      </c>
      <c r="D28" s="50"/>
    </row>
    <row r="29" spans="1:4">
      <c r="A29" s="41" t="s">
        <v>276</v>
      </c>
      <c r="B29" s="249">
        <f>B34*'ha_N2O bodem landbouw'!B4</f>
        <v>27.888914296886682</v>
      </c>
      <c r="C29" s="249">
        <f>B29*'GWP N2O_CH4'!B4</f>
        <v>8645.5634320348709</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6.9635832261231044E-3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3.6105942431178298E-5</v>
      </c>
      <c r="C5" s="444" t="s">
        <v>210</v>
      </c>
      <c r="D5" s="429">
        <f>SUM(D6:D11)</f>
        <v>5.7512824965568515E-5</v>
      </c>
      <c r="E5" s="429">
        <f>SUM(E6:E11)</f>
        <v>2.3497693069743451E-3</v>
      </c>
      <c r="F5" s="442" t="s">
        <v>210</v>
      </c>
      <c r="G5" s="429">
        <f>SUM(G6:G11)</f>
        <v>0.75793513373469712</v>
      </c>
      <c r="H5" s="429">
        <f>SUM(H6:H11)</f>
        <v>0.10825005232991729</v>
      </c>
      <c r="I5" s="444" t="s">
        <v>210</v>
      </c>
      <c r="J5" s="444" t="s">
        <v>210</v>
      </c>
      <c r="K5" s="444" t="s">
        <v>210</v>
      </c>
      <c r="L5" s="444" t="s">
        <v>210</v>
      </c>
      <c r="M5" s="429">
        <f>SUM(M6:M11)</f>
        <v>3.9156013799993783E-2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8.6731944310274998E-6</v>
      </c>
      <c r="C6" s="883"/>
      <c r="D6" s="883">
        <f>vkm_GW_PW*SUMIFS(TableVerdeelsleutelVkm[CNG],TableVerdeelsleutelVkm[Voertuigtype],"Lichte voertuigen")*SUMIFS(TableECFTransport[EnergieConsumptieFactor (PJ per km)],TableECFTransport[Index],CONCATENATE($A6,"_CNG_CNG"))</f>
        <v>1.2853415810275391E-5</v>
      </c>
      <c r="E6" s="883">
        <f>vkm_GW_PW*SUMIFS(TableVerdeelsleutelVkm[LPG],TableVerdeelsleutelVkm[Voertuigtype],"Lichte voertuigen")*SUMIFS(TableECFTransport[EnergieConsumptieFactor (PJ per km)],TableECFTransport[Index],CONCATENATE($A6,"_LPG_LPG"))</f>
        <v>4.6036238745494543E-4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9.2649315373334346E-2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2.3668591890983196E-2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5.2621578474983622E-3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4.7200215906254381E-2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1.0966661122011575E-6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2.1311634216037213E-3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3.9384669603098498E-6</v>
      </c>
      <c r="C8" s="883"/>
      <c r="D8" s="432">
        <f>vkm_NGW_PW*SUMIFS(TableVerdeelsleutelVkm[CNG],TableVerdeelsleutelVkm[Voertuigtype],"Lichte voertuigen")*SUMIFS(TableECFTransport[EnergieConsumptieFactor (PJ per km)],TableECFTransport[Index],CONCATENATE($A8,"_CNG_CNG"))</f>
        <v>9.9050108804440279E-6</v>
      </c>
      <c r="E8" s="432">
        <f>vkm_NGW_PW*SUMIFS(TableVerdeelsleutelVkm[LPG],TableVerdeelsleutelVkm[Voertuigtype],"Lichte voertuigen")*SUMIFS(TableECFTransport[EnergieConsumptieFactor (PJ per km)],TableECFTransport[Index],CONCATENATE($A8,"_LPG_LPG"))</f>
        <v>3.3544926959582725E-4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6.412920046835574E-2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1.7526377239719892E-2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3.6944514028184453E-3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3.1403785184600942E-2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8.4572650269145852E-7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1.4179352101506499E-3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2.3494281039840951E-5</v>
      </c>
      <c r="C10" s="883"/>
      <c r="D10" s="432">
        <f>vkm_SW_PW*SUMIFS(TableVerdeelsleutelVkm[CNG],TableVerdeelsleutelVkm[Voertuigtype],"Lichte voertuigen")*SUMIFS(TableECFTransport[EnergieConsumptieFactor (PJ per km)],TableECFTransport[Index],CONCATENATE($A10,"_CNG_CNG"))</f>
        <v>3.4754398274849095E-5</v>
      </c>
      <c r="E10" s="432">
        <f>vkm_SW_PW*SUMIFS(TableVerdeelsleutelVkm[LPG],TableVerdeelsleutelVkm[Voertuigtype],"Lichte voertuigen")*SUMIFS(TableECFTransport[EnergieConsumptieFactor (PJ per km)],TableECFTransport[Index],CONCATENATE($A10,"_LPG_LPG"))</f>
        <v>1.5539576499235723E-3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0.28350754429118719</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6.7047216429210896E-2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1.5857030893508824E-2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0.23904507251096452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5.9243773884083699E-6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1.0793275024413785E-2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10.029428453105083</v>
      </c>
      <c r="C14" s="21"/>
      <c r="D14" s="21">
        <f t="shared" ref="D14:M14" si="0">((D5)*10^9/3600)+D12</f>
        <v>15.975784712657921</v>
      </c>
      <c r="E14" s="21">
        <f t="shared" si="0"/>
        <v>652.71369638176247</v>
      </c>
      <c r="F14" s="21"/>
      <c r="G14" s="21">
        <f t="shared" si="0"/>
        <v>210537.53714852699</v>
      </c>
      <c r="H14" s="21">
        <f t="shared" si="0"/>
        <v>30069.458980532578</v>
      </c>
      <c r="I14" s="21"/>
      <c r="J14" s="21"/>
      <c r="K14" s="21"/>
      <c r="L14" s="21"/>
      <c r="M14" s="21">
        <f t="shared" si="0"/>
        <v>10876.670499998274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0.16944677565009642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1.6994543129919906</v>
      </c>
      <c r="C18" s="23"/>
      <c r="D18" s="23">
        <f t="shared" ref="D18:M18" si="1">D14*D16</f>
        <v>3.2271085119569003</v>
      </c>
      <c r="E18" s="23">
        <f t="shared" si="1"/>
        <v>148.1660090786601</v>
      </c>
      <c r="F18" s="23"/>
      <c r="G18" s="23">
        <f t="shared" si="1"/>
        <v>56213.522418656707</v>
      </c>
      <c r="H18" s="23">
        <f t="shared" si="1"/>
        <v>7487.2952861526119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3.6692690142134839E-3</v>
      </c>
      <c r="H50" s="321">
        <f t="shared" si="2"/>
        <v>0</v>
      </c>
      <c r="I50" s="321">
        <f t="shared" si="2"/>
        <v>0</v>
      </c>
      <c r="J50" s="321">
        <f t="shared" si="2"/>
        <v>0</v>
      </c>
      <c r="K50" s="321">
        <f t="shared" si="2"/>
        <v>0</v>
      </c>
      <c r="L50" s="321">
        <f t="shared" si="2"/>
        <v>0</v>
      </c>
      <c r="M50" s="321">
        <f t="shared" si="2"/>
        <v>1.6332219938021875E-4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3.6692690142134839E-3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1.6332219938021875E-4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1019.2413928370788</v>
      </c>
      <c r="H54" s="21">
        <f t="shared" si="3"/>
        <v>0</v>
      </c>
      <c r="I54" s="21">
        <f t="shared" si="3"/>
        <v>0</v>
      </c>
      <c r="J54" s="21">
        <f t="shared" si="3"/>
        <v>0</v>
      </c>
      <c r="K54" s="21">
        <f t="shared" si="3"/>
        <v>0</v>
      </c>
      <c r="L54" s="21">
        <f t="shared" si="3"/>
        <v>0</v>
      </c>
      <c r="M54" s="21">
        <f t="shared" si="3"/>
        <v>45.367277605616323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0.16944677565009642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272.13745188750005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21342.122033538002</v>
      </c>
      <c r="D10" s="686">
        <f ca="1">tertiair!C16</f>
        <v>0</v>
      </c>
      <c r="E10" s="686">
        <f ca="1">tertiair!D16</f>
        <v>48924.896510063962</v>
      </c>
      <c r="F10" s="686">
        <f>tertiair!E16</f>
        <v>261.5212123176567</v>
      </c>
      <c r="G10" s="686">
        <f ca="1">tertiair!F16</f>
        <v>4408.2532906526994</v>
      </c>
      <c r="H10" s="686">
        <f>tertiair!G16</f>
        <v>0</v>
      </c>
      <c r="I10" s="686">
        <f>tertiair!H16</f>
        <v>0</v>
      </c>
      <c r="J10" s="686">
        <f>tertiair!I16</f>
        <v>0</v>
      </c>
      <c r="K10" s="686">
        <f>tertiair!J16</f>
        <v>0</v>
      </c>
      <c r="L10" s="686">
        <f>tertiair!K16</f>
        <v>0</v>
      </c>
      <c r="M10" s="686">
        <f ca="1">tertiair!L16</f>
        <v>0</v>
      </c>
      <c r="N10" s="686">
        <f>tertiair!M16</f>
        <v>0</v>
      </c>
      <c r="O10" s="686">
        <f ca="1">tertiair!N16</f>
        <v>3892.1099823483878</v>
      </c>
      <c r="P10" s="686">
        <f>tertiair!O16</f>
        <v>1.5633333333333335</v>
      </c>
      <c r="Q10" s="687">
        <f>tertiair!P16</f>
        <v>76.266666666666666</v>
      </c>
      <c r="R10" s="689">
        <f ca="1">SUM(C10:Q10)</f>
        <v>78906.733028920717</v>
      </c>
      <c r="S10" s="67"/>
    </row>
    <row r="11" spans="1:19" s="454" customFormat="1">
      <c r="A11" s="801" t="s">
        <v>224</v>
      </c>
      <c r="B11" s="806"/>
      <c r="C11" s="686">
        <f>huishoudens!B8</f>
        <v>30746.085513589758</v>
      </c>
      <c r="D11" s="686">
        <f>huishoudens!C8</f>
        <v>0</v>
      </c>
      <c r="E11" s="686">
        <f>huishoudens!D8</f>
        <v>51344.820102483507</v>
      </c>
      <c r="F11" s="686">
        <f>huishoudens!E8</f>
        <v>9406.7018390881294</v>
      </c>
      <c r="G11" s="686">
        <f>huishoudens!F8</f>
        <v>19712.518825965199</v>
      </c>
      <c r="H11" s="686">
        <f>huishoudens!G8</f>
        <v>0</v>
      </c>
      <c r="I11" s="686">
        <f>huishoudens!H8</f>
        <v>0</v>
      </c>
      <c r="J11" s="686">
        <f>huishoudens!I8</f>
        <v>0</v>
      </c>
      <c r="K11" s="686">
        <f>huishoudens!J8</f>
        <v>4335.5476840397278</v>
      </c>
      <c r="L11" s="686">
        <f>huishoudens!K8</f>
        <v>0</v>
      </c>
      <c r="M11" s="686">
        <f>huishoudens!L8</f>
        <v>0</v>
      </c>
      <c r="N11" s="686">
        <f>huishoudens!M8</f>
        <v>0</v>
      </c>
      <c r="O11" s="686">
        <f>huishoudens!N8</f>
        <v>28992.95825869152</v>
      </c>
      <c r="P11" s="686">
        <f>huishoudens!O8</f>
        <v>378.32666666666671</v>
      </c>
      <c r="Q11" s="687">
        <f>huishoudens!P8</f>
        <v>705.4666666666667</v>
      </c>
      <c r="R11" s="689">
        <f>SUM(C11:Q11)</f>
        <v>145622.42555719116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14666.528833056409</v>
      </c>
      <c r="D13" s="686">
        <f>industrie!C18</f>
        <v>0</v>
      </c>
      <c r="E13" s="686">
        <f>industrie!D18</f>
        <v>18796.903471990205</v>
      </c>
      <c r="F13" s="686">
        <f>industrie!E18</f>
        <v>1954.2847704555643</v>
      </c>
      <c r="G13" s="686">
        <f>industrie!F18</f>
        <v>10930.056530827174</v>
      </c>
      <c r="H13" s="686">
        <f>industrie!G18</f>
        <v>0</v>
      </c>
      <c r="I13" s="686">
        <f>industrie!H18</f>
        <v>0</v>
      </c>
      <c r="J13" s="686">
        <f>industrie!I18</f>
        <v>0</v>
      </c>
      <c r="K13" s="686">
        <f>industrie!J18</f>
        <v>10.623764260779826</v>
      </c>
      <c r="L13" s="686">
        <f>industrie!K18</f>
        <v>0</v>
      </c>
      <c r="M13" s="686">
        <f>industrie!L18</f>
        <v>0</v>
      </c>
      <c r="N13" s="686">
        <f>industrie!M18</f>
        <v>0</v>
      </c>
      <c r="O13" s="686">
        <f>industrie!N18</f>
        <v>1933.0893876465257</v>
      </c>
      <c r="P13" s="686">
        <f>industrie!O18</f>
        <v>0</v>
      </c>
      <c r="Q13" s="687">
        <f>industrie!P18</f>
        <v>0</v>
      </c>
      <c r="R13" s="689">
        <f>SUM(C13:Q13)</f>
        <v>48291.486758236664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66754.736380184171</v>
      </c>
      <c r="D16" s="721">
        <f t="shared" ref="D16:R16" ca="1" si="0">SUM(D9:D15)</f>
        <v>0</v>
      </c>
      <c r="E16" s="721">
        <f t="shared" ca="1" si="0"/>
        <v>119066.62008453766</v>
      </c>
      <c r="F16" s="721">
        <f t="shared" si="0"/>
        <v>11622.507821861351</v>
      </c>
      <c r="G16" s="721">
        <f t="shared" ca="1" si="0"/>
        <v>35050.828647445072</v>
      </c>
      <c r="H16" s="721">
        <f t="shared" si="0"/>
        <v>0</v>
      </c>
      <c r="I16" s="721">
        <f t="shared" si="0"/>
        <v>0</v>
      </c>
      <c r="J16" s="721">
        <f t="shared" si="0"/>
        <v>0</v>
      </c>
      <c r="K16" s="721">
        <f t="shared" si="0"/>
        <v>4346.171448300508</v>
      </c>
      <c r="L16" s="721">
        <f t="shared" si="0"/>
        <v>0</v>
      </c>
      <c r="M16" s="721">
        <f t="shared" ca="1" si="0"/>
        <v>0</v>
      </c>
      <c r="N16" s="721">
        <f t="shared" si="0"/>
        <v>0</v>
      </c>
      <c r="O16" s="721">
        <f t="shared" ca="1" si="0"/>
        <v>34818.157628686437</v>
      </c>
      <c r="P16" s="721">
        <f t="shared" si="0"/>
        <v>379.89000000000004</v>
      </c>
      <c r="Q16" s="721">
        <f t="shared" si="0"/>
        <v>781.73333333333335</v>
      </c>
      <c r="R16" s="721">
        <f t="shared" ca="1" si="0"/>
        <v>272820.64534434857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1019.2413928370788</v>
      </c>
      <c r="I19" s="686">
        <f>transport!H54</f>
        <v>0</v>
      </c>
      <c r="J19" s="686">
        <f>transport!I54</f>
        <v>0</v>
      </c>
      <c r="K19" s="686">
        <f>transport!J54</f>
        <v>0</v>
      </c>
      <c r="L19" s="686">
        <f>transport!K54</f>
        <v>0</v>
      </c>
      <c r="M19" s="686">
        <f>transport!L54</f>
        <v>0</v>
      </c>
      <c r="N19" s="686">
        <f>transport!M54</f>
        <v>45.367277605616323</v>
      </c>
      <c r="O19" s="686">
        <f>transport!N54</f>
        <v>0</v>
      </c>
      <c r="P19" s="686">
        <f>transport!O54</f>
        <v>0</v>
      </c>
      <c r="Q19" s="687">
        <f>transport!P54</f>
        <v>0</v>
      </c>
      <c r="R19" s="689">
        <f>SUM(C19:Q19)</f>
        <v>1064.6086704426953</v>
      </c>
      <c r="S19" s="67"/>
    </row>
    <row r="20" spans="1:19" s="454" customFormat="1">
      <c r="A20" s="801" t="s">
        <v>306</v>
      </c>
      <c r="B20" s="806"/>
      <c r="C20" s="686">
        <f>transport!B14</f>
        <v>10.029428453105083</v>
      </c>
      <c r="D20" s="686">
        <f>transport!C14</f>
        <v>0</v>
      </c>
      <c r="E20" s="686">
        <f>transport!D14</f>
        <v>15.975784712657921</v>
      </c>
      <c r="F20" s="686">
        <f>transport!E14</f>
        <v>652.71369638176247</v>
      </c>
      <c r="G20" s="686">
        <f>transport!F14</f>
        <v>0</v>
      </c>
      <c r="H20" s="686">
        <f>transport!G14</f>
        <v>210537.53714852699</v>
      </c>
      <c r="I20" s="686">
        <f>transport!H14</f>
        <v>30069.458980532578</v>
      </c>
      <c r="J20" s="686">
        <f>transport!I14</f>
        <v>0</v>
      </c>
      <c r="K20" s="686">
        <f>transport!J14</f>
        <v>0</v>
      </c>
      <c r="L20" s="686">
        <f>transport!K14</f>
        <v>0</v>
      </c>
      <c r="M20" s="686">
        <f>transport!L14</f>
        <v>0</v>
      </c>
      <c r="N20" s="686">
        <f>transport!M14</f>
        <v>10876.670499998274</v>
      </c>
      <c r="O20" s="686">
        <f>transport!N14</f>
        <v>0</v>
      </c>
      <c r="P20" s="686">
        <f>transport!O14</f>
        <v>0</v>
      </c>
      <c r="Q20" s="687">
        <f>transport!P14</f>
        <v>0</v>
      </c>
      <c r="R20" s="689">
        <f>SUM(C20:Q20)</f>
        <v>252162.38553860533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10.029428453105083</v>
      </c>
      <c r="D22" s="804">
        <f t="shared" ref="D22:R22" si="1">SUM(D18:D21)</f>
        <v>0</v>
      </c>
      <c r="E22" s="804">
        <f t="shared" si="1"/>
        <v>15.975784712657921</v>
      </c>
      <c r="F22" s="804">
        <f t="shared" si="1"/>
        <v>652.71369638176247</v>
      </c>
      <c r="G22" s="804">
        <f t="shared" si="1"/>
        <v>0</v>
      </c>
      <c r="H22" s="804">
        <f t="shared" si="1"/>
        <v>211556.77854136407</v>
      </c>
      <c r="I22" s="804">
        <f t="shared" si="1"/>
        <v>30069.458980532578</v>
      </c>
      <c r="J22" s="804">
        <f t="shared" si="1"/>
        <v>0</v>
      </c>
      <c r="K22" s="804">
        <f t="shared" si="1"/>
        <v>0</v>
      </c>
      <c r="L22" s="804">
        <f t="shared" si="1"/>
        <v>0</v>
      </c>
      <c r="M22" s="804">
        <f t="shared" si="1"/>
        <v>0</v>
      </c>
      <c r="N22" s="804">
        <f t="shared" si="1"/>
        <v>10922.037777603889</v>
      </c>
      <c r="O22" s="804">
        <f t="shared" si="1"/>
        <v>0</v>
      </c>
      <c r="P22" s="804">
        <f t="shared" si="1"/>
        <v>0</v>
      </c>
      <c r="Q22" s="804">
        <f t="shared" si="1"/>
        <v>0</v>
      </c>
      <c r="R22" s="804">
        <f t="shared" si="1"/>
        <v>253226.99420904802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4507.0072644871188</v>
      </c>
      <c r="D24" s="686">
        <f>+landbouw!C8</f>
        <v>15839.464285714286</v>
      </c>
      <c r="E24" s="686">
        <f>+landbouw!D8</f>
        <v>373.73072035868802</v>
      </c>
      <c r="F24" s="686">
        <f>+landbouw!E8</f>
        <v>56.794097738415466</v>
      </c>
      <c r="G24" s="686">
        <f>+landbouw!F8</f>
        <v>15550.304135265178</v>
      </c>
      <c r="H24" s="686">
        <f>+landbouw!G8</f>
        <v>0</v>
      </c>
      <c r="I24" s="686">
        <f>+landbouw!H8</f>
        <v>0</v>
      </c>
      <c r="J24" s="686">
        <f>+landbouw!I8</f>
        <v>0</v>
      </c>
      <c r="K24" s="686">
        <f>+landbouw!J8</f>
        <v>677.80265872849077</v>
      </c>
      <c r="L24" s="686">
        <f>+landbouw!K8</f>
        <v>0</v>
      </c>
      <c r="M24" s="686">
        <f>+landbouw!L8</f>
        <v>0</v>
      </c>
      <c r="N24" s="686">
        <f>+landbouw!M8</f>
        <v>0</v>
      </c>
      <c r="O24" s="686">
        <f>+landbouw!N8</f>
        <v>0</v>
      </c>
      <c r="P24" s="686">
        <f>+landbouw!O8</f>
        <v>0</v>
      </c>
      <c r="Q24" s="687">
        <f>+landbouw!P8</f>
        <v>0</v>
      </c>
      <c r="R24" s="689">
        <f>SUM(C24:Q24)</f>
        <v>37005.10316229218</v>
      </c>
      <c r="S24" s="67"/>
    </row>
    <row r="25" spans="1:19" s="454" customFormat="1" ht="15" thickBot="1">
      <c r="A25" s="823" t="s">
        <v>856</v>
      </c>
      <c r="B25" s="991"/>
      <c r="C25" s="992">
        <f>IF(Onbekend_ele_kWh="---",0,Onbekend_ele_kWh)/1000+IF(REST_rest_ele_kWh="---",0,REST_rest_ele_kWh)/1000</f>
        <v>1121.0538676332101</v>
      </c>
      <c r="D25" s="992"/>
      <c r="E25" s="992">
        <f>IF(onbekend_gas_kWh="---",0,onbekend_gas_kWh)/1000+IF(REST_rest_gas_kWh="---",0,REST_rest_gas_kWh)/1000</f>
        <v>2121.0443898816202</v>
      </c>
      <c r="F25" s="992"/>
      <c r="G25" s="992"/>
      <c r="H25" s="992"/>
      <c r="I25" s="992"/>
      <c r="J25" s="992"/>
      <c r="K25" s="992"/>
      <c r="L25" s="992"/>
      <c r="M25" s="992"/>
      <c r="N25" s="992"/>
      <c r="O25" s="992"/>
      <c r="P25" s="992"/>
      <c r="Q25" s="993"/>
      <c r="R25" s="689">
        <f>SUM(C25:Q25)</f>
        <v>3242.09825751483</v>
      </c>
      <c r="S25" s="67"/>
    </row>
    <row r="26" spans="1:19" s="454" customFormat="1" ht="15.75" thickBot="1">
      <c r="A26" s="694" t="s">
        <v>857</v>
      </c>
      <c r="B26" s="809"/>
      <c r="C26" s="804">
        <f>SUM(C24:C25)</f>
        <v>5628.0611321203287</v>
      </c>
      <c r="D26" s="804">
        <f t="shared" ref="D26:R26" si="2">SUM(D24:D25)</f>
        <v>15839.464285714286</v>
      </c>
      <c r="E26" s="804">
        <f t="shared" si="2"/>
        <v>2494.7751102403081</v>
      </c>
      <c r="F26" s="804">
        <f t="shared" si="2"/>
        <v>56.794097738415466</v>
      </c>
      <c r="G26" s="804">
        <f t="shared" si="2"/>
        <v>15550.304135265178</v>
      </c>
      <c r="H26" s="804">
        <f t="shared" si="2"/>
        <v>0</v>
      </c>
      <c r="I26" s="804">
        <f t="shared" si="2"/>
        <v>0</v>
      </c>
      <c r="J26" s="804">
        <f t="shared" si="2"/>
        <v>0</v>
      </c>
      <c r="K26" s="804">
        <f t="shared" si="2"/>
        <v>677.80265872849077</v>
      </c>
      <c r="L26" s="804">
        <f t="shared" si="2"/>
        <v>0</v>
      </c>
      <c r="M26" s="804">
        <f t="shared" si="2"/>
        <v>0</v>
      </c>
      <c r="N26" s="804">
        <f t="shared" si="2"/>
        <v>0</v>
      </c>
      <c r="O26" s="804">
        <f t="shared" si="2"/>
        <v>0</v>
      </c>
      <c r="P26" s="804">
        <f t="shared" si="2"/>
        <v>0</v>
      </c>
      <c r="Q26" s="804">
        <f t="shared" si="2"/>
        <v>0</v>
      </c>
      <c r="R26" s="804">
        <f t="shared" si="2"/>
        <v>40247.20141980701</v>
      </c>
      <c r="S26" s="67"/>
    </row>
    <row r="27" spans="1:19" s="454" customFormat="1" ht="17.25" thickTop="1" thickBot="1">
      <c r="A27" s="695" t="s">
        <v>115</v>
      </c>
      <c r="B27" s="796"/>
      <c r="C27" s="696">
        <f ca="1">C22+C16+C26</f>
        <v>72392.826940757615</v>
      </c>
      <c r="D27" s="696">
        <f t="shared" ref="D27:R27" ca="1" si="3">D22+D16+D26</f>
        <v>15839.464285714286</v>
      </c>
      <c r="E27" s="696">
        <f t="shared" ca="1" si="3"/>
        <v>121577.37097949063</v>
      </c>
      <c r="F27" s="696">
        <f t="shared" si="3"/>
        <v>12332.015615981529</v>
      </c>
      <c r="G27" s="696">
        <f t="shared" ca="1" si="3"/>
        <v>50601.13278271025</v>
      </c>
      <c r="H27" s="696">
        <f t="shared" si="3"/>
        <v>211556.77854136407</v>
      </c>
      <c r="I27" s="696">
        <f t="shared" si="3"/>
        <v>30069.458980532578</v>
      </c>
      <c r="J27" s="696">
        <f t="shared" si="3"/>
        <v>0</v>
      </c>
      <c r="K27" s="696">
        <f t="shared" si="3"/>
        <v>5023.9741070289983</v>
      </c>
      <c r="L27" s="696">
        <f t="shared" si="3"/>
        <v>0</v>
      </c>
      <c r="M27" s="696">
        <f t="shared" ca="1" si="3"/>
        <v>0</v>
      </c>
      <c r="N27" s="696">
        <f t="shared" si="3"/>
        <v>10922.037777603889</v>
      </c>
      <c r="O27" s="696">
        <f t="shared" ca="1" si="3"/>
        <v>34818.157628686437</v>
      </c>
      <c r="P27" s="696">
        <f t="shared" si="3"/>
        <v>379.89000000000004</v>
      </c>
      <c r="Q27" s="696">
        <f t="shared" si="3"/>
        <v>781.73333333333335</v>
      </c>
      <c r="R27" s="696">
        <f t="shared" ca="1" si="3"/>
        <v>566294.84097320365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3616.3537641138932</v>
      </c>
      <c r="D40" s="686">
        <f ca="1">tertiair!C20</f>
        <v>0</v>
      </c>
      <c r="E40" s="686">
        <f ca="1">tertiair!D20</f>
        <v>9882.829095032921</v>
      </c>
      <c r="F40" s="686">
        <f>tertiair!E20</f>
        <v>59.365315196108071</v>
      </c>
      <c r="G40" s="686">
        <f ca="1">tertiair!F20</f>
        <v>1177.0036286042707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14735.551802947193</v>
      </c>
    </row>
    <row r="41" spans="1:18">
      <c r="A41" s="814" t="s">
        <v>224</v>
      </c>
      <c r="B41" s="821"/>
      <c r="C41" s="686">
        <f ca="1">huishoudens!B12</f>
        <v>5209.8250541399229</v>
      </c>
      <c r="D41" s="686">
        <f ca="1">huishoudens!C12</f>
        <v>0</v>
      </c>
      <c r="E41" s="686">
        <f>huishoudens!D12</f>
        <v>10371.65366070167</v>
      </c>
      <c r="F41" s="686">
        <f>huishoudens!E12</f>
        <v>2135.3213174730054</v>
      </c>
      <c r="G41" s="686">
        <f>huishoudens!F12</f>
        <v>5263.2425265327083</v>
      </c>
      <c r="H41" s="686">
        <f>huishoudens!G12</f>
        <v>0</v>
      </c>
      <c r="I41" s="686">
        <f>huishoudens!H12</f>
        <v>0</v>
      </c>
      <c r="J41" s="686">
        <f>huishoudens!I12</f>
        <v>0</v>
      </c>
      <c r="K41" s="686">
        <f>huishoudens!J12</f>
        <v>1534.7838801500636</v>
      </c>
      <c r="L41" s="686">
        <f>huishoudens!K12</f>
        <v>0</v>
      </c>
      <c r="M41" s="686">
        <f>huishoudens!L12</f>
        <v>0</v>
      </c>
      <c r="N41" s="686">
        <f>huishoudens!M12</f>
        <v>0</v>
      </c>
      <c r="O41" s="686">
        <f>huishoudens!N12</f>
        <v>0</v>
      </c>
      <c r="P41" s="686">
        <f>huishoudens!O12</f>
        <v>0</v>
      </c>
      <c r="Q41" s="763">
        <f>huishoudens!P12</f>
        <v>0</v>
      </c>
      <c r="R41" s="842">
        <f t="shared" ca="1" si="4"/>
        <v>24514.826438997366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2485.1960207405796</v>
      </c>
      <c r="D43" s="686">
        <f ca="1">industrie!C22</f>
        <v>0</v>
      </c>
      <c r="E43" s="686">
        <f>industrie!D22</f>
        <v>3796.9745013420215</v>
      </c>
      <c r="F43" s="686">
        <f>industrie!E22</f>
        <v>443.62264289341311</v>
      </c>
      <c r="G43" s="686">
        <f>industrie!F22</f>
        <v>2918.3250937308558</v>
      </c>
      <c r="H43" s="686">
        <f>industrie!G22</f>
        <v>0</v>
      </c>
      <c r="I43" s="686">
        <f>industrie!H22</f>
        <v>0</v>
      </c>
      <c r="J43" s="686">
        <f>industrie!I22</f>
        <v>0</v>
      </c>
      <c r="K43" s="686">
        <f>industrie!J22</f>
        <v>3.7608125483160579</v>
      </c>
      <c r="L43" s="686">
        <f>industrie!K22</f>
        <v>0</v>
      </c>
      <c r="M43" s="686">
        <f>industrie!L22</f>
        <v>0</v>
      </c>
      <c r="N43" s="686">
        <f>industrie!M22</f>
        <v>0</v>
      </c>
      <c r="O43" s="686">
        <f>industrie!N22</f>
        <v>0</v>
      </c>
      <c r="P43" s="686">
        <f>industrie!O22</f>
        <v>0</v>
      </c>
      <c r="Q43" s="763">
        <f>industrie!P22</f>
        <v>0</v>
      </c>
      <c r="R43" s="841">
        <f t="shared" ca="1" si="4"/>
        <v>9647.8790712551854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11311.374838994396</v>
      </c>
      <c r="D46" s="721">
        <f t="shared" ref="D46:Q46" ca="1" si="5">SUM(D39:D45)</f>
        <v>0</v>
      </c>
      <c r="E46" s="721">
        <f t="shared" ca="1" si="5"/>
        <v>24051.457257076614</v>
      </c>
      <c r="F46" s="721">
        <f t="shared" si="5"/>
        <v>2638.3092755625266</v>
      </c>
      <c r="G46" s="721">
        <f t="shared" ca="1" si="5"/>
        <v>9358.5712488678346</v>
      </c>
      <c r="H46" s="721">
        <f t="shared" si="5"/>
        <v>0</v>
      </c>
      <c r="I46" s="721">
        <f t="shared" si="5"/>
        <v>0</v>
      </c>
      <c r="J46" s="721">
        <f t="shared" si="5"/>
        <v>0</v>
      </c>
      <c r="K46" s="721">
        <f t="shared" si="5"/>
        <v>1538.5446926983798</v>
      </c>
      <c r="L46" s="721">
        <f t="shared" si="5"/>
        <v>0</v>
      </c>
      <c r="M46" s="721">
        <f t="shared" ca="1" si="5"/>
        <v>0</v>
      </c>
      <c r="N46" s="721">
        <f t="shared" si="5"/>
        <v>0</v>
      </c>
      <c r="O46" s="721">
        <f t="shared" ca="1" si="5"/>
        <v>0</v>
      </c>
      <c r="P46" s="721">
        <f t="shared" si="5"/>
        <v>0</v>
      </c>
      <c r="Q46" s="721">
        <f t="shared" si="5"/>
        <v>0</v>
      </c>
      <c r="R46" s="721">
        <f ca="1">SUM(R39:R45)</f>
        <v>48898.257313199749</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272.13745188750005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272.13745188750005</v>
      </c>
    </row>
    <row r="50" spans="1:18">
      <c r="A50" s="817" t="s">
        <v>306</v>
      </c>
      <c r="B50" s="827"/>
      <c r="C50" s="692">
        <f ca="1">transport!B18</f>
        <v>1.6994543129919906</v>
      </c>
      <c r="D50" s="692">
        <f>transport!C18</f>
        <v>0</v>
      </c>
      <c r="E50" s="692">
        <f>transport!D18</f>
        <v>3.2271085119569003</v>
      </c>
      <c r="F50" s="692">
        <f>transport!E18</f>
        <v>148.1660090786601</v>
      </c>
      <c r="G50" s="692">
        <f>transport!F18</f>
        <v>0</v>
      </c>
      <c r="H50" s="692">
        <f>transport!G18</f>
        <v>56213.522418656707</v>
      </c>
      <c r="I50" s="692">
        <f>transport!H18</f>
        <v>7487.2952861526119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63853.91027671293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1.6994543129919906</v>
      </c>
      <c r="D52" s="721">
        <f t="shared" ref="D52:Q52" ca="1" si="6">SUM(D48:D51)</f>
        <v>0</v>
      </c>
      <c r="E52" s="721">
        <f t="shared" si="6"/>
        <v>3.2271085119569003</v>
      </c>
      <c r="F52" s="721">
        <f t="shared" si="6"/>
        <v>148.1660090786601</v>
      </c>
      <c r="G52" s="721">
        <f t="shared" si="6"/>
        <v>0</v>
      </c>
      <c r="H52" s="721">
        <f t="shared" si="6"/>
        <v>56485.659870544208</v>
      </c>
      <c r="I52" s="721">
        <f t="shared" si="6"/>
        <v>7487.2952861526119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64126.047728600432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763.69784879890358</v>
      </c>
      <c r="D54" s="692">
        <f ca="1">+landbouw!C12</f>
        <v>0</v>
      </c>
      <c r="E54" s="692">
        <f>+landbouw!D12</f>
        <v>75.493605512454991</v>
      </c>
      <c r="F54" s="692">
        <f>+landbouw!E12</f>
        <v>12.892260186620311</v>
      </c>
      <c r="G54" s="692">
        <f>+landbouw!F12</f>
        <v>4151.9312041158028</v>
      </c>
      <c r="H54" s="692">
        <f>+landbouw!G12</f>
        <v>0</v>
      </c>
      <c r="I54" s="692">
        <f>+landbouw!H12</f>
        <v>0</v>
      </c>
      <c r="J54" s="692">
        <f>+landbouw!I12</f>
        <v>0</v>
      </c>
      <c r="K54" s="692">
        <f>+landbouw!J12</f>
        <v>239.94214118988572</v>
      </c>
      <c r="L54" s="692">
        <f>+landbouw!K12</f>
        <v>0</v>
      </c>
      <c r="M54" s="692">
        <f>+landbouw!L12</f>
        <v>0</v>
      </c>
      <c r="N54" s="692">
        <f>+landbouw!M12</f>
        <v>0</v>
      </c>
      <c r="O54" s="692">
        <f>+landbouw!N12</f>
        <v>0</v>
      </c>
      <c r="P54" s="692">
        <f>+landbouw!O12</f>
        <v>0</v>
      </c>
      <c r="Q54" s="693">
        <f>+landbouw!P12</f>
        <v>0</v>
      </c>
      <c r="R54" s="720">
        <f ca="1">SUM(C54:Q54)</f>
        <v>5243.9570598036671</v>
      </c>
    </row>
    <row r="55" spans="1:18" ht="15" thickBot="1">
      <c r="A55" s="817" t="s">
        <v>856</v>
      </c>
      <c r="B55" s="827"/>
      <c r="C55" s="692">
        <f ca="1">C25*'EF ele_warmte'!B12</f>
        <v>189.95896320051742</v>
      </c>
      <c r="D55" s="692"/>
      <c r="E55" s="692">
        <f>E25*EF_CO2_aardgas</f>
        <v>428.45096675608733</v>
      </c>
      <c r="F55" s="692"/>
      <c r="G55" s="692"/>
      <c r="H55" s="692"/>
      <c r="I55" s="692"/>
      <c r="J55" s="692"/>
      <c r="K55" s="692"/>
      <c r="L55" s="692"/>
      <c r="M55" s="692"/>
      <c r="N55" s="692"/>
      <c r="O55" s="692"/>
      <c r="P55" s="692"/>
      <c r="Q55" s="693"/>
      <c r="R55" s="720">
        <f ca="1">SUM(C55:Q55)</f>
        <v>618.40992995660474</v>
      </c>
    </row>
    <row r="56" spans="1:18" ht="15.75" thickBot="1">
      <c r="A56" s="815" t="s">
        <v>857</v>
      </c>
      <c r="B56" s="828"/>
      <c r="C56" s="721">
        <f ca="1">SUM(C54:C55)</f>
        <v>953.65681199942105</v>
      </c>
      <c r="D56" s="721">
        <f t="shared" ref="D56:Q56" ca="1" si="7">SUM(D54:D55)</f>
        <v>0</v>
      </c>
      <c r="E56" s="721">
        <f t="shared" si="7"/>
        <v>503.94457226854229</v>
      </c>
      <c r="F56" s="721">
        <f t="shared" si="7"/>
        <v>12.892260186620311</v>
      </c>
      <c r="G56" s="721">
        <f t="shared" si="7"/>
        <v>4151.9312041158028</v>
      </c>
      <c r="H56" s="721">
        <f t="shared" si="7"/>
        <v>0</v>
      </c>
      <c r="I56" s="721">
        <f t="shared" si="7"/>
        <v>0</v>
      </c>
      <c r="J56" s="721">
        <f t="shared" si="7"/>
        <v>0</v>
      </c>
      <c r="K56" s="721">
        <f t="shared" si="7"/>
        <v>239.94214118988572</v>
      </c>
      <c r="L56" s="721">
        <f t="shared" si="7"/>
        <v>0</v>
      </c>
      <c r="M56" s="721">
        <f t="shared" si="7"/>
        <v>0</v>
      </c>
      <c r="N56" s="721">
        <f t="shared" si="7"/>
        <v>0</v>
      </c>
      <c r="O56" s="721">
        <f t="shared" si="7"/>
        <v>0</v>
      </c>
      <c r="P56" s="721">
        <f t="shared" si="7"/>
        <v>0</v>
      </c>
      <c r="Q56" s="722">
        <f t="shared" si="7"/>
        <v>0</v>
      </c>
      <c r="R56" s="723">
        <f ca="1">SUM(R54:R55)</f>
        <v>5862.3669897602722</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12266.731105306808</v>
      </c>
      <c r="D61" s="729">
        <f t="shared" ref="D61:Q61" ca="1" si="8">D46+D52+D56</f>
        <v>0</v>
      </c>
      <c r="E61" s="729">
        <f t="shared" ca="1" si="8"/>
        <v>24558.628937857113</v>
      </c>
      <c r="F61" s="729">
        <f t="shared" si="8"/>
        <v>2799.3675448278068</v>
      </c>
      <c r="G61" s="729">
        <f t="shared" ca="1" si="8"/>
        <v>13510.502452983637</v>
      </c>
      <c r="H61" s="729">
        <f t="shared" si="8"/>
        <v>56485.659870544208</v>
      </c>
      <c r="I61" s="729">
        <f t="shared" si="8"/>
        <v>7487.2952861526119</v>
      </c>
      <c r="J61" s="729">
        <f t="shared" si="8"/>
        <v>0</v>
      </c>
      <c r="K61" s="729">
        <f t="shared" si="8"/>
        <v>1778.4868338882654</v>
      </c>
      <c r="L61" s="729">
        <f t="shared" si="8"/>
        <v>0</v>
      </c>
      <c r="M61" s="729">
        <f t="shared" ca="1" si="8"/>
        <v>0</v>
      </c>
      <c r="N61" s="729">
        <f t="shared" si="8"/>
        <v>0</v>
      </c>
      <c r="O61" s="729">
        <f t="shared" ca="1" si="8"/>
        <v>0</v>
      </c>
      <c r="P61" s="729">
        <f t="shared" si="8"/>
        <v>0</v>
      </c>
      <c r="Q61" s="729">
        <f t="shared" si="8"/>
        <v>0</v>
      </c>
      <c r="R61" s="729">
        <f ca="1">R46+R52+R56</f>
        <v>118886.67203156045</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0.16944677565009636</v>
      </c>
      <c r="D63" s="772">
        <f t="shared" ca="1" si="9"/>
        <v>0</v>
      </c>
      <c r="E63" s="998">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5799.6313285095948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11087.625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13044.264705882353</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16887.256328509597</v>
      </c>
      <c r="C78" s="744">
        <f>SUM(C72:C77)</f>
        <v>0</v>
      </c>
      <c r="D78" s="745">
        <f t="shared" ref="D78:H78" si="10">SUM(D76:D77)</f>
        <v>0</v>
      </c>
      <c r="E78" s="745">
        <f t="shared" si="10"/>
        <v>0</v>
      </c>
      <c r="F78" s="745">
        <f t="shared" si="10"/>
        <v>0</v>
      </c>
      <c r="G78" s="745">
        <f t="shared" si="10"/>
        <v>0</v>
      </c>
      <c r="H78" s="745">
        <f t="shared" si="10"/>
        <v>0</v>
      </c>
      <c r="I78" s="745">
        <f>SUM(I76:I77)</f>
        <v>0</v>
      </c>
      <c r="J78" s="745">
        <f>SUM(J76:J77)</f>
        <v>13044.264705882353</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15839.464285714286</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18634.663865546219</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15839.464285714286</v>
      </c>
      <c r="C90" s="744">
        <f>SUM(C87:C89)</f>
        <v>0</v>
      </c>
      <c r="D90" s="744">
        <f t="shared" ref="D90:H90" si="12">SUM(D87:D89)</f>
        <v>0</v>
      </c>
      <c r="E90" s="744">
        <f t="shared" si="12"/>
        <v>0</v>
      </c>
      <c r="F90" s="744">
        <f t="shared" si="12"/>
        <v>0</v>
      </c>
      <c r="G90" s="744">
        <f t="shared" si="12"/>
        <v>0</v>
      </c>
      <c r="H90" s="744">
        <f t="shared" si="12"/>
        <v>0</v>
      </c>
      <c r="I90" s="744">
        <f>SUM(I87:I89)</f>
        <v>0</v>
      </c>
      <c r="J90" s="744">
        <f>SUM(J87:J89)</f>
        <v>18634.663865546219</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67"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5799.6313285095948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N30</f>
        <v>11087.625</v>
      </c>
      <c r="C8" s="556">
        <f>B49</f>
        <v>0</v>
      </c>
      <c r="D8" s="1015"/>
      <c r="E8" s="1015">
        <f>E49</f>
        <v>0</v>
      </c>
      <c r="F8" s="1016"/>
      <c r="G8" s="557"/>
      <c r="H8" s="1015">
        <f>I49</f>
        <v>0</v>
      </c>
      <c r="I8" s="1015">
        <f>G49+F49</f>
        <v>0</v>
      </c>
      <c r="J8" s="1015">
        <f>H49+D49+C49</f>
        <v>13044.264705882353</v>
      </c>
      <c r="K8" s="1015"/>
      <c r="L8" s="1015"/>
      <c r="M8" s="1015"/>
      <c r="N8" s="558"/>
      <c r="O8" s="559">
        <f>C8*$C$12+D8*$D$12+E8*$E$12+F8*$F$12+G8*$G$12+H8*$H$12+I8*$I$12+J8*$J$12</f>
        <v>0</v>
      </c>
      <c r="P8" s="1254"/>
      <c r="Q8" s="1255"/>
      <c r="S8" s="1027"/>
      <c r="T8" s="1275"/>
      <c r="U8" s="1275"/>
    </row>
    <row r="9" spans="1:21" s="544" customFormat="1" ht="17.45" customHeight="1" thickBot="1">
      <c r="A9" s="560" t="s">
        <v>247</v>
      </c>
      <c r="B9" s="561">
        <f>N37+'Eigen informatie GS &amp; warmtenet'!B12</f>
        <v>0</v>
      </c>
      <c r="C9" s="562">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16887.256328509597</v>
      </c>
      <c r="C10" s="569">
        <f t="shared" ref="C10:L10" si="0">SUM(C8:C9)</f>
        <v>0</v>
      </c>
      <c r="D10" s="569">
        <f t="shared" si="0"/>
        <v>0</v>
      </c>
      <c r="E10" s="569">
        <f t="shared" si="0"/>
        <v>0</v>
      </c>
      <c r="F10" s="569">
        <f t="shared" si="0"/>
        <v>0</v>
      </c>
      <c r="G10" s="569">
        <f t="shared" si="0"/>
        <v>0</v>
      </c>
      <c r="H10" s="569">
        <f t="shared" si="0"/>
        <v>0</v>
      </c>
      <c r="I10" s="569">
        <f t="shared" si="0"/>
        <v>0</v>
      </c>
      <c r="J10" s="569">
        <f t="shared" si="0"/>
        <v>13044.264705882353</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O30</f>
        <v>15839.464285714286</v>
      </c>
      <c r="C17" s="581">
        <f>B50</f>
        <v>0</v>
      </c>
      <c r="D17" s="582"/>
      <c r="E17" s="582">
        <f>E50</f>
        <v>0</v>
      </c>
      <c r="F17" s="1021"/>
      <c r="G17" s="583"/>
      <c r="H17" s="581">
        <f>I50</f>
        <v>0</v>
      </c>
      <c r="I17" s="582">
        <f>G50+F50</f>
        <v>0</v>
      </c>
      <c r="J17" s="582">
        <f>H50+D50+C50</f>
        <v>18634.663865546219</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15839.464285714286</v>
      </c>
      <c r="C20" s="568">
        <f>SUM(C17:C19)</f>
        <v>0</v>
      </c>
      <c r="D20" s="568">
        <f t="shared" ref="D20:L20" si="1">SUM(D17:D19)</f>
        <v>0</v>
      </c>
      <c r="E20" s="568">
        <f t="shared" si="1"/>
        <v>0</v>
      </c>
      <c r="F20" s="568">
        <f t="shared" si="1"/>
        <v>0</v>
      </c>
      <c r="G20" s="568">
        <f t="shared" si="1"/>
        <v>0</v>
      </c>
      <c r="H20" s="568">
        <f t="shared" si="1"/>
        <v>0</v>
      </c>
      <c r="I20" s="568">
        <f t="shared" si="1"/>
        <v>0</v>
      </c>
      <c r="J20" s="568">
        <f t="shared" si="1"/>
        <v>18634.663865546219</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31003</v>
      </c>
      <c r="C28" s="787">
        <v>8730</v>
      </c>
      <c r="D28" s="640" t="s">
        <v>920</v>
      </c>
      <c r="E28" s="639" t="s">
        <v>921</v>
      </c>
      <c r="F28" s="639" t="s">
        <v>922</v>
      </c>
      <c r="G28" s="639" t="s">
        <v>923</v>
      </c>
      <c r="H28" s="639" t="s">
        <v>924</v>
      </c>
      <c r="I28" s="639" t="s">
        <v>921</v>
      </c>
      <c r="J28" s="786">
        <v>39280</v>
      </c>
      <c r="K28" s="786">
        <v>39280</v>
      </c>
      <c r="L28" s="639" t="s">
        <v>925</v>
      </c>
      <c r="M28" s="639">
        <v>2461</v>
      </c>
      <c r="N28" s="639">
        <v>11074.5</v>
      </c>
      <c r="O28" s="639">
        <v>15820.714285714286</v>
      </c>
      <c r="P28" s="639">
        <v>0</v>
      </c>
      <c r="Q28" s="639">
        <v>31641.428571428572</v>
      </c>
      <c r="R28" s="639">
        <v>0</v>
      </c>
      <c r="S28" s="639">
        <v>0</v>
      </c>
      <c r="T28" s="639">
        <v>0</v>
      </c>
      <c r="U28" s="639">
        <v>0</v>
      </c>
      <c r="V28" s="639">
        <v>0</v>
      </c>
      <c r="W28" s="639">
        <v>0</v>
      </c>
      <c r="X28" s="639">
        <v>10</v>
      </c>
      <c r="Y28" s="639" t="s">
        <v>111</v>
      </c>
      <c r="Z28" s="641" t="s">
        <v>111</v>
      </c>
    </row>
    <row r="29" spans="1:26" s="593" customFormat="1" ht="25.5">
      <c r="A29" s="592"/>
      <c r="B29" s="787">
        <v>31003</v>
      </c>
      <c r="C29" s="787">
        <v>8730</v>
      </c>
      <c r="D29" s="640" t="s">
        <v>926</v>
      </c>
      <c r="E29" s="639" t="s">
        <v>927</v>
      </c>
      <c r="F29" s="639" t="s">
        <v>928</v>
      </c>
      <c r="G29" s="639" t="s">
        <v>923</v>
      </c>
      <c r="H29" s="639" t="s">
        <v>924</v>
      </c>
      <c r="I29" s="639" t="s">
        <v>927</v>
      </c>
      <c r="J29" s="786">
        <v>41459</v>
      </c>
      <c r="K29" s="786">
        <v>41459</v>
      </c>
      <c r="L29" s="639" t="s">
        <v>925</v>
      </c>
      <c r="M29" s="639">
        <v>7</v>
      </c>
      <c r="N29" s="639">
        <v>13.125</v>
      </c>
      <c r="O29" s="639">
        <v>18.75</v>
      </c>
      <c r="P29" s="639">
        <v>0</v>
      </c>
      <c r="Q29" s="639">
        <v>37.5</v>
      </c>
      <c r="R29" s="639">
        <v>0</v>
      </c>
      <c r="S29" s="639">
        <v>0</v>
      </c>
      <c r="T29" s="639">
        <v>0</v>
      </c>
      <c r="U29" s="639">
        <v>0</v>
      </c>
      <c r="V29" s="639">
        <v>0</v>
      </c>
      <c r="W29" s="639">
        <v>0</v>
      </c>
      <c r="X29" s="639">
        <v>10</v>
      </c>
      <c r="Y29" s="639" t="s">
        <v>111</v>
      </c>
      <c r="Z29" s="641" t="s">
        <v>111</v>
      </c>
    </row>
    <row r="30" spans="1:26" s="576" customFormat="1">
      <c r="A30" s="595" t="s">
        <v>279</v>
      </c>
      <c r="B30" s="596"/>
      <c r="C30" s="596"/>
      <c r="D30" s="596"/>
      <c r="E30" s="596"/>
      <c r="F30" s="596"/>
      <c r="G30" s="596"/>
      <c r="H30" s="596"/>
      <c r="I30" s="596"/>
      <c r="J30" s="596"/>
      <c r="K30" s="596"/>
      <c r="L30" s="597"/>
      <c r="M30" s="597">
        <f>SUM(M28:M29)</f>
        <v>2468</v>
      </c>
      <c r="N30" s="597">
        <f>SUM(N28:N29)</f>
        <v>11087.625</v>
      </c>
      <c r="O30" s="597">
        <f>SUM(O28:O29)</f>
        <v>15839.464285714286</v>
      </c>
      <c r="P30" s="597">
        <f>SUM(P28:P29)</f>
        <v>0</v>
      </c>
      <c r="Q30" s="597">
        <f>SUM(Q28:Q29)</f>
        <v>31678.928571428572</v>
      </c>
      <c r="R30" s="597">
        <f>SUM(R28:R29)</f>
        <v>0</v>
      </c>
      <c r="S30" s="597">
        <f>SUM(S28:S29)</f>
        <v>0</v>
      </c>
      <c r="T30" s="597">
        <f>SUM(T28:T29)</f>
        <v>0</v>
      </c>
      <c r="U30" s="597">
        <f>SUM(U28:U29)</f>
        <v>0</v>
      </c>
      <c r="V30" s="597">
        <f>SUM(V28:V29)</f>
        <v>0</v>
      </c>
      <c r="W30" s="597">
        <f>SUM(W28:W29)</f>
        <v>0</v>
      </c>
      <c r="X30" s="598"/>
      <c r="Y30" s="598"/>
      <c r="Z30" s="599"/>
    </row>
    <row r="31" spans="1:26" s="576"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6"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6" customFormat="1" ht="15.75" thickBot="1">
      <c r="A33" s="600" t="s">
        <v>288</v>
      </c>
      <c r="B33" s="601"/>
      <c r="C33" s="601"/>
      <c r="D33" s="601"/>
      <c r="E33" s="601"/>
      <c r="F33" s="601"/>
      <c r="G33" s="601"/>
      <c r="H33" s="601"/>
      <c r="I33" s="601"/>
      <c r="J33" s="601"/>
      <c r="K33" s="601"/>
      <c r="L33" s="602"/>
      <c r="M33" s="602">
        <f>SUMIF($Z$28:$Z$29,"landbouw",M28:M29)</f>
        <v>2468</v>
      </c>
      <c r="N33" s="602">
        <f>SUMIF($Z$28:$Z$29,"landbouw",N28:N29)</f>
        <v>11087.625</v>
      </c>
      <c r="O33" s="602">
        <f>SUMIF($Z$28:$Z$29,"landbouw",O28:O29)</f>
        <v>15839.464285714286</v>
      </c>
      <c r="P33" s="602">
        <f>SUMIF($Z$28:$Z$29,"landbouw",P28:P29)</f>
        <v>0</v>
      </c>
      <c r="Q33" s="602">
        <f>SUMIF($Z$28:$Z$29,"landbouw",Q28:Q29)</f>
        <v>31678.928571428572</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44" customFormat="1" ht="15.75" thickBot="1">
      <c r="A34" s="605"/>
      <c r="B34" s="606"/>
      <c r="C34" s="606"/>
      <c r="D34" s="606"/>
      <c r="E34" s="606"/>
      <c r="F34" s="606"/>
      <c r="G34" s="606"/>
      <c r="H34" s="606"/>
      <c r="I34" s="606"/>
      <c r="J34" s="606"/>
      <c r="K34" s="606"/>
      <c r="L34" s="589"/>
      <c r="M34" s="589"/>
      <c r="N34" s="589"/>
      <c r="O34" s="590"/>
      <c r="P34" s="590"/>
    </row>
    <row r="35" spans="1:27" s="54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546</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87"/>
      <c r="C36" s="787"/>
      <c r="D36" s="642"/>
      <c r="E36" s="642"/>
      <c r="F36" s="642"/>
      <c r="G36" s="642"/>
      <c r="H36" s="642"/>
      <c r="I36" s="642"/>
      <c r="J36" s="786"/>
      <c r="K36" s="786"/>
      <c r="L36" s="642"/>
      <c r="M36" s="642"/>
      <c r="N36" s="642"/>
      <c r="O36" s="642"/>
      <c r="P36" s="642"/>
      <c r="Q36" s="642"/>
      <c r="R36" s="642"/>
      <c r="S36" s="642"/>
      <c r="T36" s="642"/>
      <c r="U36" s="642"/>
      <c r="V36" s="642"/>
      <c r="W36" s="642"/>
      <c r="X36" s="642"/>
      <c r="Y36" s="642"/>
      <c r="Z36" s="643"/>
    </row>
    <row r="37" spans="1:27" s="576"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6"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6"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6"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546</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0</v>
      </c>
      <c r="C49" s="631">
        <f t="shared" si="2"/>
        <v>13044.264705882353</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0</v>
      </c>
      <c r="C50" s="634">
        <f t="shared" si="3"/>
        <v>18634.663865546219</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74"/>
      <c r="K51" s="574"/>
      <c r="L51" s="574"/>
      <c r="M51" s="574"/>
      <c r="N51" s="574"/>
    </row>
    <row r="52" spans="1:16">
      <c r="J52" s="574"/>
      <c r="K52" s="574"/>
      <c r="L52" s="574"/>
      <c r="M52" s="574"/>
      <c r="N52"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30746.085513589758</v>
      </c>
      <c r="C4" s="458">
        <f>huishoudens!C8</f>
        <v>0</v>
      </c>
      <c r="D4" s="458">
        <f>huishoudens!D8</f>
        <v>51344.820102483507</v>
      </c>
      <c r="E4" s="458">
        <f>huishoudens!E8</f>
        <v>9406.7018390881294</v>
      </c>
      <c r="F4" s="458">
        <f>huishoudens!F8</f>
        <v>19712.518825965199</v>
      </c>
      <c r="G4" s="458">
        <f>huishoudens!G8</f>
        <v>0</v>
      </c>
      <c r="H4" s="458">
        <f>huishoudens!H8</f>
        <v>0</v>
      </c>
      <c r="I4" s="458">
        <f>huishoudens!I8</f>
        <v>0</v>
      </c>
      <c r="J4" s="458">
        <f>huishoudens!J8</f>
        <v>4335.5476840397278</v>
      </c>
      <c r="K4" s="458">
        <f>huishoudens!K8</f>
        <v>0</v>
      </c>
      <c r="L4" s="458">
        <f>huishoudens!L8</f>
        <v>0</v>
      </c>
      <c r="M4" s="458">
        <f>huishoudens!M8</f>
        <v>0</v>
      </c>
      <c r="N4" s="458">
        <f>huishoudens!N8</f>
        <v>28992.95825869152</v>
      </c>
      <c r="O4" s="458">
        <f>huishoudens!O8</f>
        <v>378.32666666666671</v>
      </c>
      <c r="P4" s="459">
        <f>huishoudens!P8</f>
        <v>705.4666666666667</v>
      </c>
      <c r="Q4" s="460">
        <f>SUM(B4:P4)</f>
        <v>145622.42555719116</v>
      </c>
    </row>
    <row r="5" spans="1:17">
      <c r="A5" s="457" t="s">
        <v>155</v>
      </c>
      <c r="B5" s="458">
        <f ca="1">tertiair!B16</f>
        <v>20203.923033538002</v>
      </c>
      <c r="C5" s="458">
        <f ca="1">tertiair!C16</f>
        <v>0</v>
      </c>
      <c r="D5" s="458">
        <f ca="1">tertiair!D16</f>
        <v>48924.896510063962</v>
      </c>
      <c r="E5" s="458">
        <f>tertiair!E16</f>
        <v>261.5212123176567</v>
      </c>
      <c r="F5" s="458">
        <f ca="1">tertiair!F16</f>
        <v>4408.2532906526994</v>
      </c>
      <c r="G5" s="458">
        <f>tertiair!G16</f>
        <v>0</v>
      </c>
      <c r="H5" s="458">
        <f>tertiair!H16</f>
        <v>0</v>
      </c>
      <c r="I5" s="458">
        <f>tertiair!I16</f>
        <v>0</v>
      </c>
      <c r="J5" s="458">
        <f>tertiair!J16</f>
        <v>0</v>
      </c>
      <c r="K5" s="458">
        <f>tertiair!K16</f>
        <v>0</v>
      </c>
      <c r="L5" s="458">
        <f ca="1">tertiair!L16</f>
        <v>0</v>
      </c>
      <c r="M5" s="458">
        <f>tertiair!M16</f>
        <v>0</v>
      </c>
      <c r="N5" s="458">
        <f ca="1">tertiair!N16</f>
        <v>3892.1099823483878</v>
      </c>
      <c r="O5" s="458">
        <f>tertiair!O16</f>
        <v>1.5633333333333335</v>
      </c>
      <c r="P5" s="459">
        <f>tertiair!P16</f>
        <v>76.266666666666666</v>
      </c>
      <c r="Q5" s="457">
        <f t="shared" ref="Q5:Q14" ca="1" si="0">SUM(B5:P5)</f>
        <v>77768.534028920709</v>
      </c>
    </row>
    <row r="6" spans="1:17">
      <c r="A6" s="457" t="s">
        <v>193</v>
      </c>
      <c r="B6" s="458">
        <f>'openbare verlichting'!B8</f>
        <v>1138.1990000000001</v>
      </c>
      <c r="C6" s="458"/>
      <c r="D6" s="458"/>
      <c r="E6" s="458"/>
      <c r="F6" s="458"/>
      <c r="G6" s="458"/>
      <c r="H6" s="458"/>
      <c r="I6" s="458"/>
      <c r="J6" s="458"/>
      <c r="K6" s="458"/>
      <c r="L6" s="458"/>
      <c r="M6" s="458"/>
      <c r="N6" s="458"/>
      <c r="O6" s="458"/>
      <c r="P6" s="459"/>
      <c r="Q6" s="457">
        <f t="shared" si="0"/>
        <v>1138.1990000000001</v>
      </c>
    </row>
    <row r="7" spans="1:17">
      <c r="A7" s="457" t="s">
        <v>111</v>
      </c>
      <c r="B7" s="458">
        <f>landbouw!B8</f>
        <v>4507.0072644871188</v>
      </c>
      <c r="C7" s="458">
        <f>landbouw!C8</f>
        <v>15839.464285714286</v>
      </c>
      <c r="D7" s="458">
        <f>landbouw!D8</f>
        <v>373.73072035868802</v>
      </c>
      <c r="E7" s="458">
        <f>landbouw!E8</f>
        <v>56.794097738415466</v>
      </c>
      <c r="F7" s="458">
        <f>landbouw!F8</f>
        <v>15550.304135265178</v>
      </c>
      <c r="G7" s="458">
        <f>landbouw!G8</f>
        <v>0</v>
      </c>
      <c r="H7" s="458">
        <f>landbouw!H8</f>
        <v>0</v>
      </c>
      <c r="I7" s="458">
        <f>landbouw!I8</f>
        <v>0</v>
      </c>
      <c r="J7" s="458">
        <f>landbouw!J8</f>
        <v>677.80265872849077</v>
      </c>
      <c r="K7" s="458">
        <f>landbouw!K8</f>
        <v>0</v>
      </c>
      <c r="L7" s="458">
        <f>landbouw!L8</f>
        <v>0</v>
      </c>
      <c r="M7" s="458">
        <f>landbouw!M8</f>
        <v>0</v>
      </c>
      <c r="N7" s="458">
        <f>landbouw!N8</f>
        <v>0</v>
      </c>
      <c r="O7" s="458">
        <f>landbouw!O8</f>
        <v>0</v>
      </c>
      <c r="P7" s="459">
        <f>landbouw!P8</f>
        <v>0</v>
      </c>
      <c r="Q7" s="457">
        <f t="shared" si="0"/>
        <v>37005.10316229218</v>
      </c>
    </row>
    <row r="8" spans="1:17">
      <c r="A8" s="457" t="s">
        <v>655</v>
      </c>
      <c r="B8" s="458">
        <f>industrie!B18</f>
        <v>14666.528833056409</v>
      </c>
      <c r="C8" s="458">
        <f>industrie!C18</f>
        <v>0</v>
      </c>
      <c r="D8" s="458">
        <f>industrie!D18</f>
        <v>18796.903471990205</v>
      </c>
      <c r="E8" s="458">
        <f>industrie!E18</f>
        <v>1954.2847704555643</v>
      </c>
      <c r="F8" s="458">
        <f>industrie!F18</f>
        <v>10930.056530827174</v>
      </c>
      <c r="G8" s="458">
        <f>industrie!G18</f>
        <v>0</v>
      </c>
      <c r="H8" s="458">
        <f>industrie!H18</f>
        <v>0</v>
      </c>
      <c r="I8" s="458">
        <f>industrie!I18</f>
        <v>0</v>
      </c>
      <c r="J8" s="458">
        <f>industrie!J18</f>
        <v>10.623764260779826</v>
      </c>
      <c r="K8" s="458">
        <f>industrie!K18</f>
        <v>0</v>
      </c>
      <c r="L8" s="458">
        <f>industrie!L18</f>
        <v>0</v>
      </c>
      <c r="M8" s="458">
        <f>industrie!M18</f>
        <v>0</v>
      </c>
      <c r="N8" s="458">
        <f>industrie!N18</f>
        <v>1933.0893876465257</v>
      </c>
      <c r="O8" s="458">
        <f>industrie!O18</f>
        <v>0</v>
      </c>
      <c r="P8" s="459">
        <f>industrie!P18</f>
        <v>0</v>
      </c>
      <c r="Q8" s="457">
        <f t="shared" si="0"/>
        <v>48291.486758236664</v>
      </c>
    </row>
    <row r="9" spans="1:17" s="463" customFormat="1">
      <c r="A9" s="461" t="s">
        <v>573</v>
      </c>
      <c r="B9" s="462">
        <f>transport!B14</f>
        <v>10.029428453105083</v>
      </c>
      <c r="C9" s="462">
        <f>transport!C14</f>
        <v>0</v>
      </c>
      <c r="D9" s="462">
        <f>transport!D14</f>
        <v>15.975784712657921</v>
      </c>
      <c r="E9" s="462">
        <f>transport!E14</f>
        <v>652.71369638176247</v>
      </c>
      <c r="F9" s="462">
        <f>transport!F14</f>
        <v>0</v>
      </c>
      <c r="G9" s="462">
        <f>transport!G14</f>
        <v>210537.53714852699</v>
      </c>
      <c r="H9" s="462">
        <f>transport!H14</f>
        <v>30069.458980532578</v>
      </c>
      <c r="I9" s="462">
        <f>transport!I14</f>
        <v>0</v>
      </c>
      <c r="J9" s="462">
        <f>transport!J14</f>
        <v>0</v>
      </c>
      <c r="K9" s="462">
        <f>transport!K14</f>
        <v>0</v>
      </c>
      <c r="L9" s="462">
        <f>transport!L14</f>
        <v>0</v>
      </c>
      <c r="M9" s="462">
        <f>transport!M14</f>
        <v>10876.670499998274</v>
      </c>
      <c r="N9" s="462">
        <f>transport!N14</f>
        <v>0</v>
      </c>
      <c r="O9" s="462">
        <f>transport!O14</f>
        <v>0</v>
      </c>
      <c r="P9" s="462">
        <f>transport!P14</f>
        <v>0</v>
      </c>
      <c r="Q9" s="461">
        <f>SUM(B9:P9)</f>
        <v>252162.38553860533</v>
      </c>
    </row>
    <row r="10" spans="1:17">
      <c r="A10" s="457" t="s">
        <v>563</v>
      </c>
      <c r="B10" s="458">
        <f>transport!B54</f>
        <v>0</v>
      </c>
      <c r="C10" s="458">
        <f>transport!C54</f>
        <v>0</v>
      </c>
      <c r="D10" s="458">
        <f>transport!D54</f>
        <v>0</v>
      </c>
      <c r="E10" s="458">
        <f>transport!E54</f>
        <v>0</v>
      </c>
      <c r="F10" s="458">
        <f>transport!F54</f>
        <v>0</v>
      </c>
      <c r="G10" s="458">
        <f>transport!G54</f>
        <v>1019.2413928370788</v>
      </c>
      <c r="H10" s="458">
        <f>transport!H54</f>
        <v>0</v>
      </c>
      <c r="I10" s="458">
        <f>transport!I54</f>
        <v>0</v>
      </c>
      <c r="J10" s="458">
        <f>transport!J54</f>
        <v>0</v>
      </c>
      <c r="K10" s="458">
        <f>transport!K54</f>
        <v>0</v>
      </c>
      <c r="L10" s="458">
        <f>transport!L54</f>
        <v>0</v>
      </c>
      <c r="M10" s="458">
        <f>transport!M54</f>
        <v>45.367277605616323</v>
      </c>
      <c r="N10" s="458">
        <f>transport!N54</f>
        <v>0</v>
      </c>
      <c r="O10" s="458">
        <f>transport!O54</f>
        <v>0</v>
      </c>
      <c r="P10" s="459">
        <f>transport!P54</f>
        <v>0</v>
      </c>
      <c r="Q10" s="457">
        <f t="shared" si="0"/>
        <v>1064.6086704426953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1121.0538676332101</v>
      </c>
      <c r="C14" s="465"/>
      <c r="D14" s="465">
        <f>'SEAP template'!E25</f>
        <v>2121.0443898816202</v>
      </c>
      <c r="E14" s="465"/>
      <c r="F14" s="465"/>
      <c r="G14" s="465"/>
      <c r="H14" s="465"/>
      <c r="I14" s="465"/>
      <c r="J14" s="465"/>
      <c r="K14" s="465"/>
      <c r="L14" s="465"/>
      <c r="M14" s="465"/>
      <c r="N14" s="465"/>
      <c r="O14" s="465"/>
      <c r="P14" s="466"/>
      <c r="Q14" s="457">
        <f t="shared" si="0"/>
        <v>3242.09825751483</v>
      </c>
    </row>
    <row r="15" spans="1:17" s="470" customFormat="1">
      <c r="A15" s="467" t="s">
        <v>567</v>
      </c>
      <c r="B15" s="468">
        <f ca="1">SUM(B4:B14)</f>
        <v>72392.826940757601</v>
      </c>
      <c r="C15" s="468">
        <f t="shared" ref="C15:Q15" ca="1" si="1">SUM(C4:C14)</f>
        <v>15839.464285714286</v>
      </c>
      <c r="D15" s="468">
        <f t="shared" ca="1" si="1"/>
        <v>121577.37097949063</v>
      </c>
      <c r="E15" s="468">
        <f t="shared" si="1"/>
        <v>12332.015615981529</v>
      </c>
      <c r="F15" s="468">
        <f t="shared" ca="1" si="1"/>
        <v>50601.13278271025</v>
      </c>
      <c r="G15" s="468">
        <f t="shared" si="1"/>
        <v>211556.77854136407</v>
      </c>
      <c r="H15" s="468">
        <f t="shared" si="1"/>
        <v>30069.458980532578</v>
      </c>
      <c r="I15" s="468">
        <f t="shared" si="1"/>
        <v>0</v>
      </c>
      <c r="J15" s="468">
        <f t="shared" si="1"/>
        <v>5023.9741070289992</v>
      </c>
      <c r="K15" s="468">
        <f t="shared" si="1"/>
        <v>0</v>
      </c>
      <c r="L15" s="468">
        <f t="shared" ca="1" si="1"/>
        <v>0</v>
      </c>
      <c r="M15" s="468">
        <f t="shared" si="1"/>
        <v>10922.037777603889</v>
      </c>
      <c r="N15" s="468">
        <f t="shared" ca="1" si="1"/>
        <v>34818.157628686437</v>
      </c>
      <c r="O15" s="468">
        <f t="shared" si="1"/>
        <v>379.89000000000004</v>
      </c>
      <c r="P15" s="468">
        <f t="shared" si="1"/>
        <v>781.73333333333335</v>
      </c>
      <c r="Q15" s="468">
        <f t="shared" ca="1" si="1"/>
        <v>566294.84097320365</v>
      </c>
    </row>
    <row r="17" spans="1:17">
      <c r="A17" s="471" t="s">
        <v>568</v>
      </c>
      <c r="B17" s="777">
        <f ca="1">huishoudens!B10</f>
        <v>0.16944677565009642</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5209.8250541399229</v>
      </c>
      <c r="C22" s="458">
        <f t="shared" ref="C22:C32" ca="1" si="3">C4*$C$17</f>
        <v>0</v>
      </c>
      <c r="D22" s="458">
        <f t="shared" ref="D22:D32" si="4">D4*$D$17</f>
        <v>10371.65366070167</v>
      </c>
      <c r="E22" s="458">
        <f t="shared" ref="E22:E32" si="5">E4*$E$17</f>
        <v>2135.3213174730054</v>
      </c>
      <c r="F22" s="458">
        <f t="shared" ref="F22:F32" si="6">F4*$F$17</f>
        <v>5263.2425265327083</v>
      </c>
      <c r="G22" s="458">
        <f t="shared" ref="G22:G32" si="7">G4*$G$17</f>
        <v>0</v>
      </c>
      <c r="H22" s="458">
        <f t="shared" ref="H22:H32" si="8">H4*$H$17</f>
        <v>0</v>
      </c>
      <c r="I22" s="458">
        <f t="shared" ref="I22:I32" si="9">I4*$I$17</f>
        <v>0</v>
      </c>
      <c r="J22" s="458">
        <f t="shared" ref="J22:J32" si="10">J4*$J$17</f>
        <v>1534.7838801500636</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24514.826438997366</v>
      </c>
    </row>
    <row r="23" spans="1:17">
      <c r="A23" s="457" t="s">
        <v>155</v>
      </c>
      <c r="B23" s="458">
        <f t="shared" ca="1" si="2"/>
        <v>3423.4896135157292</v>
      </c>
      <c r="C23" s="458">
        <f t="shared" ca="1" si="3"/>
        <v>0</v>
      </c>
      <c r="D23" s="458">
        <f t="shared" ca="1" si="4"/>
        <v>9882.829095032921</v>
      </c>
      <c r="E23" s="458">
        <f t="shared" si="5"/>
        <v>59.365315196108071</v>
      </c>
      <c r="F23" s="458">
        <f t="shared" ca="1" si="6"/>
        <v>1177.0036286042707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14542.687652349028</v>
      </c>
    </row>
    <row r="24" spans="1:17">
      <c r="A24" s="457" t="s">
        <v>193</v>
      </c>
      <c r="B24" s="458">
        <f t="shared" ca="1" si="2"/>
        <v>192.86415059816409</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192.86415059816409</v>
      </c>
    </row>
    <row r="25" spans="1:17">
      <c r="A25" s="457" t="s">
        <v>111</v>
      </c>
      <c r="B25" s="458">
        <f t="shared" ca="1" si="2"/>
        <v>763.69784879890358</v>
      </c>
      <c r="C25" s="458">
        <f t="shared" ca="1" si="3"/>
        <v>0</v>
      </c>
      <c r="D25" s="458">
        <f t="shared" si="4"/>
        <v>75.493605512454991</v>
      </c>
      <c r="E25" s="458">
        <f t="shared" si="5"/>
        <v>12.892260186620311</v>
      </c>
      <c r="F25" s="458">
        <f t="shared" si="6"/>
        <v>4151.9312041158028</v>
      </c>
      <c r="G25" s="458">
        <f t="shared" si="7"/>
        <v>0</v>
      </c>
      <c r="H25" s="458">
        <f t="shared" si="8"/>
        <v>0</v>
      </c>
      <c r="I25" s="458">
        <f t="shared" si="9"/>
        <v>0</v>
      </c>
      <c r="J25" s="458">
        <f t="shared" si="10"/>
        <v>239.94214118988572</v>
      </c>
      <c r="K25" s="458">
        <f t="shared" si="11"/>
        <v>0</v>
      </c>
      <c r="L25" s="458">
        <f t="shared" si="12"/>
        <v>0</v>
      </c>
      <c r="M25" s="458">
        <f t="shared" si="13"/>
        <v>0</v>
      </c>
      <c r="N25" s="458">
        <f t="shared" si="14"/>
        <v>0</v>
      </c>
      <c r="O25" s="458">
        <f t="shared" si="15"/>
        <v>0</v>
      </c>
      <c r="P25" s="459">
        <f t="shared" si="16"/>
        <v>0</v>
      </c>
      <c r="Q25" s="457">
        <f t="shared" ca="1" si="17"/>
        <v>5243.9570598036671</v>
      </c>
    </row>
    <row r="26" spans="1:17">
      <c r="A26" s="457" t="s">
        <v>655</v>
      </c>
      <c r="B26" s="458">
        <f t="shared" ca="1" si="2"/>
        <v>2485.1960207405796</v>
      </c>
      <c r="C26" s="458">
        <f t="shared" ca="1" si="3"/>
        <v>0</v>
      </c>
      <c r="D26" s="458">
        <f t="shared" si="4"/>
        <v>3796.9745013420215</v>
      </c>
      <c r="E26" s="458">
        <f t="shared" si="5"/>
        <v>443.62264289341311</v>
      </c>
      <c r="F26" s="458">
        <f t="shared" si="6"/>
        <v>2918.3250937308558</v>
      </c>
      <c r="G26" s="458">
        <f t="shared" si="7"/>
        <v>0</v>
      </c>
      <c r="H26" s="458">
        <f t="shared" si="8"/>
        <v>0</v>
      </c>
      <c r="I26" s="458">
        <f t="shared" si="9"/>
        <v>0</v>
      </c>
      <c r="J26" s="458">
        <f t="shared" si="10"/>
        <v>3.7608125483160579</v>
      </c>
      <c r="K26" s="458">
        <f t="shared" si="11"/>
        <v>0</v>
      </c>
      <c r="L26" s="458">
        <f t="shared" si="12"/>
        <v>0</v>
      </c>
      <c r="M26" s="458">
        <f t="shared" si="13"/>
        <v>0</v>
      </c>
      <c r="N26" s="458">
        <f t="shared" si="14"/>
        <v>0</v>
      </c>
      <c r="O26" s="458">
        <f t="shared" si="15"/>
        <v>0</v>
      </c>
      <c r="P26" s="459">
        <f t="shared" si="16"/>
        <v>0</v>
      </c>
      <c r="Q26" s="457">
        <f t="shared" ca="1" si="17"/>
        <v>9647.8790712551854</v>
      </c>
    </row>
    <row r="27" spans="1:17" s="463" customFormat="1">
      <c r="A27" s="461" t="s">
        <v>573</v>
      </c>
      <c r="B27" s="771">
        <f t="shared" ca="1" si="2"/>
        <v>1.6994543129919906</v>
      </c>
      <c r="C27" s="462">
        <f t="shared" ca="1" si="3"/>
        <v>0</v>
      </c>
      <c r="D27" s="462">
        <f t="shared" si="4"/>
        <v>3.2271085119569003</v>
      </c>
      <c r="E27" s="462">
        <f t="shared" si="5"/>
        <v>148.1660090786601</v>
      </c>
      <c r="F27" s="462">
        <f t="shared" si="6"/>
        <v>0</v>
      </c>
      <c r="G27" s="462">
        <f t="shared" si="7"/>
        <v>56213.522418656707</v>
      </c>
      <c r="H27" s="462">
        <f t="shared" si="8"/>
        <v>7487.2952861526119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63853.91027671293</v>
      </c>
    </row>
    <row r="28" spans="1:17">
      <c r="A28" s="457" t="s">
        <v>563</v>
      </c>
      <c r="B28" s="458">
        <f t="shared" ca="1" si="2"/>
        <v>0</v>
      </c>
      <c r="C28" s="458">
        <f t="shared" ca="1" si="3"/>
        <v>0</v>
      </c>
      <c r="D28" s="458">
        <f t="shared" si="4"/>
        <v>0</v>
      </c>
      <c r="E28" s="458">
        <f t="shared" si="5"/>
        <v>0</v>
      </c>
      <c r="F28" s="458">
        <f t="shared" si="6"/>
        <v>0</v>
      </c>
      <c r="G28" s="458">
        <f t="shared" si="7"/>
        <v>272.13745188750005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272.13745188750005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189.95896320051742</v>
      </c>
      <c r="C32" s="458">
        <f t="shared" ca="1" si="3"/>
        <v>0</v>
      </c>
      <c r="D32" s="458">
        <f t="shared" si="4"/>
        <v>428.45096675608733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618.40992995660474</v>
      </c>
    </row>
    <row r="33" spans="1:17" s="470" customFormat="1">
      <c r="A33" s="467" t="s">
        <v>567</v>
      </c>
      <c r="B33" s="468">
        <f ca="1">SUM(B22:B32)</f>
        <v>12266.731105306806</v>
      </c>
      <c r="C33" s="468">
        <f t="shared" ref="C33:Q33" ca="1" si="18">SUM(C22:C32)</f>
        <v>0</v>
      </c>
      <c r="D33" s="468">
        <f t="shared" ca="1" si="18"/>
        <v>24558.628937857116</v>
      </c>
      <c r="E33" s="468">
        <f t="shared" si="18"/>
        <v>2799.3675448278068</v>
      </c>
      <c r="F33" s="468">
        <f t="shared" ca="1" si="18"/>
        <v>13510.502452983637</v>
      </c>
      <c r="G33" s="468">
        <f t="shared" si="18"/>
        <v>56485.659870544208</v>
      </c>
      <c r="H33" s="468">
        <f t="shared" si="18"/>
        <v>7487.2952861526119</v>
      </c>
      <c r="I33" s="468">
        <f t="shared" si="18"/>
        <v>0</v>
      </c>
      <c r="J33" s="468">
        <f t="shared" si="18"/>
        <v>1778.4868338882654</v>
      </c>
      <c r="K33" s="468">
        <f t="shared" si="18"/>
        <v>0</v>
      </c>
      <c r="L33" s="468">
        <f t="shared" ca="1" si="18"/>
        <v>0</v>
      </c>
      <c r="M33" s="468">
        <f t="shared" si="18"/>
        <v>0</v>
      </c>
      <c r="N33" s="468">
        <f t="shared" ca="1" si="18"/>
        <v>0</v>
      </c>
      <c r="O33" s="468">
        <f t="shared" si="18"/>
        <v>0</v>
      </c>
      <c r="P33" s="468">
        <f t="shared" si="18"/>
        <v>0</v>
      </c>
      <c r="Q33" s="468">
        <f t="shared" ca="1" si="18"/>
        <v>118886.67203156043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5799.6313285095948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11087.625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13044.264705882353</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16887.256328509597</v>
      </c>
      <c r="C10" s="1038">
        <f>SUM(C4:C9)</f>
        <v>0</v>
      </c>
      <c r="D10" s="1038">
        <f t="shared" ref="D10:H10" si="0">SUM(D8:D9)</f>
        <v>0</v>
      </c>
      <c r="E10" s="1038">
        <f t="shared" si="0"/>
        <v>0</v>
      </c>
      <c r="F10" s="1038">
        <f t="shared" si="0"/>
        <v>0</v>
      </c>
      <c r="G10" s="1038">
        <f t="shared" si="0"/>
        <v>0</v>
      </c>
      <c r="H10" s="1038">
        <f t="shared" si="0"/>
        <v>0</v>
      </c>
      <c r="I10" s="1038">
        <f>SUM(I8:I9)</f>
        <v>0</v>
      </c>
      <c r="J10" s="1038">
        <f>SUM(J8:J9)</f>
        <v>13044.264705882353</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0.16944677565009642</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15839.464285714286</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18634.663865546219</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15839.464285714286</v>
      </c>
      <c r="C20" s="1038">
        <f>SUM(C17:C19)</f>
        <v>0</v>
      </c>
      <c r="D20" s="1038">
        <f t="shared" ref="D20:H20" si="2">SUM(D17:D19)</f>
        <v>0</v>
      </c>
      <c r="E20" s="1038">
        <f t="shared" si="2"/>
        <v>0</v>
      </c>
      <c r="F20" s="1038">
        <f t="shared" si="2"/>
        <v>0</v>
      </c>
      <c r="G20" s="1038">
        <f t="shared" si="2"/>
        <v>0</v>
      </c>
      <c r="H20" s="1038">
        <f t="shared" si="2"/>
        <v>0</v>
      </c>
      <c r="I20" s="1038">
        <f>SUM(I17:I19)</f>
        <v>0</v>
      </c>
      <c r="J20" s="1038">
        <f>SUM(J17:J19)</f>
        <v>18634.663865546219</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0.16944677565009642</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2020-06-20T16:18:01Z</dcterms:modified>
</cp:coreProperties>
</file>