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I17" i="18" s="1"/>
  <c r="I20" i="18" s="1"/>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F24" i="14"/>
  <c r="F26" i="14" s="1"/>
  <c r="E7" i="48"/>
  <c r="E25"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E20" i="15" l="1"/>
  <c r="F40" i="14" s="1"/>
  <c r="F10" i="14"/>
  <c r="E5" i="48"/>
  <c r="J5" i="48"/>
  <c r="J23" i="48" s="1"/>
  <c r="K10" i="14"/>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F46" i="14" s="1"/>
  <c r="F61"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E23" i="48"/>
  <c r="E33" i="48" s="1"/>
  <c r="J15" i="48"/>
  <c r="E8" i="48"/>
  <c r="E26" i="48" s="1"/>
  <c r="F13" i="14"/>
  <c r="F16" i="14" s="1"/>
  <c r="F27" i="14" s="1"/>
  <c r="F63" i="14" s="1"/>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<sst xmlns="http://schemas.openxmlformats.org/spreadsheetml/2006/main" count="2447" uniqueCount="920">
  <si>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</si>
  <si>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</si>
  <si>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</si>
  <si>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</si>
  <si>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</si>
  <si>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</si>
  <si>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</si>
  <si>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</si>
  <si>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</si>
  <si>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</si>
  <si>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</si>
  <si>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</si>
  <si>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</si>
  <si>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</si>
  <si>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</si>
  <si>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</si>
  <si>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</si>
  <si>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</si>
  <si>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</si>
  <si>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</si>
  <si>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</si>
  <si>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</si>
  <si>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</si>
  <si>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</si>
  <si>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</si>
  <si>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</si>
  <si>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</si>
  <si>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</si>
  <si>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</si>
  <si>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</si>
  <si>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</si>
  <si>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</si>
  <si>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</si>
  <si>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</si>
  <si>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</si>
  <si>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</si>
  <si>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</si>
  <si>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</si>
  <si>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</si>
  <si>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</si>
  <si>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</si>
  <si>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</si>
  <si>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</si>
  <si>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</si>
  <si>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</si>
  <si>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</si>
  <si>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</si>
  <si>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</si>
  <si>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</si>
  <si>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</si>
  <si>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</si>
  <si>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</si>
  <si>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</si>
  <si>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</si>
  <si>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</si>
  <si>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</si>
  <si>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</si>
  <si>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</si>
  <si>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</si>
  <si>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</si>
  <si>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</si>
  <si>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</si>
  <si>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</si>
  <si>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</si>
  <si>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</si>
  <si>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</si>
  <si>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</si>
  <si>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</si>
  <si>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</si>
  <si>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</si>
  <si>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</si>
  <si>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</si>
  <si>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</si>
  <si>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</si>
  <si>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</si>
  <si>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</si>
  <si>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</si>
  <si>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</si>
  <si>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</si>
  <si>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</si>
  <si>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</si>
  <si>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</si>
  <si>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</si>
  <si>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</si>
  <si>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</si>
  <si>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</si>
  <si>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</si>
  <si>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</si>
  <si>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</si>
  <si>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</si>
  <si>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</si>
  <si>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</si>
  <si>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</si>
  <si>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</si>
  <si>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</si>
  <si>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</si>
  <si>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</si>
  <si>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</si>
  <si>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</si>
  <si>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</si>
  <si>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</si>
  <si>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</si>
  <si>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</si>
  <si>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</si>
  <si>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</si>
  <si>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</si>
  <si>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</si>
  <si>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</si>
  <si>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</si>
  <si>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</si>
  <si>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</si>
  <si>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</si>
  <si>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</si>
  <si>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</si>
  <si>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</si>
  <si>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</si>
  <si>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</si>
  <si>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</si>
  <si>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</si>
  <si>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</si>
  <si>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</si>
  <si>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</si>
  <si>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</si>
  <si>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</si>
  <si>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</si>
  <si>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</si>
  <si>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</si>
  <si>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</si>
  <si>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</si>
  <si>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</si>
  <si>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</si>
  <si>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</si>
  <si>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</si>
  <si>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</si>
  <si>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</si>
  <si>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</si>
  <si>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</si>
  <si>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</si>
  <si>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</si>
  <si>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</si>
  <si>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</si>
  <si>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</si>
  <si>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</si>
  <si>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</si>
  <si>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</si>
  <si>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</si>
  <si>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</si>
  <si>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</si>
  <si>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</si>
  <si>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</si>
  <si>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</si>
  <si>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</si>
  <si>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</si>
  <si>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</si>
  <si>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</si>
  <si>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</si>
  <si>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</si>
  <si>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</si>
  <si>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</si>
  <si>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</si>
  <si>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</si>
  <si>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</si>
  <si>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</si>
  <si>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</si>
  <si>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</si>
  <si>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</si>
  <si>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</si>
  <si>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</si>
  <si>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</si>
  <si>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</si>
  <si>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</si>
  <si>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</si>
  <si>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</si>
  <si>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</si>
  <si>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</si>
  <si>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</si>
  <si>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</si>
  <si>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</si>
  <si>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</si>
  <si>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</si>
  <si>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</si>
  <si>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</si>
  <si>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</si>
  <si>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</si>
  <si>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</si>
  <si>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</si>
  <si>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</si>
  <si>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</si>
  <si>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</si>
  <si>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</si>
  <si>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</si>
  <si>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</si>
  <si>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</si>
  <si>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</si>
  <si>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</si>
  <si>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</si>
  <si>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</si>
  <si>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</si>
  <si>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</si>
  <si>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</si>
  <si>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</si>
  <si>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</si>
  <si>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</si>
  <si>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</si>
  <si>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</si>
  <si>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</si>
  <si>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</si>
  <si>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</si>
  <si>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</si>
  <si>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</si>
  <si>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</si>
  <si>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</si>
  <si>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</si>
  <si>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</si>
  <si>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</si>
  <si>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</si>
  <si>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</si>
  <si>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</si>
  <si>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</si>
  <si>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</si>
  <si>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</si>
  <si>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</si>
  <si>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</si>
  <si>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</si>
  <si>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</si>
  <si>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</si>
  <si>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</si>
  <si>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</si>
  <si>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</si>
  <si>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</si>
  <si>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</si>
  <si>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</si>
  <si>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</si>
  <si>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</si>
  <si>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</si>
  <si>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</si>
  <si>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</si>
  <si>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</si>
  <si>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</si>
  <si>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</si>
  <si>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</si>
  <si>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</si>
  <si>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</si>
  <si>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</si>
  <si>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</si>
  <si>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</si>
  <si>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</si>
  <si>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</si>
  <si>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</si>
  <si>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</si>
  <si>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</si>
  <si>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</si>
  <si>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</si>
  <si>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</si>
  <si>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</si>
  <si>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</si>
  <si>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</si>
  <si>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</si>
  <si>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</si>
  <si>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</si>
  <si>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</si>
  <si>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</si>
  <si>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</si>
  <si>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</si>
  <si>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</si>
  <si>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</si>
  <si>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</si>
  <si>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</si>
  <si>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</si>
  <si>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</si>
  <si>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</si>
  <si>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</si>
  <si>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</si>
  <si>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</si>
  <si>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</si>
  <si>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</si>
  <si>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</si>
  <si>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</si>
  <si>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</si>
  <si>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</si>
  <si>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</si>
  <si>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</si>
  <si>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</si>
  <si>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</si>
  <si>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</si>
  <si>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</si>
  <si>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</si>
  <si>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</si>
  <si>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</si>
  <si>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</si>
  <si>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</si>
  <si>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</si>
  <si>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</si>
  <si>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</si>
  <si>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</si>
  <si>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</si>
  <si>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</si>
  <si>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</si>
  <si>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</si>
  <si>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</si>
  <si>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</si>
  <si>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</si>
  <si>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</si>
  <si>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</si>
  <si>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</si>
  <si>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</si>
  <si>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</si>
  <si>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</si>
  <si>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</si>
  <si>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</si>
  <si>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</si>
  <si>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</si>
  <si>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</si>
  <si>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</si>
  <si>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</si>
  <si>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</si>
  <si>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</si>
  <si>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</si>
  <si>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</si>
  <si>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</si>
  <si>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</si>
  <si>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</si>
  <si>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</si>
  <si>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</si>
  <si>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</si>
  <si>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</si>
  <si>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</si>
  <si>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</si>
  <si>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</si>
  <si>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</si>
  <si>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</si>
  <si>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</si>
  <si>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</si>
  <si>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</si>
  <si>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</si>
  <si>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</si>
  <si>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</si>
  <si>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</si>
  <si>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</si>
  <si>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</si>
  <si>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</si>
  <si>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</si>
  <si>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</si>
  <si>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</si>
  <si>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</si>
  <si>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</si>
  <si>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</si>
  <si>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</si>
  <si>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</si>
  <si>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</si>
  <si>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</si>
  <si>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</si>
  <si>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</si>
  <si>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</si>
  <si>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</si>
  <si>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</si>
  <si>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</si>
  <si>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</si>
  <si>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</si>
  <si>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</si>
  <si>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</si>
  <si>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</si>
  <si>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</si>
  <si>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</si>
  <si>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</si>
  <si>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</si>
  <si>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</si>
  <si>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</si>
  <si>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</si>
  <si>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</si>
  <si>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</si>
  <si>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</si>
  <si>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</si>
  <si>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</si>
  <si>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</si>
  <si>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</si>
  <si>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</si>
  <si>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</si>
  <si>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</si>
  <si>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</si>
  <si>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</si>
  <si>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</si>
  <si>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</si>
  <si>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</si>
  <si>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</si>
  <si>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</si>
  <si>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</si>
  <si>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</si>
  <si>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</si>
  <si>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</si>
  <si>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</si>
  <si>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</si>
  <si>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</si>
  <si>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</si>
  <si>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</si>
  <si>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</si>
  <si>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</si>
  <si>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</si>
  <si>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</si>
  <si>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</si>
  <si>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</si>
  <si>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</si>
  <si>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</si>
  <si>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</si>
  <si>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</si>
  <si>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</si>
  <si>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</si>
  <si>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</si>
  <si>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</si>
  <si>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</si>
  <si>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</si>
  <si>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</si>
  <si>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</si>
  <si>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</si>
  <si>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</si>
  <si>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</si>
  <si>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</si>
  <si>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</si>
  <si>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</si>
  <si>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</si>
  <si>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</si>
  <si>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</si>
  <si>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</si>
  <si>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</si>
  <si>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</si>
  <si>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</si>
  <si>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</si>
  <si>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</si>
  <si>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</si>
  <si>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</si>
  <si>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</si>
  <si>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</si>
  <si>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</si>
  <si>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</si>
  <si>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</si>
  <si>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</si>
  <si>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</si>
  <si>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</si>
  <si>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</si>
  <si>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</si>
  <si>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</si>
  <si>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</si>
  <si>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</si>
  <si>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</si>
  <si>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</si>
  <si>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</si>
  <si>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</si>
  <si>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</si>
  <si>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</si>
  <si>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</si>
  <si>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</si>
  <si>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</si>
  <si>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</si>
  <si>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</si>
  <si>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</si>
  <si>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</si>
  <si>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</si>
  <si>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</si>
  <si>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</si>
  <si>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</si>
  <si>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</si>
  <si>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</si>
  <si>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</si>
  <si>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</si>
  <si>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</si>
  <si>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</si>
  <si>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</si>
  <si>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</si>
  <si>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</si>
  <si>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</si>
  <si>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</si>
  <si>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</si>
  <si>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</si>
  <si>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</si>
  <si>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</si>
  <si>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</si>
  <si>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</si>
  <si>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</si>
  <si>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</si>
  <si>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</si>
  <si>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</si>
  <si>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</si>
  <si>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</si>
  <si>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</si>
  <si>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</si>
  <si>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</si>
  <si>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</si>
  <si>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</si>
  <si>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</si>
  <si>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</si>
  <si>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</si>
  <si>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</si>
  <si>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</si>
  <si>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</si>
  <si>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</si>
  <si>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</si>
  <si>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</si>
  <si>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</si>
  <si>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</si>
  <si>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</si>
  <si>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</si>
  <si>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</si>
  <si>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</si>
  <si>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</si>
  <si>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</si>
  <si>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</si>
  <si>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</si>
  <si>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</si>
  <si>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</si>
  <si>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</si>
  <si>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</si>
  <si>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</si>
  <si>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</si>
  <si>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</si>
  <si>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</si>
  <si>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</si>
  <si>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</si>
  <si>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</si>
  <si>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</si>
  <si>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</si>
  <si>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</si>
  <si>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</si>
  <si>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</si>
  <si>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</si>
  <si>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</si>
  <si>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</si>
  <si>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</si>
  <si>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</si>
  <si>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</si>
  <si>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</si>
  <si>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</si>
  <si>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</si>
  <si>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</si>
  <si>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</si>
  <si>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</si>
  <si>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</si>
  <si>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</si>
  <si>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</si>
  <si>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</si>
  <si>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</si>
  <si>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</si>
  <si>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</si>
  <si>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</si>
  <si>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</si>
  <si>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</si>
  <si>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</si>
  <si>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</si>
  <si>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</si>
  <si>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</si>
  <si>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</si>
  <si>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</si>
  <si>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</si>
  <si>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</si>
  <si>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</si>
  <si>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</si>
  <si>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</si>
  <si>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</si>
  <si>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</si>
  <si>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</si>
  <si>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</si>
  <si>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</si>
  <si>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</si>
  <si>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</si>
  <si>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</si>
  <si>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</si>
  <si>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</si>
  <si>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</si>
  <si>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</si>
  <si>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</si>
  <si>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</si>
  <si>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</si>
  <si>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</si>
  <si>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</si>
  <si>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</si>
  <si>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</si>
  <si>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</si>
  <si>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</si>
  <si>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</si>
  <si>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</si>
  <si>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</si>
  <si>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</si>
  <si>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</si>
  <si>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</si>
  <si>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</si>
  <si>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</si>
  <si>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</si>
  <si>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</si>
  <si>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</si>
  <si>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</si>
  <si>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</si>
  <si>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</si>
  <si>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</si>
  <si>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</si>
  <si>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</si>
  <si>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</si>
  <si>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</si>
  <si>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</si>
  <si>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</si>
  <si>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</si>
  <si>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</si>
  <si>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</si>
  <si>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</si>
  <si>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</si>
  <si>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</si>
  <si>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</si>
  <si>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</si>
  <si>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</si>
  <si>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</si>
  <si>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</si>
  <si>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</si>
  <si>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</si>
  <si>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</si>
  <si>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</si>
  <si>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</si>
  <si>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</si>
  <si>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</si>
  <si>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</si>
  <si>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</si>
  <si>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</si>
  <si>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</si>
  <si>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</si>
  <si>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</si>
  <si>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</si>
  <si>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</si>
  <si>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</si>
  <si>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</si>
  <si>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</si>
  <si>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</si>
  <si>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</si>
  <si>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</si>
  <si>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</si>
  <si>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</si>
  <si>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</si>
  <si>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</si>
  <si>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</si>
  <si>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</si>
  <si>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</si>
  <si>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</si>
  <si>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</si>
  <si>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</si>
  <si>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</si>
  <si>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</si>
  <si>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</si>
  <si>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</si>
  <si>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</si>
  <si>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</si>
  <si>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</si>
  <si>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</si>
  <si>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</si>
  <si>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</si>
  <si>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</si>
  <si>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</si>
  <si>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</si>
  <si>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</si>
  <si>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</si>
  <si>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</si>
  <si>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</si>
  <si>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</si>
  <si>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</si>
  <si>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</si>
  <si>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</si>
  <si>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</si>
  <si>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</si>
  <si>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</si>
  <si>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</si>
  <si>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</si>
  <si>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</si>
  <si>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</si>
  <si>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</si>
  <si>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</si>
  <si>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</si>
  <si>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</si>
  <si>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</si>
  <si>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</si>
  <si>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</si>
  <si>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</si>
  <si>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</si>
  <si>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</si>
  <si>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</si>
  <si>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</si>
  <si>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</si>
  <si>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</si>
  <si>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</si>
  <si>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</si>
  <si>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</si>
  <si>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</si>
  <si>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</si>
  <si>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</si>
  <si>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</si>
  <si>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</si>
  <si>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</si>
  <si>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</si>
  <si>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</si>
  <si>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</si>
  <si>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</si>
  <si>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</si>
  <si>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</si>
  <si>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</si>
  <si>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</si>
  <si>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</si>
  <si>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</si>
  <si>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</si>
  <si>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</si>
  <si>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</si>
  <si>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</si>
  <si>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</si>
  <si>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</si>
  <si>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</si>
  <si>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</si>
  <si>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</si>
  <si>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</si>
  <si>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</si>
  <si>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</si>
  <si>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</si>
  <si>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</si>
  <si>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</si>
  <si>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</si>
  <si>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</si>
  <si>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</si>
  <si>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</si>
  <si>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</si>
  <si>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</si>
  <si>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</si>
  <si>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</si>
  <si>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</si>
  <si>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</si>
  <si>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</si>
  <si>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</si>
  <si>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</si>
  <si>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</si>
  <si>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</si>
  <si>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</si>
  <si>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</si>
  <si>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</si>
  <si>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</si>
  <si>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</si>
  <si>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</si>
  <si>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</si>
  <si>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</si>
  <si>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</si>
  <si>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</si>
  <si>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</si>
  <si>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</si>
  <si>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</si>
  <si>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</si>
  <si>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</si>
  <si>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</si>
  <si>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</si>
  <si>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</si>
  <si>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</si>
  <si>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</si>
  <si>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</si>
  <si>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</si>
  <si>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</si>
  <si>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</si>
  <si>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</si>
  <si>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</si>
  <si>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</si>
  <si>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</si>
  <si>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</si>
  <si>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</si>
  <si>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</si>
  <si>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</si>
  <si>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</si>
  <si>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</si>
  <si>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</si>
  <si>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</si>
  <si>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</si>
  <si>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</si>
  <si>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</si>
  <si>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</si>
  <si>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</si>
  <si>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</si>
  <si>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</si>
  <si>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</si>
  <si>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</si>
  <si>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</si>
  <si>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</si>
  <si>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</si>
  <si>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</si>
  <si>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</si>
  <si>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</si>
  <si>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</si>
  <si>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</si>
  <si>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</si>
  <si>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</si>
  <si>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</si>
  <si>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</si>
  <si>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</si>
  <si>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</si>
  <si>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</si>
  <si>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</si>
  <si>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</si>
  <si>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</si>
  <si>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</si>
  <si>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</si>
  <si>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</si>
  <si>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</si>
  <si>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</si>
  <si>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</si>
  <si>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</si>
  <si>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</si>
  <si>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</si>
  <si>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</si>
  <si>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</si>
  <si>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</si>
  <si>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</si>
  <si>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</si>
  <si>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</si>
  <si>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</si>
  <si>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</si>
  <si>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</si>
  <si>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</si>
  <si>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</si>
  <si>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</si>
  <si>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</si>
  <si>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</si>
  <si>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</si>
  <si>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</si>
  <si>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</si>
  <si>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</si>
  <si>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</si>
  <si>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</si>
  <si>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</si>
  <si>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</si>
  <si>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</si>
  <si>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</si>
  <si>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</si>
  <si>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</si>
  <si>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</si>
  <si>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</si>
  <si>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</si>
  <si>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</si>
  <si>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</si>
  <si>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</si>
  <si>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</si>
  <si>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</si>
  <si>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</si>
  <si>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</si>
  <si>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</si>
  <si>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</si>
  <si>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</si>
  <si>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</si>
  <si>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</si>
  <si>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</si>
  <si>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</si>
  <si>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</si>
  <si>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</si>
  <si>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</si>
  <si>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</si>
  <si>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</si>
  <si>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</si>
  <si>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</si>
  <si>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</si>
  <si>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</si>
  <si>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</si>
  <si>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</si>
  <si>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</si>
  <si>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</si>
  <si>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</si>
  <si>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</si>
  <si>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</si>
  <si>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</si>
  <si>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</si>
  <si>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</si>
  <si>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</si>
  <si>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</si>
  <si>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</si>
  <si>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</si>
  <si>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</si>
  <si>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</si>
  <si>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</si>
  <si>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</si>
  <si>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</si>
  <si>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</si>
  <si>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</si>
  <si>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</si>
  <si>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</si>
  <si>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</si>
  <si>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</si>
  <si>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</si>
  <si>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</si>
  <si>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</si>
  <si>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</si>
  <si>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</si>
  <si>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</si>
  <si>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</si>
  <si>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</si>
  <si>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</si>
  <si>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</si>
  <si>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</si>
  <si>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</si>
  <si>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</si>
  <si>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</si>
  <si>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</si>
  <si>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</si>
  <si>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</si>
  <si>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</si>
  <si>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</si>
  <si>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</si>
  <si>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</si>
  <si>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</si>
  <si>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</si>
  <si>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</si>
  <si>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</si>
  <si>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</si>
  <si>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</si>
  <si>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</si>
  <si>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</si>
  <si>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</si>
  <si>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</si>
  <si>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</si>
  <si>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</si>
  <si>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24107</t>
  </si>
  <si>
    <t>TIENEN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</si>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</sst>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306723.27847045602</c:v>
                </c:pt>
                <c:pt idx="1">
                  <c:v>171873.27839660936</c:v>
                </c:pt>
                <c:pt idx="2">
                  <c:v>2457.9780000000001</c:v>
                </c:pt>
                <c:pt idx="3">
                  <c:v>10229.388433973661</c:v>
                </c:pt>
                <c:pt idx="4">
                  <c:v>256786.61174741946</c:v>
                </c:pt>
                <c:pt idx="5">
                  <c:v>219531.90022416253</c:v>
                </c:pt>
                <c:pt idx="6">
                  <c:v>3618.8274943433512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306723.27847045602</c:v>
                </c:pt>
                <c:pt idx="1">
                  <c:v>171873.27839660936</c:v>
                </c:pt>
                <c:pt idx="2">
                  <c:v>2457.9780000000001</c:v>
                </c:pt>
                <c:pt idx="3">
                  <c:v>10229.388433973661</c:v>
                </c:pt>
                <c:pt idx="4">
                  <c:v>256786.61174741946</c:v>
                </c:pt>
                <c:pt idx="5">
                  <c:v>219531.90022416253</c:v>
                </c:pt>
                <c:pt idx="6">
                  <c:v>3618.8274943433512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64092.160056057248</c:v>
                </c:pt>
                <c:pt idx="2">
                  <c:v>35517.319104545139</c:v>
                </c:pt>
                <c:pt idx="3">
                  <c:v>523.35390362373278</c:v>
                </c:pt>
                <c:pt idx="4">
                  <c:v>2602.2004927145654</c:v>
                </c:pt>
                <c:pt idx="5">
                  <c:v>56767.58274282865</c:v>
                </c:pt>
                <c:pt idx="6">
                  <c:v>55513.488736254396</c:v>
                </c:pt>
                <c:pt idx="7">
                  <c:v>925.05210644349734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64092.160056057248</c:v>
                </c:pt>
                <c:pt idx="2">
                  <c:v>35517.319104545139</c:v>
                </c:pt>
                <c:pt idx="3">
                  <c:v>523.35390362373278</c:v>
                </c:pt>
                <c:pt idx="4">
                  <c:v>2602.2004927145654</c:v>
                </c:pt>
                <c:pt idx="5">
                  <c:v>56767.58274282865</c:v>
                </c:pt>
                <c:pt idx="6">
                  <c:v>55513.488736254396</c:v>
                </c:pt>
                <c:pt idx="7">
                  <c:v>925.05210644349734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24107</v>
      </c>
      <c r="B6" s="395"/>
      <c r="C6" s="396"/>
    </row>
    <row r="7" spans="1:7" s="393" customFormat="1" ht="15.75" customHeight="1">
      <c r="A7" s="397" t="str">
        <f>txtMunicipality</f>
        <v>TIENEN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0.21292049954219799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0.21292049954219799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14747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4656</v>
      </c>
      <c r="C14" s="332"/>
      <c r="D14" s="332"/>
      <c r="E14" s="332"/>
      <c r="F14" s="332"/>
    </row>
    <row r="15" spans="1:6">
      <c r="A15" s="1306" t="s">
        <v>183</v>
      </c>
      <c r="B15" s="1307">
        <v>14</v>
      </c>
      <c r="C15" s="332"/>
      <c r="D15" s="332"/>
      <c r="E15" s="332"/>
      <c r="F15" s="332"/>
    </row>
    <row r="16" spans="1:6">
      <c r="A16" s="1306" t="s">
        <v>6</v>
      </c>
      <c r="B16" s="1307">
        <v>685</v>
      </c>
      <c r="C16" s="332"/>
      <c r="D16" s="332"/>
      <c r="E16" s="332"/>
      <c r="F16" s="332"/>
    </row>
    <row r="17" spans="1:6">
      <c r="A17" s="1306" t="s">
        <v>7</v>
      </c>
      <c r="B17" s="1307">
        <v>837</v>
      </c>
      <c r="C17" s="332"/>
      <c r="D17" s="332"/>
      <c r="E17" s="332"/>
      <c r="F17" s="332"/>
    </row>
    <row r="18" spans="1:6">
      <c r="A18" s="1306" t="s">
        <v>8</v>
      </c>
      <c r="B18" s="1307">
        <v>1299</v>
      </c>
      <c r="C18" s="332"/>
      <c r="D18" s="332"/>
      <c r="E18" s="332"/>
      <c r="F18" s="332"/>
    </row>
    <row r="19" spans="1:6">
      <c r="A19" s="1306" t="s">
        <v>9</v>
      </c>
      <c r="B19" s="1307">
        <v>1122</v>
      </c>
      <c r="C19" s="332"/>
      <c r="D19" s="332"/>
      <c r="E19" s="332"/>
      <c r="F19" s="332"/>
    </row>
    <row r="20" spans="1:6">
      <c r="A20" s="1306" t="s">
        <v>10</v>
      </c>
      <c r="B20" s="1307">
        <v>796</v>
      </c>
      <c r="C20" s="332"/>
      <c r="D20" s="332"/>
      <c r="E20" s="332"/>
      <c r="F20" s="332"/>
    </row>
    <row r="21" spans="1:6">
      <c r="A21" s="1306" t="s">
        <v>11</v>
      </c>
      <c r="B21" s="1307">
        <v>523</v>
      </c>
      <c r="C21" s="332"/>
      <c r="D21" s="332"/>
      <c r="E21" s="332"/>
      <c r="F21" s="332"/>
    </row>
    <row r="22" spans="1:6">
      <c r="A22" s="1306" t="s">
        <v>12</v>
      </c>
      <c r="B22" s="1307">
        <v>8775</v>
      </c>
      <c r="C22" s="332"/>
      <c r="D22" s="332"/>
      <c r="E22" s="332"/>
      <c r="F22" s="332"/>
    </row>
    <row r="23" spans="1:6">
      <c r="A23" s="1306" t="s">
        <v>13</v>
      </c>
      <c r="B23" s="1307">
        <v>36</v>
      </c>
      <c r="C23" s="332"/>
      <c r="D23" s="332"/>
      <c r="E23" s="332"/>
      <c r="F23" s="332"/>
    </row>
    <row r="24" spans="1:6">
      <c r="A24" s="1306" t="s">
        <v>14</v>
      </c>
      <c r="B24" s="1307">
        <v>8</v>
      </c>
      <c r="C24" s="332"/>
      <c r="D24" s="332"/>
      <c r="E24" s="332"/>
      <c r="F24" s="332"/>
    </row>
    <row r="25" spans="1:6">
      <c r="A25" s="1306" t="s">
        <v>15</v>
      </c>
      <c r="B25" s="1307">
        <v>215</v>
      </c>
      <c r="C25" s="332"/>
      <c r="D25" s="332"/>
      <c r="E25" s="332"/>
      <c r="F25" s="332"/>
    </row>
    <row r="26" spans="1:6">
      <c r="A26" s="1306" t="s">
        <v>16</v>
      </c>
      <c r="B26" s="1307">
        <v>225</v>
      </c>
      <c r="C26" s="332"/>
      <c r="D26" s="332"/>
      <c r="E26" s="332"/>
      <c r="F26" s="332"/>
    </row>
    <row r="27" spans="1:6">
      <c r="A27" s="1306" t="s">
        <v>17</v>
      </c>
      <c r="B27" s="1307">
        <v>7</v>
      </c>
      <c r="C27" s="332"/>
      <c r="D27" s="332"/>
      <c r="E27" s="332"/>
      <c r="F27" s="332"/>
    </row>
    <row r="28" spans="1:6" s="43" customFormat="1">
      <c r="A28" s="1308" t="s">
        <v>18</v>
      </c>
      <c r="B28" s="1309">
        <v>22388</v>
      </c>
      <c r="C28" s="338"/>
      <c r="D28" s="338"/>
      <c r="E28" s="338"/>
      <c r="F28" s="338"/>
    </row>
    <row r="29" spans="1:6">
      <c r="A29" s="1308" t="s">
        <v>916</v>
      </c>
      <c r="B29" s="1309">
        <v>186</v>
      </c>
      <c r="C29" s="338"/>
      <c r="D29" s="338"/>
      <c r="E29" s="338"/>
      <c r="F29" s="338"/>
    </row>
    <row r="30" spans="1:6">
      <c r="A30" s="1301" t="s">
        <v>917</v>
      </c>
      <c r="B30" s="1310">
        <v>16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7267</v>
      </c>
    </row>
    <row r="36" spans="1:6">
      <c r="A36" s="1306" t="s">
        <v>24</v>
      </c>
      <c r="B36" s="1306" t="s">
        <v>26</v>
      </c>
      <c r="C36" s="1307">
        <v>3</v>
      </c>
      <c r="D36" s="1307">
        <v>42380.859609886997</v>
      </c>
      <c r="E36" s="1307">
        <v>20</v>
      </c>
      <c r="F36" s="1307">
        <v>95294.092292114598</v>
      </c>
    </row>
    <row r="37" spans="1:6">
      <c r="A37" s="1306" t="s">
        <v>24</v>
      </c>
      <c r="B37" s="1306" t="s">
        <v>27</v>
      </c>
      <c r="C37" s="1307">
        <v>0</v>
      </c>
      <c r="D37" s="1307">
        <v>0</v>
      </c>
      <c r="E37" s="1307">
        <v>0</v>
      </c>
      <c r="F37" s="1307">
        <v>0</v>
      </c>
    </row>
    <row r="38" spans="1:6">
      <c r="A38" s="1306" t="s">
        <v>24</v>
      </c>
      <c r="B38" s="1306" t="s">
        <v>28</v>
      </c>
      <c r="C38" s="1307">
        <v>1</v>
      </c>
      <c r="D38" s="1307">
        <v>194976.94813030501</v>
      </c>
      <c r="E38" s="1307">
        <v>1</v>
      </c>
      <c r="F38" s="1307">
        <v>5349.9989049471997</v>
      </c>
    </row>
    <row r="39" spans="1:6">
      <c r="A39" s="1306" t="s">
        <v>29</v>
      </c>
      <c r="B39" s="1306" t="s">
        <v>30</v>
      </c>
      <c r="C39" s="1307">
        <v>10677</v>
      </c>
      <c r="D39" s="1307">
        <v>202115785.17333201</v>
      </c>
      <c r="E39" s="1307">
        <v>14962</v>
      </c>
      <c r="F39" s="1307">
        <v>51682184.262187302</v>
      </c>
    </row>
    <row r="40" spans="1:6">
      <c r="A40" s="1306" t="s">
        <v>29</v>
      </c>
      <c r="B40" s="1306" t="s">
        <v>28</v>
      </c>
      <c r="C40" s="1307">
        <v>0</v>
      </c>
      <c r="D40" s="1307">
        <v>0</v>
      </c>
      <c r="E40" s="1307">
        <v>0</v>
      </c>
      <c r="F40" s="1307">
        <v>0</v>
      </c>
    </row>
    <row r="41" spans="1:6">
      <c r="A41" s="1306" t="s">
        <v>31</v>
      </c>
      <c r="B41" s="1306" t="s">
        <v>32</v>
      </c>
      <c r="C41" s="1307">
        <v>83</v>
      </c>
      <c r="D41" s="1307">
        <v>2468229.1187379998</v>
      </c>
      <c r="E41" s="1307">
        <v>192</v>
      </c>
      <c r="F41" s="1307">
        <v>11068325.8402666</v>
      </c>
    </row>
    <row r="42" spans="1:6">
      <c r="A42" s="1306" t="s">
        <v>31</v>
      </c>
      <c r="B42" s="1306" t="s">
        <v>33</v>
      </c>
      <c r="C42" s="1307">
        <v>3</v>
      </c>
      <c r="D42" s="1307">
        <v>165118.266814481</v>
      </c>
      <c r="E42" s="1307">
        <v>0</v>
      </c>
      <c r="F42" s="1307">
        <v>0</v>
      </c>
    </row>
    <row r="43" spans="1:6">
      <c r="A43" s="1306" t="s">
        <v>31</v>
      </c>
      <c r="B43" s="1306" t="s">
        <v>34</v>
      </c>
      <c r="C43" s="1307">
        <v>0</v>
      </c>
      <c r="D43" s="1307">
        <v>0</v>
      </c>
      <c r="E43" s="1307">
        <v>0</v>
      </c>
      <c r="F43" s="1307">
        <v>0</v>
      </c>
    </row>
    <row r="44" spans="1:6">
      <c r="A44" s="1306" t="s">
        <v>31</v>
      </c>
      <c r="B44" s="1306" t="s">
        <v>35</v>
      </c>
      <c r="C44" s="1307">
        <v>13</v>
      </c>
      <c r="D44" s="1307">
        <v>209811.54542900901</v>
      </c>
      <c r="E44" s="1307">
        <v>37</v>
      </c>
      <c r="F44" s="1307">
        <v>7608687.7216053205</v>
      </c>
    </row>
    <row r="45" spans="1:6">
      <c r="A45" s="1306" t="s">
        <v>31</v>
      </c>
      <c r="B45" s="1306" t="s">
        <v>36</v>
      </c>
      <c r="C45" s="1307">
        <v>0</v>
      </c>
      <c r="D45" s="1307">
        <v>0</v>
      </c>
      <c r="E45" s="1307">
        <v>0</v>
      </c>
      <c r="F45" s="1307">
        <v>0</v>
      </c>
    </row>
    <row r="46" spans="1:6">
      <c r="A46" s="1306" t="s">
        <v>31</v>
      </c>
      <c r="B46" s="1306" t="s">
        <v>37</v>
      </c>
      <c r="C46" s="1307">
        <v>4</v>
      </c>
      <c r="D46" s="1307">
        <v>2670369.5467086099</v>
      </c>
      <c r="E46" s="1307">
        <v>4</v>
      </c>
      <c r="F46" s="1307">
        <v>21658118.8339542</v>
      </c>
    </row>
    <row r="47" spans="1:6">
      <c r="A47" s="1306" t="s">
        <v>31</v>
      </c>
      <c r="B47" s="1306" t="s">
        <v>38</v>
      </c>
      <c r="C47" s="1307">
        <v>0</v>
      </c>
      <c r="D47" s="1307">
        <v>0</v>
      </c>
      <c r="E47" s="1307">
        <v>3</v>
      </c>
      <c r="F47" s="1307">
        <v>7531.5201243990005</v>
      </c>
    </row>
    <row r="48" spans="1:6">
      <c r="A48" s="1306" t="s">
        <v>31</v>
      </c>
      <c r="B48" s="1306" t="s">
        <v>28</v>
      </c>
      <c r="C48" s="1307">
        <v>36</v>
      </c>
      <c r="D48" s="1307">
        <v>25309547.289159499</v>
      </c>
      <c r="E48" s="1307">
        <v>42</v>
      </c>
      <c r="F48" s="1307">
        <v>53772405.937444203</v>
      </c>
    </row>
    <row r="49" spans="1:6">
      <c r="A49" s="1306" t="s">
        <v>31</v>
      </c>
      <c r="B49" s="1306" t="s">
        <v>39</v>
      </c>
      <c r="C49" s="1307">
        <v>0</v>
      </c>
      <c r="D49" s="1307">
        <v>0</v>
      </c>
      <c r="E49" s="1307">
        <v>0</v>
      </c>
      <c r="F49" s="1307">
        <v>0</v>
      </c>
    </row>
    <row r="50" spans="1:6">
      <c r="A50" s="1306" t="s">
        <v>31</v>
      </c>
      <c r="B50" s="1306" t="s">
        <v>40</v>
      </c>
      <c r="C50" s="1307">
        <v>21</v>
      </c>
      <c r="D50" s="1307">
        <v>1144635.0279772</v>
      </c>
      <c r="E50" s="1307">
        <v>28</v>
      </c>
      <c r="F50" s="1307">
        <v>32254602.202603199</v>
      </c>
    </row>
    <row r="51" spans="1:6">
      <c r="A51" s="1306" t="s">
        <v>41</v>
      </c>
      <c r="B51" s="1306" t="s">
        <v>42</v>
      </c>
      <c r="C51" s="1307">
        <v>22</v>
      </c>
      <c r="D51" s="1307">
        <v>449536.04961800203</v>
      </c>
      <c r="E51" s="1307">
        <v>115</v>
      </c>
      <c r="F51" s="1307">
        <v>2014709.5685048699</v>
      </c>
    </row>
    <row r="52" spans="1:6">
      <c r="A52" s="1306" t="s">
        <v>41</v>
      </c>
      <c r="B52" s="1306" t="s">
        <v>28</v>
      </c>
      <c r="C52" s="1307">
        <v>9</v>
      </c>
      <c r="D52" s="1307">
        <v>283398.86133379902</v>
      </c>
      <c r="E52" s="1307">
        <v>5</v>
      </c>
      <c r="F52" s="1307">
        <v>59381.578011382197</v>
      </c>
    </row>
    <row r="53" spans="1:6">
      <c r="A53" s="1306" t="s">
        <v>43</v>
      </c>
      <c r="B53" s="1306" t="s">
        <v>44</v>
      </c>
      <c r="C53" s="1307">
        <v>320</v>
      </c>
      <c r="D53" s="1307">
        <v>9483915.4387666304</v>
      </c>
      <c r="E53" s="1307">
        <v>550</v>
      </c>
      <c r="F53" s="1307">
        <v>2237516.4408987099</v>
      </c>
    </row>
    <row r="54" spans="1:6">
      <c r="A54" s="1306" t="s">
        <v>45</v>
      </c>
      <c r="B54" s="1306" t="s">
        <v>46</v>
      </c>
      <c r="C54" s="1307">
        <v>0</v>
      </c>
      <c r="D54" s="1307">
        <v>0</v>
      </c>
      <c r="E54" s="1307">
        <v>1</v>
      </c>
      <c r="F54" s="1307">
        <v>2457978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84</v>
      </c>
      <c r="D57" s="1307">
        <v>3273984.0263245702</v>
      </c>
      <c r="E57" s="1307">
        <v>131</v>
      </c>
      <c r="F57" s="1307">
        <v>3558042.98797327</v>
      </c>
    </row>
    <row r="58" spans="1:6">
      <c r="A58" s="1306" t="s">
        <v>48</v>
      </c>
      <c r="B58" s="1306" t="s">
        <v>50</v>
      </c>
      <c r="C58" s="1307">
        <v>106</v>
      </c>
      <c r="D58" s="1307">
        <v>18472474.472906701</v>
      </c>
      <c r="E58" s="1307">
        <v>113</v>
      </c>
      <c r="F58" s="1307">
        <v>7785096.0935559999</v>
      </c>
    </row>
    <row r="59" spans="1:6">
      <c r="A59" s="1306" t="s">
        <v>48</v>
      </c>
      <c r="B59" s="1306" t="s">
        <v>51</v>
      </c>
      <c r="C59" s="1307">
        <v>295</v>
      </c>
      <c r="D59" s="1307">
        <v>16737942.676945999</v>
      </c>
      <c r="E59" s="1307">
        <v>471</v>
      </c>
      <c r="F59" s="1307">
        <v>16225451.9393174</v>
      </c>
    </row>
    <row r="60" spans="1:6">
      <c r="A60" s="1306" t="s">
        <v>48</v>
      </c>
      <c r="B60" s="1306" t="s">
        <v>52</v>
      </c>
      <c r="C60" s="1307">
        <v>134</v>
      </c>
      <c r="D60" s="1307">
        <v>11003312.610941401</v>
      </c>
      <c r="E60" s="1307">
        <v>159</v>
      </c>
      <c r="F60" s="1307">
        <v>4589580.1905676397</v>
      </c>
    </row>
    <row r="61" spans="1:6">
      <c r="A61" s="1306" t="s">
        <v>48</v>
      </c>
      <c r="B61" s="1306" t="s">
        <v>53</v>
      </c>
      <c r="C61" s="1307">
        <v>269</v>
      </c>
      <c r="D61" s="1307">
        <v>39431330.6081407</v>
      </c>
      <c r="E61" s="1307">
        <v>699</v>
      </c>
      <c r="F61" s="1307">
        <v>23894294.056859601</v>
      </c>
    </row>
    <row r="62" spans="1:6">
      <c r="A62" s="1306" t="s">
        <v>48</v>
      </c>
      <c r="B62" s="1306" t="s">
        <v>54</v>
      </c>
      <c r="C62" s="1307">
        <v>14</v>
      </c>
      <c r="D62" s="1307">
        <v>3870288.0196920298</v>
      </c>
      <c r="E62" s="1307">
        <v>18</v>
      </c>
      <c r="F62" s="1307">
        <v>680407.325331314</v>
      </c>
    </row>
    <row r="63" spans="1:6">
      <c r="A63" s="1306" t="s">
        <v>48</v>
      </c>
      <c r="B63" s="1306" t="s">
        <v>28</v>
      </c>
      <c r="C63" s="1307">
        <v>108</v>
      </c>
      <c r="D63" s="1307">
        <v>11237728.7937144</v>
      </c>
      <c r="E63" s="1307">
        <v>90</v>
      </c>
      <c r="F63" s="1307">
        <v>5888442.4503034595</v>
      </c>
    </row>
    <row r="64" spans="1:6">
      <c r="A64" s="1306" t="s">
        <v>55</v>
      </c>
      <c r="B64" s="1306" t="s">
        <v>56</v>
      </c>
      <c r="C64" s="1307">
        <v>0</v>
      </c>
      <c r="D64" s="1307">
        <v>0</v>
      </c>
      <c r="E64" s="1307">
        <v>0</v>
      </c>
      <c r="F64" s="1307">
        <v>0</v>
      </c>
    </row>
    <row r="65" spans="1:6">
      <c r="A65" s="1306" t="s">
        <v>55</v>
      </c>
      <c r="B65" s="1306" t="s">
        <v>28</v>
      </c>
      <c r="C65" s="1307">
        <v>2</v>
      </c>
      <c r="D65" s="1307">
        <v>46376.739708330002</v>
      </c>
      <c r="E65" s="1307">
        <v>1</v>
      </c>
      <c r="F65" s="1307">
        <v>4095.8919024754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1855389.27671488</v>
      </c>
      <c r="E68" s="1310">
        <v>13</v>
      </c>
      <c r="F68" s="1310">
        <v>2285819.4997183601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131631425</v>
      </c>
      <c r="E73" s="456"/>
      <c r="F73" s="332"/>
    </row>
    <row r="74" spans="1:6">
      <c r="A74" s="1306" t="s">
        <v>63</v>
      </c>
      <c r="B74" s="1306" t="s">
        <v>724</v>
      </c>
      <c r="C74" s="1320" t="s">
        <v>725</v>
      </c>
      <c r="D74" s="1321">
        <v>15093485.835939003</v>
      </c>
      <c r="E74" s="456"/>
      <c r="F74" s="332"/>
    </row>
    <row r="75" spans="1:6">
      <c r="A75" s="1306" t="s">
        <v>64</v>
      </c>
      <c r="B75" s="1306" t="s">
        <v>722</v>
      </c>
      <c r="C75" s="1320" t="s">
        <v>726</v>
      </c>
      <c r="D75" s="1321">
        <v>45564038</v>
      </c>
      <c r="E75" s="456"/>
      <c r="F75" s="332"/>
    </row>
    <row r="76" spans="1:6">
      <c r="A76" s="1306" t="s">
        <v>64</v>
      </c>
      <c r="B76" s="1306" t="s">
        <v>724</v>
      </c>
      <c r="C76" s="1320" t="s">
        <v>727</v>
      </c>
      <c r="D76" s="1321">
        <v>1587470.8359390025</v>
      </c>
      <c r="E76" s="456"/>
      <c r="F76" s="332"/>
    </row>
    <row r="77" spans="1:6">
      <c r="A77" s="1306" t="s">
        <v>65</v>
      </c>
      <c r="B77" s="1306" t="s">
        <v>722</v>
      </c>
      <c r="C77" s="1320" t="s">
        <v>728</v>
      </c>
      <c r="D77" s="1321">
        <v>49849302</v>
      </c>
      <c r="E77" s="456"/>
      <c r="F77" s="332"/>
    </row>
    <row r="78" spans="1:6">
      <c r="A78" s="1301" t="s">
        <v>65</v>
      </c>
      <c r="B78" s="1301" t="s">
        <v>724</v>
      </c>
      <c r="C78" s="1301" t="s">
        <v>729</v>
      </c>
      <c r="D78" s="1322">
        <v>6068471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957566.32812199509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4088.6271693244717</v>
      </c>
      <c r="C91" s="332"/>
      <c r="D91" s="332"/>
      <c r="E91" s="332"/>
      <c r="F91" s="332"/>
    </row>
    <row r="92" spans="1:6">
      <c r="A92" s="1301" t="s">
        <v>68</v>
      </c>
      <c r="B92" s="1302">
        <v>5107.4231667162358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7932</v>
      </c>
      <c r="C97" s="332"/>
      <c r="D97" s="332"/>
      <c r="E97" s="332"/>
      <c r="F97" s="332"/>
    </row>
    <row r="98" spans="1:6">
      <c r="A98" s="1306" t="s">
        <v>71</v>
      </c>
      <c r="B98" s="1307">
        <v>4</v>
      </c>
      <c r="C98" s="332"/>
      <c r="D98" s="332"/>
      <c r="E98" s="332"/>
      <c r="F98" s="332"/>
    </row>
    <row r="99" spans="1:6">
      <c r="A99" s="1306" t="s">
        <v>72</v>
      </c>
      <c r="B99" s="1307">
        <v>90</v>
      </c>
      <c r="C99" s="332"/>
      <c r="D99" s="332"/>
      <c r="E99" s="332"/>
      <c r="F99" s="332"/>
    </row>
    <row r="100" spans="1:6">
      <c r="A100" s="1306" t="s">
        <v>73</v>
      </c>
      <c r="B100" s="1307">
        <v>630</v>
      </c>
      <c r="C100" s="332"/>
      <c r="D100" s="332"/>
      <c r="E100" s="332"/>
      <c r="F100" s="332"/>
    </row>
    <row r="101" spans="1:6">
      <c r="A101" s="1306" t="s">
        <v>74</v>
      </c>
      <c r="B101" s="1307">
        <v>56</v>
      </c>
      <c r="C101" s="332"/>
      <c r="D101" s="332"/>
      <c r="E101" s="332"/>
      <c r="F101" s="332"/>
    </row>
    <row r="102" spans="1:6">
      <c r="A102" s="1306" t="s">
        <v>75</v>
      </c>
      <c r="B102" s="1307">
        <v>307</v>
      </c>
      <c r="C102" s="332"/>
      <c r="D102" s="332"/>
      <c r="E102" s="332"/>
      <c r="F102" s="332"/>
    </row>
    <row r="103" spans="1:6">
      <c r="A103" s="1306" t="s">
        <v>76</v>
      </c>
      <c r="B103" s="1307">
        <v>329</v>
      </c>
      <c r="C103" s="332"/>
      <c r="D103" s="332"/>
      <c r="E103" s="332"/>
      <c r="F103" s="332"/>
    </row>
    <row r="104" spans="1:6">
      <c r="A104" s="1306" t="s">
        <v>77</v>
      </c>
      <c r="B104" s="1307">
        <v>4635</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12</v>
      </c>
      <c r="C123" s="1307">
        <v>13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97</v>
      </c>
      <c r="C129" s="332"/>
      <c r="D129" s="332"/>
      <c r="E129" s="332"/>
      <c r="F129" s="332"/>
    </row>
    <row r="130" spans="1:6">
      <c r="A130" s="1306" t="s">
        <v>294</v>
      </c>
      <c r="B130" s="1307">
        <v>0</v>
      </c>
      <c r="C130" s="332"/>
      <c r="D130" s="332"/>
      <c r="E130" s="332"/>
      <c r="F130" s="332"/>
    </row>
    <row r="131" spans="1:6">
      <c r="A131" s="1306" t="s">
        <v>295</v>
      </c>
      <c r="B131" s="1307">
        <v>7</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251541.18560665101</v>
      </c>
      <c r="C3" s="43" t="s">
        <v>169</v>
      </c>
      <c r="D3" s="43"/>
      <c r="E3" s="156"/>
      <c r="F3" s="43"/>
      <c r="G3" s="43"/>
      <c r="H3" s="43"/>
      <c r="I3" s="43"/>
      <c r="J3" s="43"/>
      <c r="K3" s="96"/>
    </row>
    <row r="4" spans="1:11">
      <c r="A4" s="363" t="s">
        <v>170</v>
      </c>
      <c r="B4" s="49">
        <f>IF(ISERROR('SEAP template'!B78+'SEAP template'!C78),0,'SEAP template'!B78+'SEAP template'!C78)</f>
        <v>9196.0503360407074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0.21292049954219799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2457.9780000000001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2457.9780000000001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0.21292049954219799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523.35390362373278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51682.1842621873</v>
      </c>
      <c r="C5" s="17">
        <f>IF(ISERROR('Eigen informatie GS &amp; warmtenet'!B57),0,'Eigen informatie GS &amp; warmtenet'!B57)</f>
        <v>0</v>
      </c>
      <c r="D5" s="30">
        <f>(SUM(HH_hh_gas_kWh,HH_rest_gas_kWh)/1000)*0.902</f>
        <v>182308.43822634546</v>
      </c>
      <c r="E5" s="17">
        <f>B46*B57</f>
        <v>4874.9690045144425</v>
      </c>
      <c r="F5" s="17">
        <f>B51*B62</f>
        <v>50940.481135150047</v>
      </c>
      <c r="G5" s="18"/>
      <c r="H5" s="17"/>
      <c r="I5" s="17"/>
      <c r="J5" s="17">
        <f>B50*B61+C50*C61</f>
        <v>1930.4521959163817</v>
      </c>
      <c r="K5" s="17"/>
      <c r="L5" s="17"/>
      <c r="M5" s="17"/>
      <c r="N5" s="17">
        <f>B48*B59+C48*C59</f>
        <v>10382.959810351203</v>
      </c>
      <c r="O5" s="17">
        <f>B69*B70*B71</f>
        <v>171.96666666666667</v>
      </c>
      <c r="P5" s="17">
        <f>B77*B78*B79/1000-B77*B78*B79/1000/B80</f>
        <v>343.2</v>
      </c>
    </row>
    <row r="6" spans="1:16">
      <c r="A6" s="16" t="s">
        <v>633</v>
      </c>
      <c r="B6" s="779">
        <f>kWh_PV_kleiner_dan_10kW</f>
        <v>4088.6271693244717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55770.811431511771</v>
      </c>
      <c r="C8" s="21">
        <f>C5</f>
        <v>0</v>
      </c>
      <c r="D8" s="21">
        <f>D5</f>
        <v>182308.43822634546</v>
      </c>
      <c r="E8" s="21">
        <f>E5</f>
        <v>4874.9690045144425</v>
      </c>
      <c r="F8" s="21">
        <f>F5</f>
        <v>50940.481135150047</v>
      </c>
      <c r="G8" s="21"/>
      <c r="H8" s="21"/>
      <c r="I8" s="21"/>
      <c r="J8" s="21">
        <f>J5</f>
        <v>1930.4521959163817</v>
      </c>
      <c r="K8" s="21"/>
      <c r="L8" s="21">
        <f>L5</f>
        <v>0</v>
      </c>
      <c r="M8" s="21">
        <f>M5</f>
        <v>0</v>
      </c>
      <c r="N8" s="21">
        <f>N5</f>
        <v>10382.959810351203</v>
      </c>
      <c r="O8" s="21">
        <f>O5</f>
        <v>171.96666666666667</v>
      </c>
      <c r="P8" s="21">
        <f>P5</f>
        <v>343.2</v>
      </c>
    </row>
    <row r="9" spans="1:16">
      <c r="B9" s="19"/>
      <c r="C9" s="19"/>
      <c r="D9" s="261"/>
      <c r="E9" s="19"/>
      <c r="F9" s="19"/>
      <c r="G9" s="19"/>
      <c r="H9" s="19"/>
      <c r="I9" s="19"/>
      <c r="J9" s="19"/>
      <c r="K9" s="19"/>
      <c r="L9" s="19"/>
      <c r="M9" s="19"/>
      <c r="N9" s="19"/>
      <c r="O9" s="19"/>
      <c r="P9" s="19"/>
    </row>
    <row r="10" spans="1:16">
      <c r="A10" s="24" t="s">
        <v>213</v>
      </c>
      <c r="B10" s="25">
        <f ca="1">'EF ele_warmte'!B12</f>
        <v>0.21292049954219799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11874.749029871213</v>
      </c>
      <c r="C12" s="23">
        <f ca="1">C10*C8</f>
        <v>0</v>
      </c>
      <c r="D12" s="23">
        <f>D8*D10</f>
        <v>36826.304521721788</v>
      </c>
      <c r="E12" s="23">
        <f>E10*E8</f>
        <v>1106.6179640247785</v>
      </c>
      <c r="F12" s="23">
        <f>F10*F8</f>
        <v>13601.108463085064</v>
      </c>
      <c r="G12" s="23"/>
      <c r="H12" s="23"/>
      <c r="I12" s="23"/>
      <c r="J12" s="23">
        <f>J10*J8</f>
        <v>683.38007735439908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7932</v>
      </c>
      <c r="C18" s="168" t="s">
        <v>110</v>
      </c>
      <c r="D18" s="230"/>
      <c r="E18" s="15"/>
    </row>
    <row r="19" spans="1:7">
      <c r="A19" s="173" t="s">
        <v>71</v>
      </c>
      <c r="B19" s="37">
        <f>aantalw2001_ander</f>
        <v>4</v>
      </c>
      <c r="C19" s="168" t="s">
        <v>110</v>
      </c>
      <c r="D19" s="231"/>
      <c r="E19" s="15"/>
    </row>
    <row r="20" spans="1:7">
      <c r="A20" s="173" t="s">
        <v>72</v>
      </c>
      <c r="B20" s="37">
        <f>aantalw2001_propaan</f>
        <v>90</v>
      </c>
      <c r="C20" s="169">
        <f>IF(ISERROR(B20/SUM($B$20,$B$21,$B$22)*100),0,B20/SUM($B$20,$B$21,$B$22)*100)</f>
        <v>11.597938144329897</v>
      </c>
      <c r="D20" s="231"/>
      <c r="E20" s="15"/>
    </row>
    <row r="21" spans="1:7">
      <c r="A21" s="173" t="s">
        <v>73</v>
      </c>
      <c r="B21" s="37">
        <f>aantalw2001_elektriciteit</f>
        <v>630</v>
      </c>
      <c r="C21" s="169">
        <f>IF(ISERROR(B21/SUM($B$20,$B$21,$B$22)*100),0,B21/SUM($B$20,$B$21,$B$22)*100)</f>
        <v>81.185567010309285</v>
      </c>
      <c r="D21" s="231"/>
      <c r="E21" s="15"/>
    </row>
    <row r="22" spans="1:7">
      <c r="A22" s="173" t="s">
        <v>74</v>
      </c>
      <c r="B22" s="37">
        <f>aantalw2001_hout</f>
        <v>56</v>
      </c>
      <c r="C22" s="169">
        <f>IF(ISERROR(B22/SUM($B$20,$B$21,$B$22)*100),0,B22/SUM($B$20,$B$21,$B$22)*100)</f>
        <v>7.216494845360824</v>
      </c>
      <c r="D22" s="231"/>
      <c r="E22" s="15"/>
    </row>
    <row r="23" spans="1:7">
      <c r="A23" s="173" t="s">
        <v>75</v>
      </c>
      <c r="B23" s="37">
        <f>aantalw2001_niet_gespec</f>
        <v>307</v>
      </c>
      <c r="C23" s="168" t="s">
        <v>110</v>
      </c>
      <c r="D23" s="230"/>
      <c r="E23" s="15"/>
    </row>
    <row r="24" spans="1:7">
      <c r="A24" s="173" t="s">
        <v>76</v>
      </c>
      <c r="B24" s="37">
        <f>aantalw2001_steenkool</f>
        <v>329</v>
      </c>
      <c r="C24" s="168" t="s">
        <v>110</v>
      </c>
      <c r="D24" s="231"/>
      <c r="E24" s="15"/>
    </row>
    <row r="25" spans="1:7">
      <c r="A25" s="173" t="s">
        <v>77</v>
      </c>
      <c r="B25" s="37">
        <f>aantalw2001_stookolie</f>
        <v>4635</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14747</v>
      </c>
      <c r="C28" s="36"/>
      <c r="D28" s="230"/>
    </row>
    <row r="29" spans="1:7" s="15" customFormat="1">
      <c r="A29" s="232" t="s">
        <v>743</v>
      </c>
      <c r="B29" s="37">
        <f>SUM(HH_hh_gas_aantal,HH_rest_gas_aantal)</f>
        <v>10677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10677</v>
      </c>
      <c r="C32" s="169">
        <f>IF(ISERROR(B32/SUM($B$32,$B$34,$B$35,$B$36,$B$38,$B$39)*100),0,B32/SUM($B$32,$B$34,$B$35,$B$36,$B$38,$B$39)*100)</f>
        <v>72.489646276054046</v>
      </c>
      <c r="D32" s="235"/>
      <c r="G32" s="15"/>
    </row>
    <row r="33" spans="1:7">
      <c r="A33" s="173" t="s">
        <v>71</v>
      </c>
      <c r="B33" s="34" t="s">
        <v>110</v>
      </c>
      <c r="C33" s="169"/>
      <c r="D33" s="235"/>
      <c r="G33" s="15"/>
    </row>
    <row r="34" spans="1:7">
      <c r="A34" s="173" t="s">
        <v>72</v>
      </c>
      <c r="B34" s="33">
        <f>IF((($B$28-$B$32-$B$39-$B$77-$B$38)*C20/100)&lt;0,0,($B$28-$B$32-$B$39-$B$77-$B$38)*C20/100)</f>
        <v>212.59020618556701</v>
      </c>
      <c r="C34" s="169">
        <f>IF(ISERROR(B34/SUM($B$32,$B$34,$B$35,$B$36,$B$38,$B$39)*100),0,B34/SUM($B$32,$B$34,$B$35,$B$36,$B$38,$B$39)*100)</f>
        <v>1.4433444645635618</v>
      </c>
      <c r="D34" s="235"/>
      <c r="G34" s="15"/>
    </row>
    <row r="35" spans="1:7">
      <c r="A35" s="173" t="s">
        <v>73</v>
      </c>
      <c r="B35" s="33">
        <f>IF((($B$28-$B$32-$B$39-$B$77-$B$38)*C21/100)&lt;0,0,($B$28-$B$32-$B$39-$B$77-$B$38)*C21/100)</f>
        <v>1488.1314432989693</v>
      </c>
      <c r="C35" s="169">
        <f>IF(ISERROR(B35/SUM($B$32,$B$34,$B$35,$B$36,$B$38,$B$39)*100),0,B35/SUM($B$32,$B$34,$B$35,$B$36,$B$38,$B$39)*100)</f>
        <v>10.103411251944934</v>
      </c>
      <c r="D35" s="235"/>
      <c r="G35" s="15"/>
    </row>
    <row r="36" spans="1:7">
      <c r="A36" s="173" t="s">
        <v>74</v>
      </c>
      <c r="B36" s="33">
        <f>IF((($B$28-$B$32-$B$39-$B$77-$B$38)*C22/100)&lt;0,0,($B$28-$B$32-$B$39-$B$77-$B$38)*C22/100)</f>
        <v>132.2783505154639</v>
      </c>
      <c r="C36" s="169">
        <f>IF(ISERROR(B36/SUM($B$32,$B$34,$B$35,$B$36,$B$38,$B$39)*100),0,B36/SUM($B$32,$B$34,$B$35,$B$36,$B$38,$B$39)*100)</f>
        <v>0.89808100017288273</v>
      </c>
      <c r="D36" s="235"/>
      <c r="G36" s="15"/>
    </row>
    <row r="37" spans="1:7">
      <c r="A37" s="173" t="s">
        <v>75</v>
      </c>
      <c r="B37" s="34" t="s">
        <v>110</v>
      </c>
      <c r="C37" s="169"/>
      <c r="D37" s="175"/>
      <c r="G37" s="15"/>
    </row>
    <row r="38" spans="1:7">
      <c r="A38" s="173" t="s">
        <v>76</v>
      </c>
      <c r="B38" s="33">
        <f>IF((B24-(B29-B18)*0.1)&lt;0,0,B24-(B29-B18)*0.1)</f>
        <v>54.5</v>
      </c>
      <c r="C38" s="169">
        <f>IF(ISERROR(B38/SUM($B$32,$B$34,$B$35,$B$36,$B$38,$B$39)*100),0,B38/SUM($B$32,$B$34,$B$35,$B$36,$B$38,$B$39)*100)</f>
        <v>0.37001833118337973</v>
      </c>
      <c r="D38" s="236"/>
      <c r="G38" s="15"/>
    </row>
    <row r="39" spans="1:7">
      <c r="A39" s="173" t="s">
        <v>77</v>
      </c>
      <c r="B39" s="33">
        <f>IF((B25-(B29-B18))&lt;0,0,B25-(B29-B18)*0.9)</f>
        <v>2164.5</v>
      </c>
      <c r="C39" s="169">
        <f>IF(ISERROR(B39/SUM($B$32,$B$34,$B$35,$B$36,$B$38,$B$39)*100),0,B39/SUM($B$32,$B$34,$B$35,$B$36,$B$38,$B$39)*100)</f>
        <v>14.695498676081201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10677</v>
      </c>
      <c r="C44" s="34" t="s">
        <v>110</v>
      </c>
      <c r="D44" s="176"/>
    </row>
    <row r="45" spans="1:7">
      <c r="A45" s="173" t="s">
        <v>71</v>
      </c>
      <c r="B45" s="33" t="str">
        <f t="shared" si="0"/>
        <v>-</v>
      </c>
      <c r="C45" s="34" t="s">
        <v>110</v>
      </c>
      <c r="D45" s="176"/>
    </row>
    <row r="46" spans="1:7">
      <c r="A46" s="173" t="s">
        <v>72</v>
      </c>
      <c r="B46" s="33">
        <f t="shared" si="0"/>
        <v>212.59020618556701</v>
      </c>
      <c r="C46" s="34" t="s">
        <v>110</v>
      </c>
      <c r="D46" s="176"/>
    </row>
    <row r="47" spans="1:7">
      <c r="A47" s="173" t="s">
        <v>73</v>
      </c>
      <c r="B47" s="33">
        <f t="shared" si="0"/>
        <v>1488.1314432989693</v>
      </c>
      <c r="C47" s="34" t="s">
        <v>110</v>
      </c>
      <c r="D47" s="176"/>
    </row>
    <row r="48" spans="1:7">
      <c r="A48" s="173" t="s">
        <v>74</v>
      </c>
      <c r="B48" s="33">
        <f t="shared" si="0"/>
        <v>132.2783505154639</v>
      </c>
      <c r="C48" s="33">
        <f>B48*10</f>
        <v>1322.783505154639</v>
      </c>
      <c r="D48" s="236"/>
    </row>
    <row r="49" spans="1:6">
      <c r="A49" s="173" t="s">
        <v>75</v>
      </c>
      <c r="B49" s="33" t="str">
        <f t="shared" si="0"/>
        <v>-</v>
      </c>
      <c r="C49" s="34" t="s">
        <v>110</v>
      </c>
      <c r="D49" s="236"/>
    </row>
    <row r="50" spans="1:6">
      <c r="A50" s="173" t="s">
        <v>76</v>
      </c>
      <c r="B50" s="33">
        <f t="shared" si="0"/>
        <v>54.5</v>
      </c>
      <c r="C50" s="33">
        <f>B50*2</f>
        <v>109</v>
      </c>
      <c r="D50" s="236"/>
    </row>
    <row r="51" spans="1:6">
      <c r="A51" s="173" t="s">
        <v>77</v>
      </c>
      <c r="B51" s="33">
        <f t="shared" si="0"/>
        <v>2164.5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62621.315043908682</v>
      </c>
      <c r="C5" s="17">
        <f>IF(ISERROR('Eigen informatie GS &amp; warmtenet'!B58),0,'Eigen informatie GS &amp; warmtenet'!B58)</f>
        <v>0</v>
      </c>
      <c r="D5" s="30">
        <f>SUM(D6:D12)</f>
        <v>93832.40921021656</v>
      </c>
      <c r="E5" s="17">
        <f>SUM(E6:E12)</f>
        <v>681.96492595994118</v>
      </c>
      <c r="F5" s="17">
        <f>SUM(F6:F12)</f>
        <v>11516.871628277502</v>
      </c>
      <c r="G5" s="18"/>
      <c r="H5" s="17"/>
      <c r="I5" s="17"/>
      <c r="J5" s="17">
        <f>SUM(J6:J12)</f>
        <v>0</v>
      </c>
      <c r="K5" s="17"/>
      <c r="L5" s="17"/>
      <c r="M5" s="17"/>
      <c r="N5" s="17">
        <f>SUM(N6:N12)</f>
        <v>3087.2509215800133</v>
      </c>
      <c r="O5" s="17">
        <f>B38*B39*B40</f>
        <v>0</v>
      </c>
      <c r="P5" s="17">
        <f>B46*B47*B48/1000-B46*B47*B48/1000/B49</f>
        <v>133.46666666666667</v>
      </c>
      <c r="R5" s="32"/>
    </row>
    <row r="6" spans="1:18">
      <c r="A6" s="32" t="s">
        <v>53</v>
      </c>
      <c r="B6" s="37">
        <f>B26</f>
        <v>23894.294056859602</v>
      </c>
      <c r="C6" s="33"/>
      <c r="D6" s="37">
        <f>IF(ISERROR(TER_kantoor_gas_kWh/1000),0,TER_kantoor_gas_kWh/1000)*0.902</f>
        <v>35567.060208542913</v>
      </c>
      <c r="E6" s="33">
        <f>$C$26*'E Balans VL '!I12/100/3.6*1000000</f>
        <v>92.834391127696748</v>
      </c>
      <c r="F6" s="33">
        <f>$C$26*('E Balans VL '!L12+'E Balans VL '!N12)/100/3.6*1000000</f>
        <v>3634.1047053067141</v>
      </c>
      <c r="G6" s="34"/>
      <c r="H6" s="33"/>
      <c r="I6" s="33"/>
      <c r="J6" s="33">
        <f>$C$26*('E Balans VL '!D12+'E Balans VL '!E12)/100/3.6*1000000</f>
        <v>0</v>
      </c>
      <c r="K6" s="33"/>
      <c r="L6" s="33"/>
      <c r="M6" s="33"/>
      <c r="N6" s="33">
        <f>$C$26*'E Balans VL '!Y12/100/3.6*1000000</f>
        <v>13.168618491263869</v>
      </c>
      <c r="O6" s="33"/>
      <c r="P6" s="33"/>
      <c r="R6" s="32"/>
    </row>
    <row r="7" spans="1:18">
      <c r="A7" s="32" t="s">
        <v>52</v>
      </c>
      <c r="B7" s="37">
        <f t="shared" ref="B7:B12" si="0">B27</f>
        <v>4589.5801905676399</v>
      </c>
      <c r="C7" s="33"/>
      <c r="D7" s="37">
        <f>IF(ISERROR(TER_horeca_gas_kWh/1000),0,TER_horeca_gas_kWh/1000)*0.902</f>
        <v>9924.9879750691434</v>
      </c>
      <c r="E7" s="33">
        <f>$C$27*'E Balans VL '!I9/100/3.6*1000000</f>
        <v>258.53227918511737</v>
      </c>
      <c r="F7" s="33">
        <f>$C$27*('E Balans VL '!L9+'E Balans VL '!N9)/100/3.6*1000000</f>
        <v>1323.3601544029043</v>
      </c>
      <c r="G7" s="34"/>
      <c r="H7" s="33"/>
      <c r="I7" s="33"/>
      <c r="J7" s="33">
        <f>$C$27*('E Balans VL '!D9+'E Balans VL '!E9)/100/3.6*1000000</f>
        <v>0</v>
      </c>
      <c r="K7" s="33"/>
      <c r="L7" s="33"/>
      <c r="M7" s="33"/>
      <c r="N7" s="33">
        <f>$C$27*'E Balans VL '!Y9/100/3.6*1000000</f>
        <v>1.2671592409131098</v>
      </c>
      <c r="O7" s="33"/>
      <c r="P7" s="33"/>
      <c r="R7" s="32"/>
    </row>
    <row r="8" spans="1:18">
      <c r="A8" s="6" t="s">
        <v>51</v>
      </c>
      <c r="B8" s="37">
        <f t="shared" si="0"/>
        <v>16225.4519393174</v>
      </c>
      <c r="C8" s="33"/>
      <c r="D8" s="37">
        <f>IF(ISERROR(TER_handel_gas_kWh/1000),0,TER_handel_gas_kWh/1000)*0.902</f>
        <v>15097.624294605293</v>
      </c>
      <c r="E8" s="33">
        <f>$C$28*'E Balans VL '!I13/100/3.6*1000000</f>
        <v>233.86380992810831</v>
      </c>
      <c r="F8" s="33">
        <f>$C$28*('E Balans VL '!L13+'E Balans VL '!N13)/100/3.6*1000000</f>
        <v>2818.7388671371841</v>
      </c>
      <c r="G8" s="34"/>
      <c r="H8" s="33"/>
      <c r="I8" s="33"/>
      <c r="J8" s="33">
        <f>$C$28*('E Balans VL '!D13+'E Balans VL '!E13)/100/3.6*1000000</f>
        <v>0</v>
      </c>
      <c r="K8" s="33"/>
      <c r="L8" s="33"/>
      <c r="M8" s="33"/>
      <c r="N8" s="33">
        <f>$C$28*'E Balans VL '!Y13/100/3.6*1000000</f>
        <v>48.613260264713936</v>
      </c>
      <c r="O8" s="33"/>
      <c r="P8" s="33"/>
      <c r="R8" s="32"/>
    </row>
    <row r="9" spans="1:18">
      <c r="A9" s="32" t="s">
        <v>50</v>
      </c>
      <c r="B9" s="37">
        <f t="shared" si="0"/>
        <v>7785.0960935559997</v>
      </c>
      <c r="C9" s="33"/>
      <c r="D9" s="37">
        <f>IF(ISERROR(TER_gezond_gas_kWh/1000),0,TER_gezond_gas_kWh/1000)*0.902</f>
        <v>16662.171974561847</v>
      </c>
      <c r="E9" s="33">
        <f>$C$29*'E Balans VL '!I10/100/3.6*1000000</f>
        <v>8.3165004507230638</v>
      </c>
      <c r="F9" s="33">
        <f>$C$29*('E Balans VL '!L10+'E Balans VL '!N10)/100/3.6*1000000</f>
        <v>1269.9857708076615</v>
      </c>
      <c r="G9" s="34"/>
      <c r="H9" s="33"/>
      <c r="I9" s="33"/>
      <c r="J9" s="33">
        <f>$C$29*('E Balans VL '!D10+'E Balans VL '!E10)/100/3.6*1000000</f>
        <v>0</v>
      </c>
      <c r="K9" s="33"/>
      <c r="L9" s="33"/>
      <c r="M9" s="33"/>
      <c r="N9" s="33">
        <f>$C$29*'E Balans VL '!Y10/100/3.6*1000000</f>
        <v>80.143122195949033</v>
      </c>
      <c r="O9" s="33"/>
      <c r="P9" s="33"/>
      <c r="R9" s="32"/>
    </row>
    <row r="10" spans="1:18">
      <c r="A10" s="32" t="s">
        <v>49</v>
      </c>
      <c r="B10" s="37">
        <f t="shared" si="0"/>
        <v>3558.0429879732701</v>
      </c>
      <c r="C10" s="33"/>
      <c r="D10" s="37">
        <f>IF(ISERROR(TER_ander_gas_kWh/1000),0,TER_ander_gas_kWh/1000)*0.902</f>
        <v>2953.1335917447623</v>
      </c>
      <c r="E10" s="33">
        <f>$C$30*'E Balans VL '!I14/100/3.6*1000000</f>
        <v>16.362898483173979</v>
      </c>
      <c r="F10" s="33">
        <f>$C$30*('E Balans VL '!L14+'E Balans VL '!N14)/100/3.6*1000000</f>
        <v>1066.4577142585397</v>
      </c>
      <c r="G10" s="34"/>
      <c r="H10" s="33"/>
      <c r="I10" s="33"/>
      <c r="J10" s="33">
        <f>$C$30*('E Balans VL '!D14+'E Balans VL '!E14)/100/3.6*1000000</f>
        <v>0</v>
      </c>
      <c r="K10" s="33"/>
      <c r="L10" s="33"/>
      <c r="M10" s="33"/>
      <c r="N10" s="33">
        <f>$C$30*'E Balans VL '!Y14/100/3.6*1000000</f>
        <v>2476.6327887820485</v>
      </c>
      <c r="O10" s="33"/>
      <c r="P10" s="33"/>
      <c r="R10" s="32"/>
    </row>
    <row r="11" spans="1:18">
      <c r="A11" s="32" t="s">
        <v>54</v>
      </c>
      <c r="B11" s="37">
        <f t="shared" si="0"/>
        <v>680.40732533131404</v>
      </c>
      <c r="C11" s="33"/>
      <c r="D11" s="37">
        <f>IF(ISERROR(TER_onderwijs_gas_kWh/1000),0,TER_onderwijs_gas_kWh/1000)*0.902</f>
        <v>3490.9997937622106</v>
      </c>
      <c r="E11" s="33">
        <f>$C$31*'E Balans VL '!I11/100/3.6*1000000</f>
        <v>0.63116727378084236</v>
      </c>
      <c r="F11" s="33">
        <f>$C$31*('E Balans VL '!L11+'E Balans VL '!N11)/100/3.6*1000000</f>
        <v>239.01145535083356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5888.4424503034597</v>
      </c>
      <c r="C12" s="33"/>
      <c r="D12" s="37">
        <f>IF(ISERROR(TER_rest_gas_kWh/1000),0,TER_rest_gas_kWh/1000)*0.902</f>
        <v>10136.43137193039</v>
      </c>
      <c r="E12" s="33">
        <f>$C$32*'E Balans VL '!I8/100/3.6*1000000</f>
        <v>71.4238795113408</v>
      </c>
      <c r="F12" s="33">
        <f>$C$32*('E Balans VL '!L8+'E Balans VL '!N8)/100/3.6*1000000</f>
        <v>1165.2129610136633</v>
      </c>
      <c r="G12" s="34"/>
      <c r="H12" s="33"/>
      <c r="I12" s="33"/>
      <c r="J12" s="33">
        <f>$C$32*('E Balans VL '!D8+'E Balans VL '!E8)/100/3.6*1000000</f>
        <v>0</v>
      </c>
      <c r="K12" s="33"/>
      <c r="L12" s="33"/>
      <c r="M12" s="33"/>
      <c r="N12" s="33">
        <f>$C$32*'E Balans VL '!Y8/100/3.6*1000000</f>
        <v>467.4259726051252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62621.315043908682</v>
      </c>
      <c r="C16" s="21">
        <f t="shared" ca="1" si="1"/>
        <v>0</v>
      </c>
      <c r="D16" s="21">
        <f t="shared" ca="1" si="1"/>
        <v>93832.40921021656</v>
      </c>
      <c r="E16" s="21">
        <f t="shared" si="1"/>
        <v>681.96492595994118</v>
      </c>
      <c r="F16" s="21">
        <f t="shared" ca="1" si="1"/>
        <v>11516.871628277502</v>
      </c>
      <c r="G16" s="21">
        <f t="shared" si="1"/>
        <v>0</v>
      </c>
      <c r="H16" s="21">
        <f t="shared" si="1"/>
        <v>0</v>
      </c>
      <c r="I16" s="21">
        <f t="shared" si="1"/>
        <v>0</v>
      </c>
      <c r="J16" s="21">
        <f t="shared" si="1"/>
        <v>0</v>
      </c>
      <c r="K16" s="21">
        <f t="shared" si="1"/>
        <v>0</v>
      </c>
      <c r="L16" s="21">
        <f t="shared" ca="1" si="1"/>
        <v>0</v>
      </c>
      <c r="M16" s="21">
        <f t="shared" si="1"/>
        <v>0</v>
      </c>
      <c r="N16" s="21">
        <f t="shared" ca="1" si="1"/>
        <v>3087.2509215800133</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0.21292049954219799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13333.361681138394</v>
      </c>
      <c r="C20" s="23">
        <f t="shared" ref="C20:P20" ca="1" si="2">C16*C18</f>
        <v>0</v>
      </c>
      <c r="D20" s="23">
        <f t="shared" ca="1" si="2"/>
        <v>18954.146660463746</v>
      </c>
      <c r="E20" s="23">
        <f t="shared" si="2"/>
        <v>154.80603819290664</v>
      </c>
      <c r="F20" s="23">
        <f t="shared" ca="1" si="2"/>
        <v>3075.0047247500934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23894.294056859602</v>
      </c>
      <c r="C26" s="39">
        <f>IF(ISERROR(B26*3.6/1000000/'E Balans VL '!Z12*100),0,B26*3.6/1000000/'E Balans VL '!Z12*100)</f>
        <v>0.50752664146235449</v>
      </c>
      <c r="D26" s="239" t="s">
        <v>689</v>
      </c>
      <c r="F26" s="6"/>
    </row>
    <row r="27" spans="1:18">
      <c r="A27" s="233" t="s">
        <v>52</v>
      </c>
      <c r="B27" s="33">
        <f>IF(ISERROR(TER_horeca_ele_kWh/1000),0,TER_horeca_ele_kWh/1000)</f>
        <v>4589.5801905676399</v>
      </c>
      <c r="C27" s="39">
        <f>IF(ISERROR(B27*3.6/1000000/'E Balans VL '!Z9*100),0,B27*3.6/1000000/'E Balans VL '!Z9*100)</f>
        <v>0.35686781071933937</v>
      </c>
      <c r="D27" s="239" t="s">
        <v>689</v>
      </c>
      <c r="F27" s="6"/>
    </row>
    <row r="28" spans="1:18">
      <c r="A28" s="173" t="s">
        <v>51</v>
      </c>
      <c r="B28" s="33">
        <f>IF(ISERROR(TER_handel_ele_kWh/1000),0,TER_handel_ele_kWh/1000)</f>
        <v>16225.4519393174</v>
      </c>
      <c r="C28" s="39">
        <f>IF(ISERROR(B28*3.6/1000000/'E Balans VL '!Z13*100),0,B28*3.6/1000000/'E Balans VL '!Z13*100)</f>
        <v>0.46422927543058889</v>
      </c>
      <c r="D28" s="239" t="s">
        <v>689</v>
      </c>
      <c r="F28" s="6"/>
    </row>
    <row r="29" spans="1:18">
      <c r="A29" s="233" t="s">
        <v>50</v>
      </c>
      <c r="B29" s="33">
        <f>IF(ISERROR(TER_gezond_ele_kWh/1000),0,TER_gezond_ele_kWh/1000)</f>
        <v>7785.0960935559997</v>
      </c>
      <c r="C29" s="39">
        <f>IF(ISERROR(B29*3.6/1000000/'E Balans VL '!Z10*100),0,B29*3.6/1000000/'E Balans VL '!Z10*100)</f>
        <v>0.84875637813467875</v>
      </c>
      <c r="D29" s="239" t="s">
        <v>689</v>
      </c>
      <c r="F29" s="6"/>
    </row>
    <row r="30" spans="1:18">
      <c r="A30" s="233" t="s">
        <v>49</v>
      </c>
      <c r="B30" s="33">
        <f>IF(ISERROR(TER_ander_ele_kWh/1000),0,TER_ander_ele_kWh/1000)</f>
        <v>3558.0429879732701</v>
      </c>
      <c r="C30" s="39">
        <f>IF(ISERROR(B30*3.6/1000000/'E Balans VL '!Z14*100),0,B30*3.6/1000000/'E Balans VL '!Z14*100)</f>
        <v>0.2603695146306978</v>
      </c>
      <c r="D30" s="239" t="s">
        <v>689</v>
      </c>
      <c r="F30" s="6"/>
    </row>
    <row r="31" spans="1:18">
      <c r="A31" s="233" t="s">
        <v>54</v>
      </c>
      <c r="B31" s="33">
        <f>IF(ISERROR(TER_onderwijs_ele_kWh/1000),0,TER_onderwijs_ele_kWh/1000)</f>
        <v>680.40732533131404</v>
      </c>
      <c r="C31" s="39">
        <f>IF(ISERROR(B31*3.6/1000000/'E Balans VL '!Z11*100),0,B31*3.6/1000000/'E Balans VL '!Z11*100)</f>
        <v>0.1366603165493418</v>
      </c>
      <c r="D31" s="239" t="s">
        <v>689</v>
      </c>
    </row>
    <row r="32" spans="1:18">
      <c r="A32" s="233" t="s">
        <v>259</v>
      </c>
      <c r="B32" s="33">
        <f>IF(ISERROR(TER_rest_ele_kWh/1000),0,TER_rest_ele_kWh/1000)</f>
        <v>5888.4424503034597</v>
      </c>
      <c r="C32" s="39">
        <f>IF(ISERROR(B32*3.6/1000000/'E Balans VL '!Z8*100),0,B32*3.6/1000000/'E Balans VL '!Z8*100)</f>
        <v>4.7987232455817486E-2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7</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126369.67205599791</v>
      </c>
      <c r="C5" s="17">
        <f>IF(ISERROR('Eigen informatie GS &amp; warmtenet'!B59),0,'Eigen informatie GS &amp; warmtenet'!B59)</f>
        <v>0</v>
      </c>
      <c r="D5" s="30">
        <f>SUM(D6:D15)</f>
        <v>26426.201805802608</v>
      </c>
      <c r="E5" s="17">
        <f>SUM(E6:E15)</f>
        <v>8850.2950551636859</v>
      </c>
      <c r="F5" s="17">
        <f>SUM(F6:F15)</f>
        <v>74981.395896841292</v>
      </c>
      <c r="G5" s="18"/>
      <c r="H5" s="17"/>
      <c r="I5" s="17"/>
      <c r="J5" s="17">
        <f>SUM(J6:J15)</f>
        <v>7044.4819065845104</v>
      </c>
      <c r="K5" s="17"/>
      <c r="L5" s="17"/>
      <c r="M5" s="17"/>
      <c r="N5" s="17">
        <f>SUM(N6:N15)</f>
        <v>13114.565027029439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21658.118833954199</v>
      </c>
      <c r="C7" s="33"/>
      <c r="D7" s="37">
        <f>IF( ISERROR(IND_nonf_gas_kWhh/1000),0,IND_nonf_gas_kWh/1000)*0.902</f>
        <v>0</v>
      </c>
      <c r="E7" s="33">
        <f>C29*'E Balans VL '!I17/100/3.6*1000000</f>
        <v>5.1190916904748365</v>
      </c>
      <c r="F7" s="33">
        <f>C29*'E Balans VL '!L17/100/3.6*1000000+C29*'E Balans VL '!N17/100/3.6*1000000</f>
        <v>4921.340352162224</v>
      </c>
      <c r="G7" s="34"/>
      <c r="H7" s="33"/>
      <c r="I7" s="33"/>
      <c r="J7" s="40">
        <f>C29*'E Balans VL '!D17/100/3.6*1000000+C29*'E Balans VL '!E17/100/3.6*1000000</f>
        <v>6906.2331593877325</v>
      </c>
      <c r="K7" s="33"/>
      <c r="L7" s="33"/>
      <c r="M7" s="33"/>
      <c r="N7" s="33">
        <f>C29*'E Balans VL '!Y17/100/3.6*1000000</f>
        <v>0</v>
      </c>
      <c r="O7" s="33"/>
      <c r="P7" s="33"/>
      <c r="R7" s="32"/>
    </row>
    <row r="8" spans="1:18">
      <c r="A8" s="6" t="s">
        <v>35</v>
      </c>
      <c r="B8" s="37">
        <f t="shared" si="0"/>
        <v>7608.6877216053208</v>
      </c>
      <c r="C8" s="33"/>
      <c r="D8" s="37">
        <f>IF( ISERROR(IND_metaal_Gas_kWH/1000),0,IND_metaal_Gas_kWH/1000)*0.902</f>
        <v>189.25001397696613</v>
      </c>
      <c r="E8" s="33">
        <f>C30*'E Balans VL '!I18/100/3.6*1000000</f>
        <v>218.55007087457221</v>
      </c>
      <c r="F8" s="33">
        <f>C30*'E Balans VL '!L18/100/3.6*1000000+C30*'E Balans VL '!N18/100/3.6*1000000</f>
        <v>1951.4820644967303</v>
      </c>
      <c r="G8" s="34"/>
      <c r="H8" s="33"/>
      <c r="I8" s="33"/>
      <c r="J8" s="40">
        <f>C30*'E Balans VL '!D18/100/3.6*1000000+C30*'E Balans VL '!E18/100/3.6*1000000</f>
        <v>0</v>
      </c>
      <c r="K8" s="33"/>
      <c r="L8" s="33"/>
      <c r="M8" s="33"/>
      <c r="N8" s="33">
        <f>C30*'E Balans VL '!Y18/100/3.6*1000000</f>
        <v>206.59140317369636</v>
      </c>
      <c r="O8" s="33"/>
      <c r="P8" s="33"/>
      <c r="R8" s="32"/>
    </row>
    <row r="9" spans="1:18">
      <c r="A9" s="6" t="s">
        <v>32</v>
      </c>
      <c r="B9" s="37">
        <f t="shared" si="0"/>
        <v>11068.3258402666</v>
      </c>
      <c r="C9" s="33"/>
      <c r="D9" s="37">
        <f>IF( ISERROR(IND_andere_gas_kWh/1000),0,IND_andere_gas_kWh/1000)*0.902</f>
        <v>2226.3426651016757</v>
      </c>
      <c r="E9" s="33">
        <f>C31*'E Balans VL '!I19/100/3.6*1000000</f>
        <v>2995.9236675850675</v>
      </c>
      <c r="F9" s="33">
        <f>C31*'E Balans VL '!L19/100/3.6*1000000+C31*'E Balans VL '!N19/100/3.6*1000000</f>
        <v>7372.6762831590804</v>
      </c>
      <c r="G9" s="34"/>
      <c r="H9" s="33"/>
      <c r="I9" s="33"/>
      <c r="J9" s="40">
        <f>C31*'E Balans VL '!D19/100/3.6*1000000+C31*'E Balans VL '!E19/100/3.6*1000000</f>
        <v>0</v>
      </c>
      <c r="K9" s="33"/>
      <c r="L9" s="33"/>
      <c r="M9" s="33"/>
      <c r="N9" s="33">
        <f>C31*'E Balans VL '!Y19/100/3.6*1000000</f>
        <v>935.75363050845556</v>
      </c>
      <c r="O9" s="33"/>
      <c r="P9" s="33"/>
      <c r="R9" s="32"/>
    </row>
    <row r="10" spans="1:18">
      <c r="A10" s="6" t="s">
        <v>40</v>
      </c>
      <c r="B10" s="37">
        <f t="shared" si="0"/>
        <v>32254.602202603197</v>
      </c>
      <c r="C10" s="33"/>
      <c r="D10" s="37">
        <f>IF( ISERROR(IND_voed_gas_kWh/1000),0,IND_voed_gas_kWh/1000)*0.902</f>
        <v>1032.4607952354345</v>
      </c>
      <c r="E10" s="33">
        <f>C32*'E Balans VL '!I20/100/3.6*1000000</f>
        <v>2630.7594586646164</v>
      </c>
      <c r="F10" s="33">
        <f>C32*'E Balans VL '!L20/100/3.6*1000000+C32*'E Balans VL '!N20/100/3.6*1000000</f>
        <v>48094.538278007596</v>
      </c>
      <c r="G10" s="34"/>
      <c r="H10" s="33"/>
      <c r="I10" s="33"/>
      <c r="J10" s="40">
        <f>C32*'E Balans VL '!D20/100/3.6*1000000+C32*'E Balans VL '!E20/100/3.6*1000000</f>
        <v>0.42668923530560887</v>
      </c>
      <c r="K10" s="33"/>
      <c r="L10" s="33"/>
      <c r="M10" s="33"/>
      <c r="N10" s="33">
        <f>C32*'E Balans VL '!Y20/100/3.6*1000000</f>
        <v>9475.2639849365241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7.5315201243990009</v>
      </c>
      <c r="C13" s="33"/>
      <c r="D13" s="37">
        <f>IF( ISERROR(IND_papier_gas_kWh/1000),0,IND_papier_gas_kWh/1000)*0.902</f>
        <v>0</v>
      </c>
      <c r="E13" s="33">
        <f>C35*'E Balans VL '!I23/100/3.6*1000000</f>
        <v>7.8906394058261747E-2</v>
      </c>
      <c r="F13" s="33">
        <f>C35*'E Balans VL '!L23/100/3.6*1000000+C35*'E Balans VL '!N23/100/3.6*1000000</f>
        <v>0.56200336661471795</v>
      </c>
      <c r="G13" s="34"/>
      <c r="H13" s="33"/>
      <c r="I13" s="33"/>
      <c r="J13" s="40">
        <f>C35*'E Balans VL '!D23/100/3.6*1000000+C35*'E Balans VL '!E23/100/3.6*1000000</f>
        <v>0</v>
      </c>
      <c r="K13" s="33"/>
      <c r="L13" s="33"/>
      <c r="M13" s="33"/>
      <c r="N13" s="33">
        <f>C35*'E Balans VL '!Y23/100/3.6*1000000</f>
        <v>1.3894026127973804</v>
      </c>
      <c r="O13" s="33"/>
      <c r="P13" s="33"/>
      <c r="R13" s="32"/>
    </row>
    <row r="14" spans="1:18">
      <c r="A14" s="6" t="s">
        <v>33</v>
      </c>
      <c r="B14" s="37">
        <f t="shared" si="0"/>
        <v>0</v>
      </c>
      <c r="C14" s="33"/>
      <c r="D14" s="37">
        <f>IF( ISERROR(IND_chemie_gas_kWh/1000),0,IND_chemie_gas_kWh/1000)*0.902</f>
        <v>148.93667666666187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53772.4059374442</v>
      </c>
      <c r="C15" s="33"/>
      <c r="D15" s="37">
        <f>IF( ISERROR(IND_rest_gas_kWh/1000),0,IND_rest_gas_kWh/1000)*0.902</f>
        <v>22829.211654821869</v>
      </c>
      <c r="E15" s="33">
        <f>C37*'E Balans VL '!I15/100/3.6*1000000</f>
        <v>2999.8638599548967</v>
      </c>
      <c r="F15" s="33">
        <f>C37*'E Balans VL '!L15/100/3.6*1000000+C37*'E Balans VL '!N15/100/3.6*1000000</f>
        <v>12640.796915649045</v>
      </c>
      <c r="G15" s="34"/>
      <c r="H15" s="33"/>
      <c r="I15" s="33"/>
      <c r="J15" s="40">
        <f>C37*'E Balans VL '!D15/100/3.6*1000000+C37*'E Balans VL '!E15/100/3.6*1000000</f>
        <v>137.82205796147286</v>
      </c>
      <c r="K15" s="33"/>
      <c r="L15" s="33"/>
      <c r="M15" s="33"/>
      <c r="N15" s="33">
        <f>C37*'E Balans VL '!Y15/100/3.6*1000000</f>
        <v>2495.5666057979643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126369.67205599791</v>
      </c>
      <c r="C18" s="21">
        <f>C5+C16</f>
        <v>0</v>
      </c>
      <c r="D18" s="21">
        <f>MAX((D5+D16),0)</f>
        <v>26426.201805802608</v>
      </c>
      <c r="E18" s="21">
        <f>MAX((E5+E16),0)</f>
        <v>8850.2950551636859</v>
      </c>
      <c r="F18" s="21">
        <f>MAX((F5+F16),0)</f>
        <v>74981.395896841292</v>
      </c>
      <c r="G18" s="21"/>
      <c r="H18" s="21"/>
      <c r="I18" s="21"/>
      <c r="J18" s="21">
        <f>MAX((J5+J16),0)</f>
        <v>7044.4819065845104</v>
      </c>
      <c r="K18" s="21"/>
      <c r="L18" s="21">
        <f>MAX((L5+L16),0)</f>
        <v>0</v>
      </c>
      <c r="M18" s="21"/>
      <c r="N18" s="21">
        <f>MAX((N5+N16),0)</f>
        <v>13114.565027029439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0.21292049954219799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26906.693701146814</v>
      </c>
      <c r="C22" s="23">
        <f ca="1">C18*C20</f>
        <v>0</v>
      </c>
      <c r="D22" s="23">
        <f>D18*D20</f>
        <v>5338.0927647721273</v>
      </c>
      <c r="E22" s="23">
        <f>E18*E20</f>
        <v>2009.0169775221568</v>
      </c>
      <c r="F22" s="23">
        <f>F18*F20</f>
        <v>20020.032704456626</v>
      </c>
      <c r="G22" s="23"/>
      <c r="H22" s="23"/>
      <c r="I22" s="23"/>
      <c r="J22" s="23">
        <f>J18*J20</f>
        <v>2493.7465949309167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21658.118833954199</v>
      </c>
      <c r="C29" s="39">
        <f>IF(ISERROR(B29*3.6/1000000/'E Balans VL '!Z17*100),0,B29*3.6/1000000/'E Balans VL '!Z17*100)</f>
        <v>23.537671325419442</v>
      </c>
      <c r="D29" s="239" t="s">
        <v>689</v>
      </c>
    </row>
    <row r="30" spans="1:18">
      <c r="A30" s="173" t="s">
        <v>35</v>
      </c>
      <c r="B30" s="37">
        <f>IF( ISERROR(IND_metaal_ele_kWh/1000),0,IND_metaal_ele_kWh/1000)</f>
        <v>7608.6877216053208</v>
      </c>
      <c r="C30" s="39">
        <f>IF(ISERROR(B30*3.6/1000000/'E Balans VL '!Z18*100),0,B30*3.6/1000000/'E Balans VL '!Z18*100)</f>
        <v>0.74867544889523696</v>
      </c>
      <c r="D30" s="239" t="s">
        <v>689</v>
      </c>
    </row>
    <row r="31" spans="1:18">
      <c r="A31" s="6" t="s">
        <v>32</v>
      </c>
      <c r="B31" s="37">
        <f>IF( ISERROR(IND_ander_ele_kWh/1000),0,IND_ander_ele_kWh/1000)</f>
        <v>11068.3258402666</v>
      </c>
      <c r="C31" s="39">
        <f>IF(ISERROR(B31*3.6/1000000/'E Balans VL '!Z19*100),0,B31*3.6/1000000/'E Balans VL '!Z19*100)</f>
        <v>0.48201676122706028</v>
      </c>
      <c r="D31" s="239" t="s">
        <v>689</v>
      </c>
    </row>
    <row r="32" spans="1:18">
      <c r="A32" s="173" t="s">
        <v>40</v>
      </c>
      <c r="B32" s="37">
        <f>IF( ISERROR(IND_voed_ele_kWh/1000),0,IND_voed_ele_kWh/1000)</f>
        <v>32254.602202603197</v>
      </c>
      <c r="C32" s="39">
        <f>IF(ISERROR(B32*3.6/1000000/'E Balans VL '!Z20*100),0,B32*3.6/1000000/'E Balans VL '!Z20*100)</f>
        <v>6.1198456059766198</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7.5315201243990009</v>
      </c>
      <c r="C35" s="39">
        <f>IF(ISERROR(B35*3.6/1000000/'E Balans VL '!Z22*100),0,B35*3.6/1000000/'E Balans VL '!Z22*100)</f>
        <v>1.0590073586582555E-3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53772.4059374442</v>
      </c>
      <c r="C37" s="39">
        <f>IF(ISERROR(B37*3.6/1000000/'E Balans VL '!Z15*100),0,B37*3.6/1000000/'E Balans VL '!Z15*100)</f>
        <v>0.41438243387649121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2074.0911465162521</v>
      </c>
      <c r="C5" s="17">
        <f>'Eigen informatie GS &amp; warmtenet'!B60</f>
        <v>0</v>
      </c>
      <c r="D5" s="30">
        <f>IF(ISERROR(SUM(LB_lb_gas_kWh,LB_rest_gas_kWh)/1000),0,SUM(LB_lb_gas_kWh,LB_rest_gas_kWh)/1000)*0.902</f>
        <v>661.10728967852469</v>
      </c>
      <c r="E5" s="17">
        <f>B17*'E Balans VL '!I25/3.6*1000000/100</f>
        <v>26.136220418768506</v>
      </c>
      <c r="F5" s="17">
        <f>B17*('E Balans VL '!L25/3.6*1000000+'E Balans VL '!N25/3.6*1000000)/100</f>
        <v>7156.1340463600991</v>
      </c>
      <c r="G5" s="18"/>
      <c r="H5" s="17"/>
      <c r="I5" s="17"/>
      <c r="J5" s="17">
        <f>('E Balans VL '!D25+'E Balans VL '!E25)/3.6*1000000*landbouw!B17/100</f>
        <v>311.91973100001587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2074.0911465162521</v>
      </c>
      <c r="C8" s="21">
        <f>C5+C6</f>
        <v>0</v>
      </c>
      <c r="D8" s="21">
        <f>MAX((D5+D6),0)</f>
        <v>661.10728967852469</v>
      </c>
      <c r="E8" s="21">
        <f>MAX((E5+E6),0)</f>
        <v>26.136220418768506</v>
      </c>
      <c r="F8" s="21">
        <f>MAX((F5+F6),0)</f>
        <v>7156.1340463600991</v>
      </c>
      <c r="G8" s="21"/>
      <c r="H8" s="21"/>
      <c r="I8" s="21"/>
      <c r="J8" s="21">
        <f>MAX((J5+J6),0)</f>
        <v>311.91973100001587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0.21292049954219799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441.6165230122906</v>
      </c>
      <c r="C12" s="23">
        <f ca="1">C8*C10</f>
        <v>0</v>
      </c>
      <c r="D12" s="23">
        <f>D8*D10</f>
        <v>133.54367251506198</v>
      </c>
      <c r="E12" s="23">
        <f>E8*E10</f>
        <v>5.932922035060451</v>
      </c>
      <c r="F12" s="23">
        <f>F8*F10</f>
        <v>1910.6877903781465</v>
      </c>
      <c r="G12" s="23"/>
      <c r="H12" s="23"/>
      <c r="I12" s="23"/>
      <c r="J12" s="23">
        <f>J8*J10</f>
        <v>110.41958477400561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0.28927034338065605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327.66142361253264</v>
      </c>
      <c r="C26" s="249">
        <f>B26*'GWP N2O_CH4'!B5</f>
        <v>6880.8898958631853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89.659434657140466</v>
      </c>
      <c r="C27" s="249">
        <f>B27*'GWP N2O_CH4'!B5</f>
        <v>1882.8481277999497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4.7073428522892824</v>
      </c>
      <c r="C28" s="249">
        <f>B28*'GWP N2O_CH4'!B4</f>
        <v>1459.2762842096774</v>
      </c>
      <c r="D28" s="50"/>
    </row>
    <row r="29" spans="1:4">
      <c r="A29" s="41" t="s">
        <v>276</v>
      </c>
      <c r="B29" s="249">
        <f>B34*'ha_N2O bodem landbouw'!B4</f>
        <v>27.734042068839042</v>
      </c>
      <c r="C29" s="249">
        <f>B29*'GWP N2O_CH4'!B4</f>
        <v>8597.5530413401029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6.9249131783061029E-3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3.5285356143559249E-5</v>
      </c>
      <c r="C5" s="444" t="s">
        <v>210</v>
      </c>
      <c r="D5" s="429">
        <f>SUM(D6:D11)</f>
        <v>5.9585575156639214E-5</v>
      </c>
      <c r="E5" s="429">
        <f>SUM(E6:E11)</f>
        <v>2.2013671369121041E-3</v>
      </c>
      <c r="F5" s="442" t="s">
        <v>210</v>
      </c>
      <c r="G5" s="429">
        <f>SUM(G6:G11)</f>
        <v>0.64447914369237203</v>
      </c>
      <c r="H5" s="429">
        <f>SUM(H6:H11)</f>
        <v>0.1094512790471292</v>
      </c>
      <c r="I5" s="444" t="s">
        <v>210</v>
      </c>
      <c r="J5" s="444" t="s">
        <v>210</v>
      </c>
      <c r="K5" s="444" t="s">
        <v>210</v>
      </c>
      <c r="L5" s="444" t="s">
        <v>210</v>
      </c>
      <c r="M5" s="429">
        <f>SUM(M6:M11)</f>
        <v>3.4088179999271551E-2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2.0457030624816248E-5</v>
      </c>
      <c r="C6" s="883"/>
      <c r="D6" s="883">
        <f>vkm_GW_PW*SUMIFS(TableVerdeelsleutelVkm[CNG],TableVerdeelsleutelVkm[Voertuigtype],"Lichte voertuigen")*SUMIFS(TableECFTransport[EnergieConsumptieFactor (PJ per km)],TableECFTransport[Index],CONCATENATE($A6,"_CNG_CNG"))</f>
        <v>3.0316710060557307E-5</v>
      </c>
      <c r="E6" s="883">
        <f>vkm_GW_PW*SUMIFS(TableVerdeelsleutelVkm[LPG],TableVerdeelsleutelVkm[Voertuigtype],"Lichte voertuigen")*SUMIFS(TableECFTransport[EnergieConsumptieFactor (PJ per km)],TableECFTransport[Index],CONCATENATE($A6,"_LPG_LPG"))</f>
        <v>1.085833775960174E-3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0.21852731390180802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5.5825925846650207E-2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1.2411588958941192E-2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0.14290806206144269</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3.3203752528250021E-6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6.4525220630879494E-3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7.0811732134350998E-6</v>
      </c>
      <c r="C8" s="883"/>
      <c r="D8" s="432">
        <f>vkm_NGW_PW*SUMIFS(TableVerdeelsleutelVkm[CNG],TableVerdeelsleutelVkm[Voertuigtype],"Lichte voertuigen")*SUMIFS(TableECFTransport[EnergieConsumptieFactor (PJ per km)],TableECFTransport[Index],CONCATENATE($A8,"_CNG_CNG"))</f>
        <v>1.7808730765603635E-5</v>
      </c>
      <c r="E8" s="432">
        <f>vkm_NGW_PW*SUMIFS(TableVerdeelsleutelVkm[LPG],TableVerdeelsleutelVkm[Voertuigtype],"Lichte voertuigen")*SUMIFS(TableECFTransport[EnergieConsumptieFactor (PJ per km)],TableECFTransport[Index],CONCATENATE($A8,"_LPG_LPG"))</f>
        <v>6.0312157148106785E-4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0.11530120250641998</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3.1511579071035099E-2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6.6424450365117557E-3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1.9414548410902902E-2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5.2284774056276134E-7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8.7660043587651289E-4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7.7471523053079009E-6</v>
      </c>
      <c r="C10" s="883"/>
      <c r="D10" s="432">
        <f>vkm_SW_PW*SUMIFS(TableVerdeelsleutelVkm[CNG],TableVerdeelsleutelVkm[Voertuigtype],"Lichte voertuigen")*SUMIFS(TableECFTransport[EnergieConsumptieFactor (PJ per km)],TableECFTransport[Index],CONCATENATE($A10,"_CNG_CNG"))</f>
        <v>1.1460134330478275E-5</v>
      </c>
      <c r="E10" s="432">
        <f>vkm_SW_PW*SUMIFS(TableVerdeelsleutelVkm[LPG],TableVerdeelsleutelVkm[Voertuigtype],"Lichte voertuigen")*SUMIFS(TableECFTransport[EnergieConsumptieFactor (PJ per km)],TableECFTransport[Index],CONCATENATE($A10,"_LPG_LPG"))</f>
        <v>5.1241178947086222E-4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9.3485564491337228E-2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2.210857171765386E-2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5.2287973074666644E-3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5.4842452320461199E-2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1.3591887966538259E-6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2.4762261973874699E-3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9.8014878176553477</v>
      </c>
      <c r="C14" s="21"/>
      <c r="D14" s="21">
        <f t="shared" ref="D14:M14" si="0">((D5)*10^9/3600)+D12</f>
        <v>16.551548654622003</v>
      </c>
      <c r="E14" s="21">
        <f t="shared" si="0"/>
        <v>611.49087136447338</v>
      </c>
      <c r="F14" s="21"/>
      <c r="G14" s="21">
        <f t="shared" si="0"/>
        <v>179021.98435899225</v>
      </c>
      <c r="H14" s="21">
        <f t="shared" si="0"/>
        <v>30403.133068646999</v>
      </c>
      <c r="I14" s="21"/>
      <c r="J14" s="21"/>
      <c r="K14" s="21"/>
      <c r="L14" s="21"/>
      <c r="M14" s="21">
        <f t="shared" si="0"/>
        <v>9468.9388886865418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0.21292049954219799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2.0869376823919445</v>
      </c>
      <c r="C18" s="23"/>
      <c r="D18" s="23">
        <f t="shared" ref="D18:M18" si="1">D14*D16</f>
        <v>3.3434128282336451</v>
      </c>
      <c r="E18" s="23">
        <f t="shared" si="1"/>
        <v>138.80842779973545</v>
      </c>
      <c r="F18" s="23"/>
      <c r="G18" s="23">
        <f t="shared" si="1"/>
        <v>47798.869823850931</v>
      </c>
      <c r="H18" s="23">
        <f t="shared" si="1"/>
        <v>7570.3801340931032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1.2472612671148279E-2</v>
      </c>
      <c r="H50" s="321">
        <f t="shared" si="2"/>
        <v>0</v>
      </c>
      <c r="I50" s="321">
        <f t="shared" si="2"/>
        <v>0</v>
      </c>
      <c r="J50" s="321">
        <f t="shared" si="2"/>
        <v>0</v>
      </c>
      <c r="K50" s="321">
        <f t="shared" si="2"/>
        <v>0</v>
      </c>
      <c r="L50" s="321">
        <f t="shared" si="2"/>
        <v>0</v>
      </c>
      <c r="M50" s="321">
        <f t="shared" si="2"/>
        <v>5.5516630848778713E-4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1.2472612671148279E-2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5.5516630848778713E-4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3464.6146308745215</v>
      </c>
      <c r="H54" s="21">
        <f t="shared" si="3"/>
        <v>0</v>
      </c>
      <c r="I54" s="21">
        <f t="shared" si="3"/>
        <v>0</v>
      </c>
      <c r="J54" s="21">
        <f t="shared" si="3"/>
        <v>0</v>
      </c>
      <c r="K54" s="21">
        <f t="shared" si="3"/>
        <v>0</v>
      </c>
      <c r="L54" s="21">
        <f t="shared" si="3"/>
        <v>0</v>
      </c>
      <c r="M54" s="21">
        <f t="shared" si="3"/>
        <v>154.21286346882977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0.21292049954219799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925.05210644349734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65079.293043908685</v>
      </c>
      <c r="D10" s="686">
        <f ca="1">tertiair!C16</f>
        <v>0</v>
      </c>
      <c r="E10" s="686">
        <f ca="1">tertiair!D16</f>
        <v>93832.40921021656</v>
      </c>
      <c r="F10" s="686">
        <f>tertiair!E16</f>
        <v>681.96492595994118</v>
      </c>
      <c r="G10" s="686">
        <f ca="1">tertiair!F16</f>
        <v>11516.871628277502</v>
      </c>
      <c r="H10" s="686">
        <f>tertiair!G16</f>
        <v>0</v>
      </c>
      <c r="I10" s="686">
        <f>tertiair!H16</f>
        <v>0</v>
      </c>
      <c r="J10" s="686">
        <f>tertiair!I16</f>
        <v>0</v>
      </c>
      <c r="K10" s="686">
        <f>tertiair!J16</f>
        <v>0</v>
      </c>
      <c r="L10" s="686">
        <f>tertiair!K16</f>
        <v>0</v>
      </c>
      <c r="M10" s="686">
        <f ca="1">tertiair!L16</f>
        <v>0</v>
      </c>
      <c r="N10" s="686">
        <f>tertiair!M16</f>
        <v>0</v>
      </c>
      <c r="O10" s="686">
        <f ca="1">tertiair!N16</f>
        <v>3087.2509215800133</v>
      </c>
      <c r="P10" s="686">
        <f>tertiair!O16</f>
        <v>0</v>
      </c>
      <c r="Q10" s="687">
        <f>tertiair!P16</f>
        <v>133.46666666666667</v>
      </c>
      <c r="R10" s="689">
        <f ca="1">SUM(C10:Q10)</f>
        <v>174331.25639660936</v>
      </c>
      <c r="S10" s="67"/>
    </row>
    <row r="11" spans="1:19" s="454" customFormat="1">
      <c r="A11" s="801" t="s">
        <v>224</v>
      </c>
      <c r="B11" s="806"/>
      <c r="C11" s="686">
        <f>huishoudens!B8</f>
        <v>55770.811431511771</v>
      </c>
      <c r="D11" s="686">
        <f>huishoudens!C8</f>
        <v>0</v>
      </c>
      <c r="E11" s="686">
        <f>huishoudens!D8</f>
        <v>182308.43822634546</v>
      </c>
      <c r="F11" s="686">
        <f>huishoudens!E8</f>
        <v>4874.9690045144425</v>
      </c>
      <c r="G11" s="686">
        <f>huishoudens!F8</f>
        <v>50940.481135150047</v>
      </c>
      <c r="H11" s="686">
        <f>huishoudens!G8</f>
        <v>0</v>
      </c>
      <c r="I11" s="686">
        <f>huishoudens!H8</f>
        <v>0</v>
      </c>
      <c r="J11" s="686">
        <f>huishoudens!I8</f>
        <v>0</v>
      </c>
      <c r="K11" s="686">
        <f>huishoudens!J8</f>
        <v>1930.4521959163817</v>
      </c>
      <c r="L11" s="686">
        <f>huishoudens!K8</f>
        <v>0</v>
      </c>
      <c r="M11" s="686">
        <f>huishoudens!L8</f>
        <v>0</v>
      </c>
      <c r="N11" s="686">
        <f>huishoudens!M8</f>
        <v>0</v>
      </c>
      <c r="O11" s="686">
        <f>huishoudens!N8</f>
        <v>10382.959810351203</v>
      </c>
      <c r="P11" s="686">
        <f>huishoudens!O8</f>
        <v>171.96666666666667</v>
      </c>
      <c r="Q11" s="687">
        <f>huishoudens!P8</f>
        <v>343.2</v>
      </c>
      <c r="R11" s="689">
        <f>SUM(C11:Q11)</f>
        <v>306723.27847045602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126369.67205599791</v>
      </c>
      <c r="D13" s="686">
        <f>industrie!C18</f>
        <v>0</v>
      </c>
      <c r="E13" s="686">
        <f>industrie!D18</f>
        <v>26426.201805802608</v>
      </c>
      <c r="F13" s="686">
        <f>industrie!E18</f>
        <v>8850.2950551636859</v>
      </c>
      <c r="G13" s="686">
        <f>industrie!F18</f>
        <v>74981.395896841292</v>
      </c>
      <c r="H13" s="686">
        <f>industrie!G18</f>
        <v>0</v>
      </c>
      <c r="I13" s="686">
        <f>industrie!H18</f>
        <v>0</v>
      </c>
      <c r="J13" s="686">
        <f>industrie!I18</f>
        <v>0</v>
      </c>
      <c r="K13" s="686">
        <f>industrie!J18</f>
        <v>7044.4819065845104</v>
      </c>
      <c r="L13" s="686">
        <f>industrie!K18</f>
        <v>0</v>
      </c>
      <c r="M13" s="686">
        <f>industrie!L18</f>
        <v>0</v>
      </c>
      <c r="N13" s="686">
        <f>industrie!M18</f>
        <v>0</v>
      </c>
      <c r="O13" s="686">
        <f>industrie!N18</f>
        <v>13114.565027029439</v>
      </c>
      <c r="P13" s="686">
        <f>industrie!O18</f>
        <v>0</v>
      </c>
      <c r="Q13" s="687">
        <f>industrie!P18</f>
        <v>0</v>
      </c>
      <c r="R13" s="689">
        <f>SUM(C13:Q13)</f>
        <v>256786.61174741946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247219.77653141838</v>
      </c>
      <c r="D16" s="721">
        <f t="shared" ref="D16:R16" ca="1" si="0">SUM(D9:D15)</f>
        <v>0</v>
      </c>
      <c r="E16" s="721">
        <f t="shared" ca="1" si="0"/>
        <v>302567.04924236459</v>
      </c>
      <c r="F16" s="721">
        <f t="shared" si="0"/>
        <v>14407.22898563807</v>
      </c>
      <c r="G16" s="721">
        <f t="shared" ca="1" si="0"/>
        <v>137438.74866026884</v>
      </c>
      <c r="H16" s="721">
        <f t="shared" si="0"/>
        <v>0</v>
      </c>
      <c r="I16" s="721">
        <f t="shared" si="0"/>
        <v>0</v>
      </c>
      <c r="J16" s="721">
        <f t="shared" si="0"/>
        <v>0</v>
      </c>
      <c r="K16" s="721">
        <f t="shared" si="0"/>
        <v>8974.9341025008925</v>
      </c>
      <c r="L16" s="721">
        <f t="shared" si="0"/>
        <v>0</v>
      </c>
      <c r="M16" s="721">
        <f t="shared" ca="1" si="0"/>
        <v>0</v>
      </c>
      <c r="N16" s="721">
        <f t="shared" si="0"/>
        <v>0</v>
      </c>
      <c r="O16" s="721">
        <f t="shared" ca="1" si="0"/>
        <v>26584.775758960655</v>
      </c>
      <c r="P16" s="721">
        <f t="shared" si="0"/>
        <v>171.96666666666667</v>
      </c>
      <c r="Q16" s="721">
        <f t="shared" si="0"/>
        <v>476.66666666666663</v>
      </c>
      <c r="R16" s="721">
        <f t="shared" ca="1" si="0"/>
        <v>737841.14661448484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3464.6146308745215</v>
      </c>
      <c r="I19" s="686">
        <f>transport!H54</f>
        <v>0</v>
      </c>
      <c r="J19" s="686">
        <f>transport!I54</f>
        <v>0</v>
      </c>
      <c r="K19" s="686">
        <f>transport!J54</f>
        <v>0</v>
      </c>
      <c r="L19" s="686">
        <f>transport!K54</f>
        <v>0</v>
      </c>
      <c r="M19" s="686">
        <f>transport!L54</f>
        <v>0</v>
      </c>
      <c r="N19" s="686">
        <f>transport!M54</f>
        <v>154.21286346882977</v>
      </c>
      <c r="O19" s="686">
        <f>transport!N54</f>
        <v>0</v>
      </c>
      <c r="P19" s="686">
        <f>transport!O54</f>
        <v>0</v>
      </c>
      <c r="Q19" s="687">
        <f>transport!P54</f>
        <v>0</v>
      </c>
      <c r="R19" s="689">
        <f>SUM(C19:Q19)</f>
        <v>3618.8274943433512</v>
      </c>
      <c r="S19" s="67"/>
    </row>
    <row r="20" spans="1:19" s="454" customFormat="1">
      <c r="A20" s="801" t="s">
        <v>306</v>
      </c>
      <c r="B20" s="806"/>
      <c r="C20" s="686">
        <f>transport!B14</f>
        <v>9.8014878176553477</v>
      </c>
      <c r="D20" s="686">
        <f>transport!C14</f>
        <v>0</v>
      </c>
      <c r="E20" s="686">
        <f>transport!D14</f>
        <v>16.551548654622003</v>
      </c>
      <c r="F20" s="686">
        <f>transport!E14</f>
        <v>611.49087136447338</v>
      </c>
      <c r="G20" s="686">
        <f>transport!F14</f>
        <v>0</v>
      </c>
      <c r="H20" s="686">
        <f>transport!G14</f>
        <v>179021.98435899225</v>
      </c>
      <c r="I20" s="686">
        <f>transport!H14</f>
        <v>30403.133068646999</v>
      </c>
      <c r="J20" s="686">
        <f>transport!I14</f>
        <v>0</v>
      </c>
      <c r="K20" s="686">
        <f>transport!J14</f>
        <v>0</v>
      </c>
      <c r="L20" s="686">
        <f>transport!K14</f>
        <v>0</v>
      </c>
      <c r="M20" s="686">
        <f>transport!L14</f>
        <v>0</v>
      </c>
      <c r="N20" s="686">
        <f>transport!M14</f>
        <v>9468.9388886865418</v>
      </c>
      <c r="O20" s="686">
        <f>transport!N14</f>
        <v>0</v>
      </c>
      <c r="P20" s="686">
        <f>transport!O14</f>
        <v>0</v>
      </c>
      <c r="Q20" s="687">
        <f>transport!P14</f>
        <v>0</v>
      </c>
      <c r="R20" s="689">
        <f>SUM(C20:Q20)</f>
        <v>219531.90022416253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9.8014878176553477</v>
      </c>
      <c r="D22" s="804">
        <f t="shared" ref="D22:R22" si="1">SUM(D18:D21)</f>
        <v>0</v>
      </c>
      <c r="E22" s="804">
        <f t="shared" si="1"/>
        <v>16.551548654622003</v>
      </c>
      <c r="F22" s="804">
        <f t="shared" si="1"/>
        <v>611.49087136447338</v>
      </c>
      <c r="G22" s="804">
        <f t="shared" si="1"/>
        <v>0</v>
      </c>
      <c r="H22" s="804">
        <f t="shared" si="1"/>
        <v>182486.59898986676</v>
      </c>
      <c r="I22" s="804">
        <f t="shared" si="1"/>
        <v>30403.133068646999</v>
      </c>
      <c r="J22" s="804">
        <f t="shared" si="1"/>
        <v>0</v>
      </c>
      <c r="K22" s="804">
        <f t="shared" si="1"/>
        <v>0</v>
      </c>
      <c r="L22" s="804">
        <f t="shared" si="1"/>
        <v>0</v>
      </c>
      <c r="M22" s="804">
        <f t="shared" si="1"/>
        <v>0</v>
      </c>
      <c r="N22" s="804">
        <f t="shared" si="1"/>
        <v>9623.1517521553724</v>
      </c>
      <c r="O22" s="804">
        <f t="shared" si="1"/>
        <v>0</v>
      </c>
      <c r="P22" s="804">
        <f t="shared" si="1"/>
        <v>0</v>
      </c>
      <c r="Q22" s="804">
        <f t="shared" si="1"/>
        <v>0</v>
      </c>
      <c r="R22" s="804">
        <f t="shared" si="1"/>
        <v>223150.72771850589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2074.0911465162521</v>
      </c>
      <c r="D24" s="686">
        <f>+landbouw!C8</f>
        <v>0</v>
      </c>
      <c r="E24" s="686">
        <f>+landbouw!D8</f>
        <v>661.10728967852469</v>
      </c>
      <c r="F24" s="686">
        <f>+landbouw!E8</f>
        <v>26.136220418768506</v>
      </c>
      <c r="G24" s="686">
        <f>+landbouw!F8</f>
        <v>7156.1340463600991</v>
      </c>
      <c r="H24" s="686">
        <f>+landbouw!G8</f>
        <v>0</v>
      </c>
      <c r="I24" s="686">
        <f>+landbouw!H8</f>
        <v>0</v>
      </c>
      <c r="J24" s="686">
        <f>+landbouw!I8</f>
        <v>0</v>
      </c>
      <c r="K24" s="686">
        <f>+landbouw!J8</f>
        <v>311.91973100001587</v>
      </c>
      <c r="L24" s="686">
        <f>+landbouw!K8</f>
        <v>0</v>
      </c>
      <c r="M24" s="686">
        <f>+landbouw!L8</f>
        <v>0</v>
      </c>
      <c r="N24" s="686">
        <f>+landbouw!M8</f>
        <v>0</v>
      </c>
      <c r="O24" s="686">
        <f>+landbouw!N8</f>
        <v>0</v>
      </c>
      <c r="P24" s="686">
        <f>+landbouw!O8</f>
        <v>0</v>
      </c>
      <c r="Q24" s="687">
        <f>+landbouw!P8</f>
        <v>0</v>
      </c>
      <c r="R24" s="689">
        <f>SUM(C24:Q24)</f>
        <v>10229.388433973661</v>
      </c>
      <c r="S24" s="67"/>
    </row>
    <row r="25" spans="1:19" s="454" customFormat="1" ht="15" thickBot="1">
      <c r="A25" s="823" t="s">
        <v>856</v>
      </c>
      <c r="B25" s="991"/>
      <c r="C25" s="992">
        <f>IF(Onbekend_ele_kWh="---",0,Onbekend_ele_kWh)/1000+IF(REST_rest_ele_kWh="---",0,REST_rest_ele_kWh)/1000</f>
        <v>2237.5164408987098</v>
      </c>
      <c r="D25" s="992"/>
      <c r="E25" s="992">
        <f>IF(onbekend_gas_kWh="---",0,onbekend_gas_kWh)/1000+IF(REST_rest_gas_kWh="---",0,REST_rest_gas_kWh)/1000</f>
        <v>9483.9154387666313</v>
      </c>
      <c r="F25" s="992"/>
      <c r="G25" s="992"/>
      <c r="H25" s="992"/>
      <c r="I25" s="992"/>
      <c r="J25" s="992"/>
      <c r="K25" s="992"/>
      <c r="L25" s="992"/>
      <c r="M25" s="992"/>
      <c r="N25" s="992"/>
      <c r="O25" s="992"/>
      <c r="P25" s="992"/>
      <c r="Q25" s="993"/>
      <c r="R25" s="689">
        <f>SUM(C25:Q25)</f>
        <v>11721.431879665341</v>
      </c>
      <c r="S25" s="67"/>
    </row>
    <row r="26" spans="1:19" s="454" customFormat="1" ht="15.75" thickBot="1">
      <c r="A26" s="694" t="s">
        <v>857</v>
      </c>
      <c r="B26" s="809"/>
      <c r="C26" s="804">
        <f>SUM(C24:C25)</f>
        <v>4311.6075874149619</v>
      </c>
      <c r="D26" s="804">
        <f t="shared" ref="D26:R26" si="2">SUM(D24:D25)</f>
        <v>0</v>
      </c>
      <c r="E26" s="804">
        <f t="shared" si="2"/>
        <v>10145.022728445156</v>
      </c>
      <c r="F26" s="804">
        <f t="shared" si="2"/>
        <v>26.136220418768506</v>
      </c>
      <c r="G26" s="804">
        <f t="shared" si="2"/>
        <v>7156.1340463600991</v>
      </c>
      <c r="H26" s="804">
        <f t="shared" si="2"/>
        <v>0</v>
      </c>
      <c r="I26" s="804">
        <f t="shared" si="2"/>
        <v>0</v>
      </c>
      <c r="J26" s="804">
        <f t="shared" si="2"/>
        <v>0</v>
      </c>
      <c r="K26" s="804">
        <f t="shared" si="2"/>
        <v>311.91973100001587</v>
      </c>
      <c r="L26" s="804">
        <f t="shared" si="2"/>
        <v>0</v>
      </c>
      <c r="M26" s="804">
        <f t="shared" si="2"/>
        <v>0</v>
      </c>
      <c r="N26" s="804">
        <f t="shared" si="2"/>
        <v>0</v>
      </c>
      <c r="O26" s="804">
        <f t="shared" si="2"/>
        <v>0</v>
      </c>
      <c r="P26" s="804">
        <f t="shared" si="2"/>
        <v>0</v>
      </c>
      <c r="Q26" s="804">
        <f t="shared" si="2"/>
        <v>0</v>
      </c>
      <c r="R26" s="804">
        <f t="shared" si="2"/>
        <v>21950.820313639</v>
      </c>
      <c r="S26" s="67"/>
    </row>
    <row r="27" spans="1:19" s="454" customFormat="1" ht="17.25" thickTop="1" thickBot="1">
      <c r="A27" s="695" t="s">
        <v>115</v>
      </c>
      <c r="B27" s="796"/>
      <c r="C27" s="696">
        <f ca="1">C22+C16+C26</f>
        <v>251541.18560665101</v>
      </c>
      <c r="D27" s="696">
        <f t="shared" ref="D27:R27" ca="1" si="3">D22+D16+D26</f>
        <v>0</v>
      </c>
      <c r="E27" s="696">
        <f t="shared" ca="1" si="3"/>
        <v>312728.6235194644</v>
      </c>
      <c r="F27" s="696">
        <f t="shared" si="3"/>
        <v>15044.856077421311</v>
      </c>
      <c r="G27" s="696">
        <f t="shared" ca="1" si="3"/>
        <v>144594.88270662894</v>
      </c>
      <c r="H27" s="696">
        <f t="shared" si="3"/>
        <v>182486.59898986676</v>
      </c>
      <c r="I27" s="696">
        <f t="shared" si="3"/>
        <v>30403.133068646999</v>
      </c>
      <c r="J27" s="696">
        <f t="shared" si="3"/>
        <v>0</v>
      </c>
      <c r="K27" s="696">
        <f t="shared" si="3"/>
        <v>9286.8538335009089</v>
      </c>
      <c r="L27" s="696">
        <f t="shared" si="3"/>
        <v>0</v>
      </c>
      <c r="M27" s="696">
        <f t="shared" ca="1" si="3"/>
        <v>0</v>
      </c>
      <c r="N27" s="696">
        <f t="shared" si="3"/>
        <v>9623.1517521553724</v>
      </c>
      <c r="O27" s="696">
        <f t="shared" ca="1" si="3"/>
        <v>26584.775758960655</v>
      </c>
      <c r="P27" s="696">
        <f t="shared" si="3"/>
        <v>171.96666666666667</v>
      </c>
      <c r="Q27" s="696">
        <f t="shared" si="3"/>
        <v>476.66666666666663</v>
      </c>
      <c r="R27" s="696">
        <f t="shared" ca="1" si="3"/>
        <v>982942.69464662974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13856.715584762127</v>
      </c>
      <c r="D40" s="686">
        <f ca="1">tertiair!C20</f>
        <v>0</v>
      </c>
      <c r="E40" s="686">
        <f ca="1">tertiair!D20</f>
        <v>18954.146660463746</v>
      </c>
      <c r="F40" s="686">
        <f>tertiair!E20</f>
        <v>154.80603819290664</v>
      </c>
      <c r="G40" s="686">
        <f ca="1">tertiair!F20</f>
        <v>3075.0047247500934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36040.673008168873</v>
      </c>
    </row>
    <row r="41" spans="1:18">
      <c r="A41" s="814" t="s">
        <v>224</v>
      </c>
      <c r="B41" s="821"/>
      <c r="C41" s="686">
        <f ca="1">huishoudens!B12</f>
        <v>11874.749029871213</v>
      </c>
      <c r="D41" s="686">
        <f ca="1">huishoudens!C12</f>
        <v>0</v>
      </c>
      <c r="E41" s="686">
        <f>huishoudens!D12</f>
        <v>36826.304521721788</v>
      </c>
      <c r="F41" s="686">
        <f>huishoudens!E12</f>
        <v>1106.6179640247785</v>
      </c>
      <c r="G41" s="686">
        <f>huishoudens!F12</f>
        <v>13601.108463085064</v>
      </c>
      <c r="H41" s="686">
        <f>huishoudens!G12</f>
        <v>0</v>
      </c>
      <c r="I41" s="686">
        <f>huishoudens!H12</f>
        <v>0</v>
      </c>
      <c r="J41" s="686">
        <f>huishoudens!I12</f>
        <v>0</v>
      </c>
      <c r="K41" s="686">
        <f>huishoudens!J12</f>
        <v>683.38007735439908</v>
      </c>
      <c r="L41" s="686">
        <f>huishoudens!K12</f>
        <v>0</v>
      </c>
      <c r="M41" s="686">
        <f>huishoudens!L12</f>
        <v>0</v>
      </c>
      <c r="N41" s="686">
        <f>huishoudens!M12</f>
        <v>0</v>
      </c>
      <c r="O41" s="686">
        <f>huishoudens!N12</f>
        <v>0</v>
      </c>
      <c r="P41" s="686">
        <f>huishoudens!O12</f>
        <v>0</v>
      </c>
      <c r="Q41" s="763">
        <f>huishoudens!P12</f>
        <v>0</v>
      </c>
      <c r="R41" s="842">
        <f t="shared" ca="1" si="4"/>
        <v>64092.160056057248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26906.693701146814</v>
      </c>
      <c r="D43" s="686">
        <f ca="1">industrie!C22</f>
        <v>0</v>
      </c>
      <c r="E43" s="686">
        <f>industrie!D22</f>
        <v>5338.0927647721273</v>
      </c>
      <c r="F43" s="686">
        <f>industrie!E22</f>
        <v>2009.0169775221568</v>
      </c>
      <c r="G43" s="686">
        <f>industrie!F22</f>
        <v>20020.032704456626</v>
      </c>
      <c r="H43" s="686">
        <f>industrie!G22</f>
        <v>0</v>
      </c>
      <c r="I43" s="686">
        <f>industrie!H22</f>
        <v>0</v>
      </c>
      <c r="J43" s="686">
        <f>industrie!I22</f>
        <v>0</v>
      </c>
      <c r="K43" s="686">
        <f>industrie!J22</f>
        <v>2493.7465949309167</v>
      </c>
      <c r="L43" s="686">
        <f>industrie!K22</f>
        <v>0</v>
      </c>
      <c r="M43" s="686">
        <f>industrie!L22</f>
        <v>0</v>
      </c>
      <c r="N43" s="686">
        <f>industrie!M22</f>
        <v>0</v>
      </c>
      <c r="O43" s="686">
        <f>industrie!N22</f>
        <v>0</v>
      </c>
      <c r="P43" s="686">
        <f>industrie!O22</f>
        <v>0</v>
      </c>
      <c r="Q43" s="763">
        <f>industrie!P22</f>
        <v>0</v>
      </c>
      <c r="R43" s="841">
        <f t="shared" ca="1" si="4"/>
        <v>56767.58274282865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52638.158315780151</v>
      </c>
      <c r="D46" s="721">
        <f t="shared" ref="D46:Q46" ca="1" si="5">SUM(D39:D45)</f>
        <v>0</v>
      </c>
      <c r="E46" s="721">
        <f t="shared" ca="1" si="5"/>
        <v>61118.54394695766</v>
      </c>
      <c r="F46" s="721">
        <f t="shared" si="5"/>
        <v>3270.4409797398421</v>
      </c>
      <c r="G46" s="721">
        <f t="shared" ca="1" si="5"/>
        <v>36696.145892291781</v>
      </c>
      <c r="H46" s="721">
        <f t="shared" si="5"/>
        <v>0</v>
      </c>
      <c r="I46" s="721">
        <f t="shared" si="5"/>
        <v>0</v>
      </c>
      <c r="J46" s="721">
        <f t="shared" si="5"/>
        <v>0</v>
      </c>
      <c r="K46" s="721">
        <f t="shared" si="5"/>
        <v>3177.1266722853156</v>
      </c>
      <c r="L46" s="721">
        <f t="shared" si="5"/>
        <v>0</v>
      </c>
      <c r="M46" s="721">
        <f t="shared" ca="1" si="5"/>
        <v>0</v>
      </c>
      <c r="N46" s="721">
        <f t="shared" si="5"/>
        <v>0</v>
      </c>
      <c r="O46" s="721">
        <f t="shared" ca="1" si="5"/>
        <v>0</v>
      </c>
      <c r="P46" s="721">
        <f t="shared" si="5"/>
        <v>0</v>
      </c>
      <c r="Q46" s="721">
        <f t="shared" si="5"/>
        <v>0</v>
      </c>
      <c r="R46" s="721">
        <f ca="1">SUM(R39:R45)</f>
        <v>156900.41580705476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925.05210644349734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925.05210644349734</v>
      </c>
    </row>
    <row r="50" spans="1:18">
      <c r="A50" s="817" t="s">
        <v>306</v>
      </c>
      <c r="B50" s="827"/>
      <c r="C50" s="692">
        <f ca="1">transport!B18</f>
        <v>2.0869376823919445</v>
      </c>
      <c r="D50" s="692">
        <f>transport!C18</f>
        <v>0</v>
      </c>
      <c r="E50" s="692">
        <f>transport!D18</f>
        <v>3.3434128282336451</v>
      </c>
      <c r="F50" s="692">
        <f>transport!E18</f>
        <v>138.80842779973545</v>
      </c>
      <c r="G50" s="692">
        <f>transport!F18</f>
        <v>0</v>
      </c>
      <c r="H50" s="692">
        <f>transport!G18</f>
        <v>47798.869823850931</v>
      </c>
      <c r="I50" s="692">
        <f>transport!H18</f>
        <v>7570.3801340931032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55513.488736254396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2.0869376823919445</v>
      </c>
      <c r="D52" s="721">
        <f t="shared" ref="D52:Q52" ca="1" si="6">SUM(D48:D51)</f>
        <v>0</v>
      </c>
      <c r="E52" s="721">
        <f t="shared" si="6"/>
        <v>3.3434128282336451</v>
      </c>
      <c r="F52" s="721">
        <f t="shared" si="6"/>
        <v>138.80842779973545</v>
      </c>
      <c r="G52" s="721">
        <f t="shared" si="6"/>
        <v>0</v>
      </c>
      <c r="H52" s="721">
        <f t="shared" si="6"/>
        <v>48723.921930294426</v>
      </c>
      <c r="I52" s="721">
        <f t="shared" si="6"/>
        <v>7570.3801340931032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56438.54084269789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441.6165230122906</v>
      </c>
      <c r="D54" s="692">
        <f ca="1">+landbouw!C12</f>
        <v>0</v>
      </c>
      <c r="E54" s="692">
        <f>+landbouw!D12</f>
        <v>133.54367251506198</v>
      </c>
      <c r="F54" s="692">
        <f>+landbouw!E12</f>
        <v>5.932922035060451</v>
      </c>
      <c r="G54" s="692">
        <f>+landbouw!F12</f>
        <v>1910.6877903781465</v>
      </c>
      <c r="H54" s="692">
        <f>+landbouw!G12</f>
        <v>0</v>
      </c>
      <c r="I54" s="692">
        <f>+landbouw!H12</f>
        <v>0</v>
      </c>
      <c r="J54" s="692">
        <f>+landbouw!I12</f>
        <v>0</v>
      </c>
      <c r="K54" s="692">
        <f>+landbouw!J12</f>
        <v>110.41958477400561</v>
      </c>
      <c r="L54" s="692">
        <f>+landbouw!K12</f>
        <v>0</v>
      </c>
      <c r="M54" s="692">
        <f>+landbouw!L12</f>
        <v>0</v>
      </c>
      <c r="N54" s="692">
        <f>+landbouw!M12</f>
        <v>0</v>
      </c>
      <c r="O54" s="692">
        <f>+landbouw!N12</f>
        <v>0</v>
      </c>
      <c r="P54" s="692">
        <f>+landbouw!O12</f>
        <v>0</v>
      </c>
      <c r="Q54" s="693">
        <f>+landbouw!P12</f>
        <v>0</v>
      </c>
      <c r="R54" s="720">
        <f ca="1">SUM(C54:Q54)</f>
        <v>2602.2004927145654</v>
      </c>
    </row>
    <row r="55" spans="1:18" ht="15" thickBot="1">
      <c r="A55" s="817" t="s">
        <v>856</v>
      </c>
      <c r="B55" s="827"/>
      <c r="C55" s="692">
        <f ca="1">C25*'EF ele_warmte'!B12</f>
        <v>476.41311833003419</v>
      </c>
      <c r="D55" s="692"/>
      <c r="E55" s="692">
        <f>E25*EF_CO2_aardgas</f>
        <v>1915.7509186308596</v>
      </c>
      <c r="F55" s="692"/>
      <c r="G55" s="692"/>
      <c r="H55" s="692"/>
      <c r="I55" s="692"/>
      <c r="J55" s="692"/>
      <c r="K55" s="692"/>
      <c r="L55" s="692"/>
      <c r="M55" s="692"/>
      <c r="N55" s="692"/>
      <c r="O55" s="692"/>
      <c r="P55" s="692"/>
      <c r="Q55" s="693"/>
      <c r="R55" s="720">
        <f ca="1">SUM(C55:Q55)</f>
        <v>2392.164036960894</v>
      </c>
    </row>
    <row r="56" spans="1:18" ht="15.75" thickBot="1">
      <c r="A56" s="815" t="s">
        <v>857</v>
      </c>
      <c r="B56" s="828"/>
      <c r="C56" s="721">
        <f ca="1">SUM(C54:C55)</f>
        <v>918.02964134232479</v>
      </c>
      <c r="D56" s="721">
        <f t="shared" ref="D56:Q56" ca="1" si="7">SUM(D54:D55)</f>
        <v>0</v>
      </c>
      <c r="E56" s="721">
        <f t="shared" si="7"/>
        <v>2049.2945911459215</v>
      </c>
      <c r="F56" s="721">
        <f t="shared" si="7"/>
        <v>5.932922035060451</v>
      </c>
      <c r="G56" s="721">
        <f t="shared" si="7"/>
        <v>1910.6877903781465</v>
      </c>
      <c r="H56" s="721">
        <f t="shared" si="7"/>
        <v>0</v>
      </c>
      <c r="I56" s="721">
        <f t="shared" si="7"/>
        <v>0</v>
      </c>
      <c r="J56" s="721">
        <f t="shared" si="7"/>
        <v>0</v>
      </c>
      <c r="K56" s="721">
        <f t="shared" si="7"/>
        <v>110.41958477400561</v>
      </c>
      <c r="L56" s="721">
        <f t="shared" si="7"/>
        <v>0</v>
      </c>
      <c r="M56" s="721">
        <f t="shared" si="7"/>
        <v>0</v>
      </c>
      <c r="N56" s="721">
        <f t="shared" si="7"/>
        <v>0</v>
      </c>
      <c r="O56" s="721">
        <f t="shared" si="7"/>
        <v>0</v>
      </c>
      <c r="P56" s="721">
        <f t="shared" si="7"/>
        <v>0</v>
      </c>
      <c r="Q56" s="722">
        <f t="shared" si="7"/>
        <v>0</v>
      </c>
      <c r="R56" s="723">
        <f ca="1">SUM(R54:R55)</f>
        <v>4994.3645296754594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53558.274894804868</v>
      </c>
      <c r="D61" s="729">
        <f t="shared" ref="D61:Q61" ca="1" si="8">D46+D52+D56</f>
        <v>0</v>
      </c>
      <c r="E61" s="729">
        <f t="shared" ca="1" si="8"/>
        <v>63171.181950931816</v>
      </c>
      <c r="F61" s="729">
        <f t="shared" si="8"/>
        <v>3415.1823295746381</v>
      </c>
      <c r="G61" s="729">
        <f t="shared" ca="1" si="8"/>
        <v>38606.833682669931</v>
      </c>
      <c r="H61" s="729">
        <f t="shared" si="8"/>
        <v>48723.921930294426</v>
      </c>
      <c r="I61" s="729">
        <f t="shared" si="8"/>
        <v>7570.3801340931032</v>
      </c>
      <c r="J61" s="729">
        <f t="shared" si="8"/>
        <v>0</v>
      </c>
      <c r="K61" s="729">
        <f t="shared" si="8"/>
        <v>3287.5462570593213</v>
      </c>
      <c r="L61" s="729">
        <f t="shared" si="8"/>
        <v>0</v>
      </c>
      <c r="M61" s="729">
        <f t="shared" ca="1" si="8"/>
        <v>0</v>
      </c>
      <c r="N61" s="729">
        <f t="shared" si="8"/>
        <v>0</v>
      </c>
      <c r="O61" s="729">
        <f t="shared" ca="1" si="8"/>
        <v>0</v>
      </c>
      <c r="P61" s="729">
        <f t="shared" si="8"/>
        <v>0</v>
      </c>
      <c r="Q61" s="729">
        <f t="shared" si="8"/>
        <v>0</v>
      </c>
      <c r="R61" s="729">
        <f ca="1">R46+R52+R56</f>
        <v>218333.32117942811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0.21292049954219797</v>
      </c>
      <c r="D63" s="772">
        <f t="shared" ca="1" si="9"/>
        <v>0</v>
      </c>
      <c r="E63" s="998">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9196.0503360407074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9196.0503360407074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9196.0503360407074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9196.0503360407074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55770.811431511771</v>
      </c>
      <c r="C4" s="458">
        <f>huishoudens!C8</f>
        <v>0</v>
      </c>
      <c r="D4" s="458">
        <f>huishoudens!D8</f>
        <v>182308.43822634546</v>
      </c>
      <c r="E4" s="458">
        <f>huishoudens!E8</f>
        <v>4874.9690045144425</v>
      </c>
      <c r="F4" s="458">
        <f>huishoudens!F8</f>
        <v>50940.481135150047</v>
      </c>
      <c r="G4" s="458">
        <f>huishoudens!G8</f>
        <v>0</v>
      </c>
      <c r="H4" s="458">
        <f>huishoudens!H8</f>
        <v>0</v>
      </c>
      <c r="I4" s="458">
        <f>huishoudens!I8</f>
        <v>0</v>
      </c>
      <c r="J4" s="458">
        <f>huishoudens!J8</f>
        <v>1930.4521959163817</v>
      </c>
      <c r="K4" s="458">
        <f>huishoudens!K8</f>
        <v>0</v>
      </c>
      <c r="L4" s="458">
        <f>huishoudens!L8</f>
        <v>0</v>
      </c>
      <c r="M4" s="458">
        <f>huishoudens!M8</f>
        <v>0</v>
      </c>
      <c r="N4" s="458">
        <f>huishoudens!N8</f>
        <v>10382.959810351203</v>
      </c>
      <c r="O4" s="458">
        <f>huishoudens!O8</f>
        <v>171.96666666666667</v>
      </c>
      <c r="P4" s="459">
        <f>huishoudens!P8</f>
        <v>343.2</v>
      </c>
      <c r="Q4" s="460">
        <f>SUM(B4:P4)</f>
        <v>306723.27847045602</v>
      </c>
    </row>
    <row r="5" spans="1:17">
      <c r="A5" s="457" t="s">
        <v>155</v>
      </c>
      <c r="B5" s="458">
        <f ca="1">tertiair!B16</f>
        <v>62621.315043908682</v>
      </c>
      <c r="C5" s="458">
        <f ca="1">tertiair!C16</f>
        <v>0</v>
      </c>
      <c r="D5" s="458">
        <f ca="1">tertiair!D16</f>
        <v>93832.40921021656</v>
      </c>
      <c r="E5" s="458">
        <f>tertiair!E16</f>
        <v>681.96492595994118</v>
      </c>
      <c r="F5" s="458">
        <f ca="1">tertiair!F16</f>
        <v>11516.871628277502</v>
      </c>
      <c r="G5" s="458">
        <f>tertiair!G16</f>
        <v>0</v>
      </c>
      <c r="H5" s="458">
        <f>tertiair!H16</f>
        <v>0</v>
      </c>
      <c r="I5" s="458">
        <f>tertiair!I16</f>
        <v>0</v>
      </c>
      <c r="J5" s="458">
        <f>tertiair!J16</f>
        <v>0</v>
      </c>
      <c r="K5" s="458">
        <f>tertiair!K16</f>
        <v>0</v>
      </c>
      <c r="L5" s="458">
        <f ca="1">tertiair!L16</f>
        <v>0</v>
      </c>
      <c r="M5" s="458">
        <f>tertiair!M16</f>
        <v>0</v>
      </c>
      <c r="N5" s="458">
        <f ca="1">tertiair!N16</f>
        <v>3087.2509215800133</v>
      </c>
      <c r="O5" s="458">
        <f>tertiair!O16</f>
        <v>0</v>
      </c>
      <c r="P5" s="459">
        <f>tertiair!P16</f>
        <v>133.46666666666667</v>
      </c>
      <c r="Q5" s="457">
        <f t="shared" ref="Q5:Q14" ca="1" si="0">SUM(B5:P5)</f>
        <v>171873.27839660936</v>
      </c>
    </row>
    <row r="6" spans="1:17">
      <c r="A6" s="457" t="s">
        <v>193</v>
      </c>
      <c r="B6" s="458">
        <f>'openbare verlichting'!B8</f>
        <v>2457.9780000000001</v>
      </c>
      <c r="C6" s="458"/>
      <c r="D6" s="458"/>
      <c r="E6" s="458"/>
      <c r="F6" s="458"/>
      <c r="G6" s="458"/>
      <c r="H6" s="458"/>
      <c r="I6" s="458"/>
      <c r="J6" s="458"/>
      <c r="K6" s="458"/>
      <c r="L6" s="458"/>
      <c r="M6" s="458"/>
      <c r="N6" s="458"/>
      <c r="O6" s="458"/>
      <c r="P6" s="459"/>
      <c r="Q6" s="457">
        <f t="shared" si="0"/>
        <v>2457.9780000000001</v>
      </c>
    </row>
    <row r="7" spans="1:17">
      <c r="A7" s="457" t="s">
        <v>111</v>
      </c>
      <c r="B7" s="458">
        <f>landbouw!B8</f>
        <v>2074.0911465162521</v>
      </c>
      <c r="C7" s="458">
        <f>landbouw!C8</f>
        <v>0</v>
      </c>
      <c r="D7" s="458">
        <f>landbouw!D8</f>
        <v>661.10728967852469</v>
      </c>
      <c r="E7" s="458">
        <f>landbouw!E8</f>
        <v>26.136220418768506</v>
      </c>
      <c r="F7" s="458">
        <f>landbouw!F8</f>
        <v>7156.1340463600991</v>
      </c>
      <c r="G7" s="458">
        <f>landbouw!G8</f>
        <v>0</v>
      </c>
      <c r="H7" s="458">
        <f>landbouw!H8</f>
        <v>0</v>
      </c>
      <c r="I7" s="458">
        <f>landbouw!I8</f>
        <v>0</v>
      </c>
      <c r="J7" s="458">
        <f>landbouw!J8</f>
        <v>311.91973100001587</v>
      </c>
      <c r="K7" s="458">
        <f>landbouw!K8</f>
        <v>0</v>
      </c>
      <c r="L7" s="458">
        <f>landbouw!L8</f>
        <v>0</v>
      </c>
      <c r="M7" s="458">
        <f>landbouw!M8</f>
        <v>0</v>
      </c>
      <c r="N7" s="458">
        <f>landbouw!N8</f>
        <v>0</v>
      </c>
      <c r="O7" s="458">
        <f>landbouw!O8</f>
        <v>0</v>
      </c>
      <c r="P7" s="459">
        <f>landbouw!P8</f>
        <v>0</v>
      </c>
      <c r="Q7" s="457">
        <f t="shared" si="0"/>
        <v>10229.388433973661</v>
      </c>
    </row>
    <row r="8" spans="1:17">
      <c r="A8" s="457" t="s">
        <v>655</v>
      </c>
      <c r="B8" s="458">
        <f>industrie!B18</f>
        <v>126369.67205599791</v>
      </c>
      <c r="C8" s="458">
        <f>industrie!C18</f>
        <v>0</v>
      </c>
      <c r="D8" s="458">
        <f>industrie!D18</f>
        <v>26426.201805802608</v>
      </c>
      <c r="E8" s="458">
        <f>industrie!E18</f>
        <v>8850.2950551636859</v>
      </c>
      <c r="F8" s="458">
        <f>industrie!F18</f>
        <v>74981.395896841292</v>
      </c>
      <c r="G8" s="458">
        <f>industrie!G18</f>
        <v>0</v>
      </c>
      <c r="H8" s="458">
        <f>industrie!H18</f>
        <v>0</v>
      </c>
      <c r="I8" s="458">
        <f>industrie!I18</f>
        <v>0</v>
      </c>
      <c r="J8" s="458">
        <f>industrie!J18</f>
        <v>7044.4819065845104</v>
      </c>
      <c r="K8" s="458">
        <f>industrie!K18</f>
        <v>0</v>
      </c>
      <c r="L8" s="458">
        <f>industrie!L18</f>
        <v>0</v>
      </c>
      <c r="M8" s="458">
        <f>industrie!M18</f>
        <v>0</v>
      </c>
      <c r="N8" s="458">
        <f>industrie!N18</f>
        <v>13114.565027029439</v>
      </c>
      <c r="O8" s="458">
        <f>industrie!O18</f>
        <v>0</v>
      </c>
      <c r="P8" s="459">
        <f>industrie!P18</f>
        <v>0</v>
      </c>
      <c r="Q8" s="457">
        <f t="shared" si="0"/>
        <v>256786.61174741946</v>
      </c>
    </row>
    <row r="9" spans="1:17" s="463" customFormat="1">
      <c r="A9" s="461" t="s">
        <v>573</v>
      </c>
      <c r="B9" s="462">
        <f>transport!B14</f>
        <v>9.8014878176553477</v>
      </c>
      <c r="C9" s="462">
        <f>transport!C14</f>
        <v>0</v>
      </c>
      <c r="D9" s="462">
        <f>transport!D14</f>
        <v>16.551548654622003</v>
      </c>
      <c r="E9" s="462">
        <f>transport!E14</f>
        <v>611.49087136447338</v>
      </c>
      <c r="F9" s="462">
        <f>transport!F14</f>
        <v>0</v>
      </c>
      <c r="G9" s="462">
        <f>transport!G14</f>
        <v>179021.98435899225</v>
      </c>
      <c r="H9" s="462">
        <f>transport!H14</f>
        <v>30403.133068646999</v>
      </c>
      <c r="I9" s="462">
        <f>transport!I14</f>
        <v>0</v>
      </c>
      <c r="J9" s="462">
        <f>transport!J14</f>
        <v>0</v>
      </c>
      <c r="K9" s="462">
        <f>transport!K14</f>
        <v>0</v>
      </c>
      <c r="L9" s="462">
        <f>transport!L14</f>
        <v>0</v>
      </c>
      <c r="M9" s="462">
        <f>transport!M14</f>
        <v>9468.9388886865418</v>
      </c>
      <c r="N9" s="462">
        <f>transport!N14</f>
        <v>0</v>
      </c>
      <c r="O9" s="462">
        <f>transport!O14</f>
        <v>0</v>
      </c>
      <c r="P9" s="462">
        <f>transport!P14</f>
        <v>0</v>
      </c>
      <c r="Q9" s="461">
        <f>SUM(B9:P9)</f>
        <v>219531.90022416253</v>
      </c>
    </row>
    <row r="10" spans="1:17">
      <c r="A10" s="457" t="s">
        <v>563</v>
      </c>
      <c r="B10" s="458">
        <f>transport!B54</f>
        <v>0</v>
      </c>
      <c r="C10" s="458">
        <f>transport!C54</f>
        <v>0</v>
      </c>
      <c r="D10" s="458">
        <f>transport!D54</f>
        <v>0</v>
      </c>
      <c r="E10" s="458">
        <f>transport!E54</f>
        <v>0</v>
      </c>
      <c r="F10" s="458">
        <f>transport!F54</f>
        <v>0</v>
      </c>
      <c r="G10" s="458">
        <f>transport!G54</f>
        <v>3464.6146308745215</v>
      </c>
      <c r="H10" s="458">
        <f>transport!H54</f>
        <v>0</v>
      </c>
      <c r="I10" s="458">
        <f>transport!I54</f>
        <v>0</v>
      </c>
      <c r="J10" s="458">
        <f>transport!J54</f>
        <v>0</v>
      </c>
      <c r="K10" s="458">
        <f>transport!K54</f>
        <v>0</v>
      </c>
      <c r="L10" s="458">
        <f>transport!L54</f>
        <v>0</v>
      </c>
      <c r="M10" s="458">
        <f>transport!M54</f>
        <v>154.21286346882977</v>
      </c>
      <c r="N10" s="458">
        <f>transport!N54</f>
        <v>0</v>
      </c>
      <c r="O10" s="458">
        <f>transport!O54</f>
        <v>0</v>
      </c>
      <c r="P10" s="459">
        <f>transport!P54</f>
        <v>0</v>
      </c>
      <c r="Q10" s="457">
        <f t="shared" si="0"/>
        <v>3618.8274943433512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2237.5164408987098</v>
      </c>
      <c r="C14" s="465"/>
      <c r="D14" s="465">
        <f>'SEAP template'!E25</f>
        <v>9483.9154387666313</v>
      </c>
      <c r="E14" s="465"/>
      <c r="F14" s="465"/>
      <c r="G14" s="465"/>
      <c r="H14" s="465"/>
      <c r="I14" s="465"/>
      <c r="J14" s="465"/>
      <c r="K14" s="465"/>
      <c r="L14" s="465"/>
      <c r="M14" s="465"/>
      <c r="N14" s="465"/>
      <c r="O14" s="465"/>
      <c r="P14" s="466"/>
      <c r="Q14" s="457">
        <f t="shared" si="0"/>
        <v>11721.431879665341</v>
      </c>
    </row>
    <row r="15" spans="1:17" s="470" customFormat="1">
      <c r="A15" s="467" t="s">
        <v>567</v>
      </c>
      <c r="B15" s="468">
        <f ca="1">SUM(B4:B14)</f>
        <v>251541.18560665101</v>
      </c>
      <c r="C15" s="468">
        <f t="shared" ref="C15:Q15" ca="1" si="1">SUM(C4:C14)</f>
        <v>0</v>
      </c>
      <c r="D15" s="468">
        <f t="shared" ca="1" si="1"/>
        <v>312728.6235194644</v>
      </c>
      <c r="E15" s="468">
        <f t="shared" si="1"/>
        <v>15044.856077421311</v>
      </c>
      <c r="F15" s="468">
        <f t="shared" ca="1" si="1"/>
        <v>144594.88270662894</v>
      </c>
      <c r="G15" s="468">
        <f t="shared" si="1"/>
        <v>182486.59898986676</v>
      </c>
      <c r="H15" s="468">
        <f t="shared" si="1"/>
        <v>30403.133068646999</v>
      </c>
      <c r="I15" s="468">
        <f t="shared" si="1"/>
        <v>0</v>
      </c>
      <c r="J15" s="468">
        <f t="shared" si="1"/>
        <v>9286.8538335009071</v>
      </c>
      <c r="K15" s="468">
        <f t="shared" si="1"/>
        <v>0</v>
      </c>
      <c r="L15" s="468">
        <f t="shared" ca="1" si="1"/>
        <v>0</v>
      </c>
      <c r="M15" s="468">
        <f t="shared" si="1"/>
        <v>9623.1517521553724</v>
      </c>
      <c r="N15" s="468">
        <f t="shared" ca="1" si="1"/>
        <v>26584.775758960655</v>
      </c>
      <c r="O15" s="468">
        <f t="shared" si="1"/>
        <v>171.96666666666667</v>
      </c>
      <c r="P15" s="468">
        <f t="shared" si="1"/>
        <v>476.66666666666663</v>
      </c>
      <c r="Q15" s="468">
        <f t="shared" ca="1" si="1"/>
        <v>982942.69464662974</v>
      </c>
    </row>
    <row r="17" spans="1:17">
      <c r="A17" s="471" t="s">
        <v>568</v>
      </c>
      <c r="B17" s="777">
        <f ca="1">huishoudens!B10</f>
        <v>0.21292049954219799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11874.749029871213</v>
      </c>
      <c r="C22" s="458">
        <f t="shared" ref="C22:C32" ca="1" si="3">C4*$C$17</f>
        <v>0</v>
      </c>
      <c r="D22" s="458">
        <f t="shared" ref="D22:D32" si="4">D4*$D$17</f>
        <v>36826.304521721788</v>
      </c>
      <c r="E22" s="458">
        <f t="shared" ref="E22:E32" si="5">E4*$E$17</f>
        <v>1106.6179640247785</v>
      </c>
      <c r="F22" s="458">
        <f t="shared" ref="F22:F32" si="6">F4*$F$17</f>
        <v>13601.108463085064</v>
      </c>
      <c r="G22" s="458">
        <f t="shared" ref="G22:G32" si="7">G4*$G$17</f>
        <v>0</v>
      </c>
      <c r="H22" s="458">
        <f t="shared" ref="H22:H32" si="8">H4*$H$17</f>
        <v>0</v>
      </c>
      <c r="I22" s="458">
        <f t="shared" ref="I22:I32" si="9">I4*$I$17</f>
        <v>0</v>
      </c>
      <c r="J22" s="458">
        <f t="shared" ref="J22:J32" si="10">J4*$J$17</f>
        <v>683.38007735439908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64092.160056057248</v>
      </c>
    </row>
    <row r="23" spans="1:17">
      <c r="A23" s="457" t="s">
        <v>155</v>
      </c>
      <c r="B23" s="458">
        <f t="shared" ca="1" si="2"/>
        <v>13333.361681138394</v>
      </c>
      <c r="C23" s="458">
        <f t="shared" ca="1" si="3"/>
        <v>0</v>
      </c>
      <c r="D23" s="458">
        <f t="shared" ca="1" si="4"/>
        <v>18954.146660463746</v>
      </c>
      <c r="E23" s="458">
        <f t="shared" si="5"/>
        <v>154.80603819290664</v>
      </c>
      <c r="F23" s="458">
        <f t="shared" ca="1" si="6"/>
        <v>3075.0047247500934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35517.319104545139</v>
      </c>
    </row>
    <row r="24" spans="1:17">
      <c r="A24" s="457" t="s">
        <v>193</v>
      </c>
      <c r="B24" s="458">
        <f t="shared" ca="1" si="2"/>
        <v>523.35390362373278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523.35390362373278</v>
      </c>
    </row>
    <row r="25" spans="1:17">
      <c r="A25" s="457" t="s">
        <v>111</v>
      </c>
      <c r="B25" s="458">
        <f t="shared" ca="1" si="2"/>
        <v>441.6165230122906</v>
      </c>
      <c r="C25" s="458">
        <f t="shared" ca="1" si="3"/>
        <v>0</v>
      </c>
      <c r="D25" s="458">
        <f t="shared" si="4"/>
        <v>133.54367251506198</v>
      </c>
      <c r="E25" s="458">
        <f t="shared" si="5"/>
        <v>5.932922035060451</v>
      </c>
      <c r="F25" s="458">
        <f t="shared" si="6"/>
        <v>1910.6877903781465</v>
      </c>
      <c r="G25" s="458">
        <f t="shared" si="7"/>
        <v>0</v>
      </c>
      <c r="H25" s="458">
        <f t="shared" si="8"/>
        <v>0</v>
      </c>
      <c r="I25" s="458">
        <f t="shared" si="9"/>
        <v>0</v>
      </c>
      <c r="J25" s="458">
        <f t="shared" si="10"/>
        <v>110.41958477400561</v>
      </c>
      <c r="K25" s="458">
        <f t="shared" si="11"/>
        <v>0</v>
      </c>
      <c r="L25" s="458">
        <f t="shared" si="12"/>
        <v>0</v>
      </c>
      <c r="M25" s="458">
        <f t="shared" si="13"/>
        <v>0</v>
      </c>
      <c r="N25" s="458">
        <f t="shared" si="14"/>
        <v>0</v>
      </c>
      <c r="O25" s="458">
        <f t="shared" si="15"/>
        <v>0</v>
      </c>
      <c r="P25" s="459">
        <f t="shared" si="16"/>
        <v>0</v>
      </c>
      <c r="Q25" s="457">
        <f t="shared" ca="1" si="17"/>
        <v>2602.2004927145654</v>
      </c>
    </row>
    <row r="26" spans="1:17">
      <c r="A26" s="457" t="s">
        <v>655</v>
      </c>
      <c r="B26" s="458">
        <f t="shared" ca="1" si="2"/>
        <v>26906.693701146814</v>
      </c>
      <c r="C26" s="458">
        <f t="shared" ca="1" si="3"/>
        <v>0</v>
      </c>
      <c r="D26" s="458">
        <f t="shared" si="4"/>
        <v>5338.0927647721273</v>
      </c>
      <c r="E26" s="458">
        <f t="shared" si="5"/>
        <v>2009.0169775221568</v>
      </c>
      <c r="F26" s="458">
        <f t="shared" si="6"/>
        <v>20020.032704456626</v>
      </c>
      <c r="G26" s="458">
        <f t="shared" si="7"/>
        <v>0</v>
      </c>
      <c r="H26" s="458">
        <f t="shared" si="8"/>
        <v>0</v>
      </c>
      <c r="I26" s="458">
        <f t="shared" si="9"/>
        <v>0</v>
      </c>
      <c r="J26" s="458">
        <f t="shared" si="10"/>
        <v>2493.7465949309167</v>
      </c>
      <c r="K26" s="458">
        <f t="shared" si="11"/>
        <v>0</v>
      </c>
      <c r="L26" s="458">
        <f t="shared" si="12"/>
        <v>0</v>
      </c>
      <c r="M26" s="458">
        <f t="shared" si="13"/>
        <v>0</v>
      </c>
      <c r="N26" s="458">
        <f t="shared" si="14"/>
        <v>0</v>
      </c>
      <c r="O26" s="458">
        <f t="shared" si="15"/>
        <v>0</v>
      </c>
      <c r="P26" s="459">
        <f t="shared" si="16"/>
        <v>0</v>
      </c>
      <c r="Q26" s="457">
        <f t="shared" ca="1" si="17"/>
        <v>56767.58274282865</v>
      </c>
    </row>
    <row r="27" spans="1:17" s="463" customFormat="1">
      <c r="A27" s="461" t="s">
        <v>573</v>
      </c>
      <c r="B27" s="771">
        <f t="shared" ca="1" si="2"/>
        <v>2.0869376823919445</v>
      </c>
      <c r="C27" s="462">
        <f t="shared" ca="1" si="3"/>
        <v>0</v>
      </c>
      <c r="D27" s="462">
        <f t="shared" si="4"/>
        <v>3.3434128282336451</v>
      </c>
      <c r="E27" s="462">
        <f t="shared" si="5"/>
        <v>138.80842779973545</v>
      </c>
      <c r="F27" s="462">
        <f t="shared" si="6"/>
        <v>0</v>
      </c>
      <c r="G27" s="462">
        <f t="shared" si="7"/>
        <v>47798.869823850931</v>
      </c>
      <c r="H27" s="462">
        <f t="shared" si="8"/>
        <v>7570.3801340931032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55513.488736254396</v>
      </c>
    </row>
    <row r="28" spans="1:17">
      <c r="A28" s="457" t="s">
        <v>563</v>
      </c>
      <c r="B28" s="458">
        <f t="shared" ca="1" si="2"/>
        <v>0</v>
      </c>
      <c r="C28" s="458">
        <f t="shared" ca="1" si="3"/>
        <v>0</v>
      </c>
      <c r="D28" s="458">
        <f t="shared" si="4"/>
        <v>0</v>
      </c>
      <c r="E28" s="458">
        <f t="shared" si="5"/>
        <v>0</v>
      </c>
      <c r="F28" s="458">
        <f t="shared" si="6"/>
        <v>0</v>
      </c>
      <c r="G28" s="458">
        <f t="shared" si="7"/>
        <v>925.05210644349734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925.05210644349734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476.41311833003419</v>
      </c>
      <c r="C32" s="458">
        <f t="shared" ca="1" si="3"/>
        <v>0</v>
      </c>
      <c r="D32" s="458">
        <f t="shared" si="4"/>
        <v>1915.7509186308596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2392.164036960894</v>
      </c>
    </row>
    <row r="33" spans="1:17" s="470" customFormat="1">
      <c r="A33" s="467" t="s">
        <v>567</v>
      </c>
      <c r="B33" s="468">
        <f ca="1">SUM(B22:B32)</f>
        <v>53558.274894804868</v>
      </c>
      <c r="C33" s="468">
        <f t="shared" ref="C33:Q33" ca="1" si="18">SUM(C22:C32)</f>
        <v>0</v>
      </c>
      <c r="D33" s="468">
        <f t="shared" ca="1" si="18"/>
        <v>63171.181950931816</v>
      </c>
      <c r="E33" s="468">
        <f t="shared" si="18"/>
        <v>3415.1823295746381</v>
      </c>
      <c r="F33" s="468">
        <f t="shared" ca="1" si="18"/>
        <v>38606.833682669931</v>
      </c>
      <c r="G33" s="468">
        <f t="shared" si="18"/>
        <v>48723.921930294426</v>
      </c>
      <c r="H33" s="468">
        <f t="shared" si="18"/>
        <v>7570.3801340931032</v>
      </c>
      <c r="I33" s="468">
        <f t="shared" si="18"/>
        <v>0</v>
      </c>
      <c r="J33" s="468">
        <f t="shared" si="18"/>
        <v>3287.5462570593213</v>
      </c>
      <c r="K33" s="468">
        <f t="shared" si="18"/>
        <v>0</v>
      </c>
      <c r="L33" s="468">
        <f t="shared" ca="1" si="18"/>
        <v>0</v>
      </c>
      <c r="M33" s="468">
        <f t="shared" si="18"/>
        <v>0</v>
      </c>
      <c r="N33" s="468">
        <f t="shared" ca="1" si="18"/>
        <v>0</v>
      </c>
      <c r="O33" s="468">
        <f t="shared" si="18"/>
        <v>0</v>
      </c>
      <c r="P33" s="468">
        <f t="shared" si="18"/>
        <v>0</v>
      </c>
      <c r="Q33" s="468">
        <f t="shared" ca="1" si="18"/>
        <v>218333.32117942811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9196.0503360407074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9196.0503360407074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0.21292049954219799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0.21292049954219799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2020-06-20T16:17:46Z</dcterms:modified>
</cp:coreProperties>
</file>