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C45" i="18" l="1"/>
  <c r="C49" i="18"/>
  <c r="F49" i="18"/>
  <c r="B20" i="18"/>
  <c r="G49" i="18"/>
  <c r="I17" i="18" s="1"/>
  <c r="I20" i="18" s="1"/>
  <c r="F20" i="18"/>
  <c r="B49" i="18"/>
  <c r="C17" i="18" s="1"/>
  <c r="C20" i="18" s="1"/>
  <c r="O18" i="18"/>
  <c r="H20" i="18"/>
  <c r="G20" i="18"/>
  <c r="K20" i="18"/>
  <c r="B10" i="18"/>
  <c r="O19" i="18"/>
  <c r="O9" i="18"/>
  <c r="D49" i="18"/>
  <c r="H49" i="18"/>
  <c r="E48" i="18"/>
  <c r="E8" i="18" s="1"/>
  <c r="E10" i="18" s="1"/>
  <c r="E49" i="18"/>
  <c r="E17" i="18" s="1"/>
  <c r="E20" i="18" s="1"/>
  <c r="N6" i="17"/>
  <c r="I48" i="18" l="1"/>
  <c r="H8" i="18" s="1"/>
  <c r="H10" i="18" s="1"/>
  <c r="G48" i="18"/>
  <c r="H48" i="18"/>
  <c r="F48" i="18"/>
  <c r="D48" i="18"/>
  <c r="C48" i="18"/>
  <c r="B48" i="18"/>
  <c r="C8" i="18" s="1"/>
  <c r="C10" i="18" s="1"/>
  <c r="J17" i="18"/>
  <c r="J20" i="18" s="1"/>
  <c r="L6" i="17"/>
  <c r="F6" i="17"/>
  <c r="D6" i="17"/>
  <c r="C6" i="17"/>
  <c r="N16" i="16"/>
  <c r="L16" i="16"/>
  <c r="F16" i="16"/>
  <c r="D16" i="16"/>
  <c r="C16" i="16"/>
  <c r="B16" i="16"/>
  <c r="B13" i="15"/>
  <c r="I8" i="18" l="1"/>
  <c r="J8" i="18"/>
  <c r="J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H20" i="59"/>
  <c r="L20" i="59"/>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O4" i="48"/>
  <c r="O22" i="48" s="1"/>
  <c r="P11" i="14"/>
  <c r="D4" i="48"/>
  <c r="D22" i="48" s="1"/>
  <c r="E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2" i="16"/>
  <c r="F43" i="14" s="1"/>
  <c r="F46" i="14" s="1"/>
  <c r="F61" i="14" s="1"/>
  <c r="E23" i="48"/>
  <c r="E33" i="48" s="1"/>
  <c r="H63" i="14"/>
  <c r="Q5" i="48"/>
  <c r="J22" i="16"/>
  <c r="K43" i="14" s="1"/>
  <c r="K46" i="14" s="1"/>
  <c r="K61" i="14" s="1"/>
  <c r="K63" i="14" s="1"/>
  <c r="J8" i="48"/>
  <c r="J26" i="48" s="1"/>
  <c r="J33" i="48" s="1"/>
  <c r="K13" i="14"/>
  <c r="K16" i="14" s="1"/>
  <c r="K27" i="14"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<sst xmlns="http://schemas.openxmlformats.org/spreadsheetml/2006/main" count="2447" uniqueCount="920">
  <si>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</si>
  <si>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</si>
  <si>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</si>
  <si>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</si>
  <si>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</si>
  <si>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</si>
  <si>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</si>
  <si>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</si>
  <si>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</si>
  <si>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</si>
  <si>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</si>
  <si>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</si>
  <si>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</si>
  <si>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</si>
  <si>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</si>
  <si>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</si>
  <si>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</si>
  <si>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</si>
  <si>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</si>
  <si>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</si>
  <si>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</si>
  <si>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</si>
  <si>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</si>
  <si>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</si>
  <si>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</si>
  <si>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</si>
  <si>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</si>
  <si>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</si>
  <si>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</si>
  <si>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</si>
  <si>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</si>
  <si>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</si>
  <si>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</si>
  <si>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</si>
  <si>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</si>
  <si>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</si>
  <si>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</si>
  <si>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</si>
  <si>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</si>
  <si>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</si>
  <si>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</si>
  <si>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</si>
  <si>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</si>
  <si>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</si>
  <si>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</si>
  <si>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</si>
  <si>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</si>
  <si>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</si>
  <si>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</si>
  <si>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</si>
  <si>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</si>
  <si>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</si>
  <si>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</si>
  <si>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</si>
  <si>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</si>
  <si>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</si>
  <si>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</si>
  <si>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</si>
  <si>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</si>
  <si>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</si>
  <si>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</si>
  <si>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</si>
  <si>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</si>
  <si>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</si>
  <si>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</si>
  <si>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</si>
  <si>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</si>
  <si>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</si>
  <si>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</si>
  <si>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</si>
  <si>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</si>
  <si>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</si>
  <si>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</si>
  <si>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</si>
  <si>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</si>
  <si>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</si>
  <si>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</si>
  <si>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</si>
  <si>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</si>
  <si>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</si>
  <si>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</si>
  <si>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</si>
  <si>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</si>
  <si>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</si>
  <si>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</si>
  <si>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</si>
  <si>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</si>
  <si>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</si>
  <si>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</si>
  <si>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</si>
  <si>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</si>
  <si>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</si>
  <si>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</si>
  <si>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</si>
  <si>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</si>
  <si>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</si>
  <si>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</si>
  <si>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</si>
  <si>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</si>
  <si>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</si>
  <si>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</si>
  <si>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</si>
  <si>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</si>
  <si>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</si>
  <si>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</si>
  <si>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</si>
  <si>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</si>
  <si>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</si>
  <si>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</si>
  <si>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</si>
  <si>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</si>
  <si>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</si>
  <si>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</si>
  <si>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</si>
  <si>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</si>
  <si>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</si>
  <si>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</si>
  <si>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</si>
  <si>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</si>
  <si>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</si>
  <si>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</si>
  <si>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</si>
  <si>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</si>
  <si>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</si>
  <si>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</si>
  <si>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</si>
  <si>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</si>
  <si>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</si>
  <si>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</si>
  <si>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</si>
  <si>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</si>
  <si>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</si>
  <si>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</si>
  <si>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</si>
  <si>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</si>
  <si>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</si>
  <si>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</si>
  <si>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</si>
  <si>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</si>
  <si>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</si>
  <si>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</si>
  <si>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</si>
  <si>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</si>
  <si>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</si>
  <si>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</si>
  <si>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</si>
  <si>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</si>
  <si>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</si>
  <si>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</si>
  <si>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</si>
  <si>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</si>
  <si>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</si>
  <si>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</si>
  <si>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</si>
  <si>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</si>
  <si>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</si>
  <si>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</si>
  <si>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</si>
  <si>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</si>
  <si>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</si>
  <si>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</si>
  <si>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</si>
  <si>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</si>
  <si>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</si>
  <si>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</si>
  <si>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</si>
  <si>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</si>
  <si>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</si>
  <si>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</si>
  <si>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</si>
  <si>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</si>
  <si>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</si>
  <si>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</si>
  <si>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</si>
  <si>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</si>
  <si>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</si>
  <si>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</si>
  <si>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</si>
  <si>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</si>
  <si>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</si>
  <si>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</si>
  <si>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</si>
  <si>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</si>
  <si>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</si>
  <si>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</si>
  <si>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</si>
  <si>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</si>
  <si>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</si>
  <si>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</si>
  <si>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</si>
  <si>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</si>
  <si>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</si>
  <si>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</si>
  <si>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</si>
  <si>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</si>
  <si>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</si>
  <si>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</si>
  <si>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</si>
  <si>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</si>
  <si>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</si>
  <si>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</si>
  <si>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</si>
  <si>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</si>
  <si>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</si>
  <si>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</si>
  <si>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</si>
  <si>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</si>
  <si>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</si>
  <si>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</si>
  <si>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</si>
  <si>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</si>
  <si>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</si>
  <si>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</si>
  <si>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</si>
  <si>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</si>
  <si>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</si>
  <si>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</si>
  <si>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</si>
  <si>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</si>
  <si>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</si>
  <si>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</si>
  <si>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</si>
  <si>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</si>
  <si>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</si>
  <si>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</si>
  <si>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</si>
  <si>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</si>
  <si>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</si>
  <si>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</si>
  <si>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</si>
  <si>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</si>
  <si>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</si>
  <si>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</si>
  <si>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</si>
  <si>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</si>
  <si>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</si>
  <si>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</si>
  <si>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</si>
  <si>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</si>
  <si>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</si>
  <si>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</si>
  <si>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</si>
  <si>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</si>
  <si>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</si>
  <si>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</si>
  <si>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</si>
  <si>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</si>
  <si>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</si>
  <si>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</si>
  <si>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</si>
  <si>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</si>
  <si>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</si>
  <si>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</si>
  <si>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</si>
  <si>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</si>
  <si>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</si>
  <si>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</si>
  <si>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</si>
  <si>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</si>
  <si>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</si>
  <si>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</si>
  <si>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</si>
  <si>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</si>
  <si>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</si>
  <si>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</si>
  <si>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</si>
  <si>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</si>
  <si>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</si>
  <si>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</si>
  <si>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</si>
  <si>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</si>
  <si>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</si>
  <si>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</si>
  <si>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</si>
  <si>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</si>
  <si>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</si>
  <si>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</si>
  <si>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</si>
  <si>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</si>
  <si>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</si>
  <si>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</si>
  <si>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</si>
  <si>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</si>
  <si>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</si>
  <si>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</si>
  <si>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</si>
  <si>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</si>
  <si>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</si>
  <si>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</si>
  <si>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</si>
  <si>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</si>
  <si>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</si>
  <si>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</si>
  <si>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</si>
  <si>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</si>
  <si>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</si>
  <si>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</si>
  <si>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</si>
  <si>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</si>
  <si>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</si>
  <si>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</si>
  <si>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</si>
  <si>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</si>
  <si>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</si>
  <si>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</si>
  <si>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</si>
  <si>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</si>
  <si>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</si>
  <si>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</si>
  <si>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</si>
  <si>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</si>
  <si>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</si>
  <si>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</si>
  <si>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</si>
  <si>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</si>
  <si>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</si>
  <si>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</si>
  <si>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</si>
  <si>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</si>
  <si>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</si>
  <si>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</si>
  <si>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</si>
  <si>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</si>
  <si>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</si>
  <si>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</si>
  <si>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</si>
  <si>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</si>
  <si>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</si>
  <si>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</si>
  <si>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</si>
  <si>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</si>
  <si>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</si>
  <si>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</si>
  <si>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</si>
  <si>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</si>
  <si>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</si>
  <si>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</si>
  <si>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</si>
  <si>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</si>
  <si>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</si>
  <si>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</si>
  <si>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</si>
  <si>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</si>
  <si>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</si>
  <si>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</si>
  <si>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</si>
  <si>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</si>
  <si>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</si>
  <si>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</si>
  <si>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</si>
  <si>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</si>
  <si>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</si>
  <si>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</si>
  <si>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</si>
  <si>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</si>
  <si>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</si>
  <si>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</si>
  <si>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</si>
  <si>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</si>
  <si>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</si>
  <si>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</si>
  <si>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</si>
  <si>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</si>
  <si>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</si>
  <si>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</si>
  <si>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</si>
  <si>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</si>
  <si>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</si>
  <si>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</si>
  <si>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</si>
  <si>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</si>
  <si>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</si>
  <si>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</si>
  <si>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</si>
  <si>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</si>
  <si>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</si>
  <si>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</si>
  <si>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</si>
  <si>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</si>
  <si>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</si>
  <si>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</si>
  <si>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</si>
  <si>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</si>
  <si>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</si>
  <si>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</si>
  <si>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</si>
  <si>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</si>
  <si>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</si>
  <si>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</si>
  <si>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</si>
  <si>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</si>
  <si>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</si>
  <si>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</si>
  <si>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</si>
  <si>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</si>
  <si>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</si>
  <si>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</si>
  <si>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</si>
  <si>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</si>
  <si>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</si>
  <si>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</si>
  <si>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</si>
  <si>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</si>
  <si>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</si>
  <si>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</si>
  <si>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</si>
  <si>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</si>
  <si>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</si>
  <si>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</si>
  <si>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</si>
  <si>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</si>
  <si>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</si>
  <si>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</si>
  <si>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</si>
  <si>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</si>
  <si>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</si>
  <si>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</si>
  <si>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</si>
  <si>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</si>
  <si>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</si>
  <si>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</si>
  <si>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</si>
  <si>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</si>
  <si>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</si>
  <si>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</si>
  <si>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</si>
  <si>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</si>
  <si>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</si>
  <si>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</si>
  <si>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</si>
  <si>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</si>
  <si>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</si>
  <si>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</si>
  <si>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</si>
  <si>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</si>
  <si>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</si>
  <si>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</si>
  <si>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</si>
  <si>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</si>
  <si>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</si>
  <si>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</si>
  <si>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</si>
  <si>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</si>
  <si>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</si>
  <si>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</si>
  <si>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</si>
  <si>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</si>
  <si>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</si>
  <si>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</si>
  <si>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</si>
  <si>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</si>
  <si>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</si>
  <si>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</si>
  <si>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</si>
  <si>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</si>
  <si>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</si>
  <si>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</si>
  <si>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</si>
  <si>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</si>
  <si>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</si>
  <si>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</si>
  <si>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</si>
  <si>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</si>
  <si>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</si>
  <si>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</si>
  <si>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</si>
  <si>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</si>
  <si>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</si>
  <si>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</si>
  <si>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</si>
  <si>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</si>
  <si>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</si>
  <si>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</si>
  <si>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</si>
  <si>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</si>
  <si>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</si>
  <si>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</si>
  <si>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</si>
  <si>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</si>
  <si>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</si>
  <si>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</si>
  <si>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</si>
  <si>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</si>
  <si>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</si>
  <si>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</si>
  <si>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</si>
  <si>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</si>
  <si>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</si>
  <si>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</si>
  <si>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</si>
  <si>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</si>
  <si>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</si>
  <si>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</si>
  <si>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</si>
  <si>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</si>
  <si>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</si>
  <si>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</si>
  <si>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</si>
  <si>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</si>
  <si>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</si>
  <si>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</si>
  <si>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</si>
  <si>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</si>
  <si>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</si>
  <si>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</si>
  <si>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</si>
  <si>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</si>
  <si>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</si>
  <si>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</si>
  <si>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</si>
  <si>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</si>
  <si>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</si>
  <si>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</si>
  <si>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</si>
  <si>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</si>
  <si>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</si>
  <si>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</si>
  <si>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</si>
  <si>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</si>
  <si>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</si>
  <si>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</si>
  <si>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</si>
  <si>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</si>
  <si>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</si>
  <si>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</si>
  <si>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</si>
  <si>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</si>
  <si>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</si>
  <si>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</si>
  <si>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</si>
  <si>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</si>
  <si>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</si>
  <si>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</si>
  <si>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</si>
  <si>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</si>
  <si>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</si>
  <si>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</si>
  <si>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</si>
  <si>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</si>
  <si>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</si>
  <si>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</si>
  <si>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</si>
  <si>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</si>
  <si>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</si>
  <si>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</si>
  <si>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</si>
  <si>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</si>
  <si>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</si>
  <si>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</si>
  <si>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</si>
  <si>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</si>
  <si>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</si>
  <si>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</si>
  <si>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</si>
  <si>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</si>
  <si>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</si>
  <si>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</si>
  <si>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</si>
  <si>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</si>
  <si>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</si>
  <si>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</si>
  <si>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</si>
  <si>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</si>
  <si>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</si>
  <si>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</si>
  <si>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</si>
  <si>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</si>
  <si>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</si>
  <si>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</si>
  <si>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</si>
  <si>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</si>
  <si>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</si>
  <si>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</si>
  <si>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</si>
  <si>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</si>
  <si>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</si>
  <si>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</si>
  <si>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</si>
  <si>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</si>
  <si>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</si>
  <si>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</si>
  <si>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</si>
  <si>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</si>
  <si>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</si>
  <si>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</si>
  <si>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</si>
  <si>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</si>
  <si>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</si>
  <si>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</si>
  <si>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</si>
  <si>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</si>
  <si>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</si>
  <si>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</si>
  <si>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</si>
  <si>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</si>
  <si>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</si>
  <si>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</si>
  <si>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</si>
  <si>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</si>
  <si>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</si>
  <si>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</si>
  <si>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</si>
  <si>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</si>
  <si>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</si>
  <si>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</si>
  <si>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</si>
  <si>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</si>
  <si>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</si>
  <si>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</si>
  <si>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</si>
  <si>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</si>
  <si>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</si>
  <si>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</si>
  <si>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</si>
  <si>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</si>
  <si>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</si>
  <si>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</si>
  <si>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</si>
  <si>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</si>
  <si>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</si>
  <si>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</si>
  <si>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</si>
  <si>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</si>
  <si>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</si>
  <si>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</si>
  <si>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</si>
  <si>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</si>
  <si>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</si>
  <si>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</si>
  <si>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</si>
  <si>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</si>
  <si>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</si>
  <si>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</si>
  <si>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</si>
  <si>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</si>
  <si>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</si>
  <si>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</si>
  <si>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</si>
  <si>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</si>
  <si>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</si>
  <si>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</si>
  <si>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</si>
  <si>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</si>
  <si>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</si>
  <si>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</si>
  <si>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</si>
  <si>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</si>
  <si>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</si>
  <si>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</si>
  <si>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</si>
  <si>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</si>
  <si>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</si>
  <si>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</si>
  <si>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</si>
  <si>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</si>
  <si>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</si>
  <si>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</si>
  <si>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</si>
  <si>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</si>
  <si>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</si>
  <si>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</si>
  <si>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</si>
  <si>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</si>
  <si>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</si>
  <si>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</si>
  <si>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</si>
  <si>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</si>
  <si>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</si>
  <si>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</si>
  <si>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</si>
  <si>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</si>
  <si>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</si>
  <si>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</si>
  <si>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</si>
  <si>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</si>
  <si>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</si>
  <si>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</si>
  <si>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</si>
  <si>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</si>
  <si>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</si>
  <si>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</si>
  <si>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</si>
  <si>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</si>
  <si>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</si>
  <si>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</si>
  <si>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</si>
  <si>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</si>
  <si>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</si>
  <si>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</si>
  <si>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</si>
  <si>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</si>
  <si>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</si>
  <si>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</si>
  <si>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</si>
  <si>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</si>
  <si>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</si>
  <si>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</si>
  <si>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</si>
  <si>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</si>
  <si>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</si>
  <si>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</si>
  <si>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</si>
  <si>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</si>
  <si>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</si>
  <si>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</si>
  <si>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</si>
  <si>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</si>
  <si>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</si>
  <si>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</si>
  <si>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</si>
  <si>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</si>
  <si>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</si>
  <si>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</si>
  <si>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</si>
  <si>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</si>
  <si>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</si>
  <si>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</si>
  <si>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</si>
  <si>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</si>
  <si>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</si>
  <si>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</si>
  <si>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</si>
  <si>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</si>
  <si>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</si>
  <si>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</si>
  <si>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</si>
  <si>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</si>
  <si>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</si>
  <si>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</si>
  <si>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</si>
  <si>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</si>
  <si>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</si>
  <si>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</si>
  <si>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</si>
  <si>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</si>
  <si>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</si>
  <si>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</si>
  <si>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</si>
  <si>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</si>
  <si>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</si>
  <si>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</si>
  <si>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</si>
  <si>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</si>
  <si>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</si>
  <si>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</si>
  <si>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</si>
  <si>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</si>
  <si>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</si>
  <si>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</si>
  <si>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</si>
  <si>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</si>
  <si>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</si>
  <si>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</si>
  <si>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</si>
  <si>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</si>
  <si>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</si>
  <si>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</si>
  <si>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</si>
  <si>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</si>
  <si>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</si>
  <si>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</si>
  <si>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</si>
  <si>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</si>
  <si>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</si>
  <si>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</si>
  <si>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</si>
  <si>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</si>
  <si>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</si>
  <si>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</si>
  <si>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</si>
  <si>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</si>
  <si>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</si>
  <si>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</si>
  <si>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</si>
  <si>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</si>
  <si>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</si>
  <si>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</si>
  <si>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</si>
  <si>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</si>
  <si>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</si>
  <si>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</si>
  <si>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</si>
  <si>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</si>
  <si>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</si>
  <si>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</si>
  <si>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</si>
  <si>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</si>
  <si>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</si>
  <si>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</si>
  <si>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</si>
  <si>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</si>
  <si>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</si>
  <si>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</si>
  <si>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</si>
  <si>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</si>
  <si>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</si>
  <si>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</si>
  <si>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</si>
  <si>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</si>
  <si>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</si>
  <si>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</si>
  <si>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</si>
  <si>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</si>
  <si>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</si>
  <si>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</si>
  <si>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</si>
  <si>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</si>
  <si>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</si>
  <si>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</si>
  <si>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</si>
  <si>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</si>
  <si>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</si>
  <si>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</si>
  <si>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</si>
  <si>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</si>
  <si>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</si>
  <si>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</si>
  <si>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</si>
  <si>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</si>
  <si>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</si>
  <si>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</si>
  <si>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</si>
  <si>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</si>
  <si>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</si>
  <si>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</si>
  <si>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</si>
  <si>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</si>
  <si>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</si>
  <si>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</si>
  <si>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</si>
  <si>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</si>
  <si>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</si>
  <si>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</si>
  <si>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</si>
  <si>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</si>
  <si>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</si>
  <si>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</si>
  <si>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</si>
  <si>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</si>
  <si>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</si>
  <si>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</si>
  <si>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</si>
  <si>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</si>
  <si>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</si>
  <si>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</si>
  <si>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</si>
  <si>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</si>
  <si>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</si>
  <si>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</si>
  <si>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</si>
  <si>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</si>
  <si>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</si>
  <si>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</si>
  <si>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</si>
  <si>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</si>
  <si>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</si>
  <si>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</si>
  <si>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</si>
  <si>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</si>
  <si>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</si>
  <si>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</si>
  <si>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</si>
  <si>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</si>
  <si>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</si>
  <si>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</si>
  <si>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</si>
  <si>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</si>
  <si>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</si>
  <si>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</si>
  <si>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</si>
  <si>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</si>
  <si>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</si>
  <si>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</si>
  <si>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</si>
  <si>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</si>
  <si>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</si>
  <si>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</si>
  <si>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</si>
  <si>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</si>
  <si>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</si>
  <si>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</si>
  <si>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</si>
  <si>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</si>
  <si>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</si>
  <si>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</si>
  <si>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</si>
  <si>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</si>
  <si>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</si>
  <si>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</si>
  <si>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</si>
  <si>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</si>
  <si>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</si>
  <si>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</si>
  <si>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</si>
  <si>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</si>
  <si>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</si>
  <si>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</si>
  <si>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</si>
  <si>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</si>
  <si>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</si>
  <si>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</si>
  <si>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</si>
  <si>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</si>
  <si>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</si>
  <si>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</si>
  <si>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</si>
  <si>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</si>
  <si>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</si>
  <si>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</si>
  <si>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</si>
  <si>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</si>
  <si>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</si>
  <si>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</si>
  <si>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24104</t>
  </si>
  <si>
    <t>TERVUREN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</si>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</sst>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212464.55379225209</c:v>
                </c:pt>
                <c:pt idx="1">
                  <c:v>58039.435289310772</c:v>
                </c:pt>
                <c:pt idx="2">
                  <c:v>1345.548</c:v>
                </c:pt>
                <c:pt idx="3">
                  <c:v>1179.642827625273</c:v>
                </c:pt>
                <c:pt idx="4">
                  <c:v>5842.0164298208629</c:v>
                </c:pt>
                <c:pt idx="5">
                  <c:v>212938.29058639784</c:v>
                </c:pt>
                <c:pt idx="6">
                  <c:v>4792.9430323269989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212464.55379225209</c:v>
                </c:pt>
                <c:pt idx="1">
                  <c:v>58039.435289310772</c:v>
                </c:pt>
                <c:pt idx="2">
                  <c:v>1345.548</c:v>
                </c:pt>
                <c:pt idx="3">
                  <c:v>1179.642827625273</c:v>
                </c:pt>
                <c:pt idx="4">
                  <c:v>5842.0164298208629</c:v>
                </c:pt>
                <c:pt idx="5">
                  <c:v>212938.29058639784</c:v>
                </c:pt>
                <c:pt idx="6">
                  <c:v>4792.9430323269989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42378.533332704443</c:v>
                </c:pt>
                <c:pt idx="2">
                  <c:v>11436.354826941537</c:v>
                </c:pt>
                <c:pt idx="3">
                  <c:v>288.63839174705316</c:v>
                </c:pt>
                <c:pt idx="4">
                  <c:v>288.63968310198356</c:v>
                </c:pt>
                <c:pt idx="5">
                  <c:v>1243.0628749050722</c:v>
                </c:pt>
                <c:pt idx="6">
                  <c:v>53757.433271925882</c:v>
                </c:pt>
                <c:pt idx="7">
                  <c:v>1225.1819284141609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42378.533332704443</c:v>
                </c:pt>
                <c:pt idx="2">
                  <c:v>11436.354826941537</c:v>
                </c:pt>
                <c:pt idx="3">
                  <c:v>288.63839174705316</c:v>
                </c:pt>
                <c:pt idx="4">
                  <c:v>288.63968310198356</c:v>
                </c:pt>
                <c:pt idx="5">
                  <c:v>1243.0628749050722</c:v>
                </c:pt>
                <c:pt idx="6">
                  <c:v>53757.433271925882</c:v>
                </c:pt>
                <c:pt idx="7">
                  <c:v>1225.1819284141609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24104</v>
      </c>
      <c r="B6" s="395"/>
      <c r="C6" s="396"/>
    </row>
    <row r="7" spans="1:7" s="393" customFormat="1" ht="15.75" customHeight="1">
      <c r="A7" s="397" t="str">
        <f>txtMunicipality</f>
        <v>TERVUREN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0.21451363440550106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0.21451363440550106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8347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752</v>
      </c>
      <c r="C14" s="332"/>
      <c r="D14" s="332"/>
      <c r="E14" s="332"/>
      <c r="F14" s="332"/>
    </row>
    <row r="15" spans="1:6">
      <c r="A15" s="1306" t="s">
        <v>183</v>
      </c>
      <c r="B15" s="1307">
        <v>0</v>
      </c>
      <c r="C15" s="332"/>
      <c r="D15" s="332"/>
      <c r="E15" s="332"/>
      <c r="F15" s="332"/>
    </row>
    <row r="16" spans="1:6">
      <c r="A16" s="1306" t="s">
        <v>6</v>
      </c>
      <c r="B16" s="1307">
        <v>39</v>
      </c>
      <c r="C16" s="332"/>
      <c r="D16" s="332"/>
      <c r="E16" s="332"/>
      <c r="F16" s="332"/>
    </row>
    <row r="17" spans="1:6">
      <c r="A17" s="1306" t="s">
        <v>7</v>
      </c>
      <c r="B17" s="1307">
        <v>85</v>
      </c>
      <c r="C17" s="332"/>
      <c r="D17" s="332"/>
      <c r="E17" s="332"/>
      <c r="F17" s="332"/>
    </row>
    <row r="18" spans="1:6">
      <c r="A18" s="1306" t="s">
        <v>8</v>
      </c>
      <c r="B18" s="1307">
        <v>159</v>
      </c>
      <c r="C18" s="332"/>
      <c r="D18" s="332"/>
      <c r="E18" s="332"/>
      <c r="F18" s="332"/>
    </row>
    <row r="19" spans="1:6">
      <c r="A19" s="1306" t="s">
        <v>9</v>
      </c>
      <c r="B19" s="1307">
        <v>307</v>
      </c>
      <c r="C19" s="332"/>
      <c r="D19" s="332"/>
      <c r="E19" s="332"/>
      <c r="F19" s="332"/>
    </row>
    <row r="20" spans="1:6">
      <c r="A20" s="1306" t="s">
        <v>10</v>
      </c>
      <c r="B20" s="1307">
        <v>94</v>
      </c>
      <c r="C20" s="332"/>
      <c r="D20" s="332"/>
      <c r="E20" s="332"/>
      <c r="F20" s="332"/>
    </row>
    <row r="21" spans="1:6">
      <c r="A21" s="1306" t="s">
        <v>11</v>
      </c>
      <c r="B21" s="1307">
        <v>0</v>
      </c>
      <c r="C21" s="332"/>
      <c r="D21" s="332"/>
      <c r="E21" s="332"/>
      <c r="F21" s="332"/>
    </row>
    <row r="22" spans="1:6">
      <c r="A22" s="1306" t="s">
        <v>12</v>
      </c>
      <c r="B22" s="1307">
        <v>6</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151</v>
      </c>
      <c r="C29" s="338"/>
      <c r="D29" s="338"/>
      <c r="E29" s="338"/>
      <c r="F29" s="338"/>
    </row>
    <row r="30" spans="1:6">
      <c r="A30" s="1301" t="s">
        <v>917</v>
      </c>
      <c r="B30" s="1310">
        <v>17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6</v>
      </c>
      <c r="F36" s="1307">
        <v>14137.6819395807</v>
      </c>
    </row>
    <row r="37" spans="1:6">
      <c r="A37" s="1306" t="s">
        <v>24</v>
      </c>
      <c r="B37" s="1306" t="s">
        <v>27</v>
      </c>
      <c r="C37" s="1307">
        <v>0</v>
      </c>
      <c r="D37" s="1307">
        <v>0</v>
      </c>
      <c r="E37" s="1307">
        <v>0</v>
      </c>
      <c r="F37" s="1307">
        <v>0</v>
      </c>
    </row>
    <row r="38" spans="1:6">
      <c r="A38" s="1306" t="s">
        <v>24</v>
      </c>
      <c r="B38" s="1306" t="s">
        <v>28</v>
      </c>
      <c r="C38" s="1307">
        <v>2</v>
      </c>
      <c r="D38" s="1307">
        <v>410613.42776421999</v>
      </c>
      <c r="E38" s="1307">
        <v>1</v>
      </c>
      <c r="F38" s="1307">
        <v>86142</v>
      </c>
    </row>
    <row r="39" spans="1:6">
      <c r="A39" s="1306" t="s">
        <v>29</v>
      </c>
      <c r="B39" s="1306" t="s">
        <v>30</v>
      </c>
      <c r="C39" s="1307">
        <v>6369</v>
      </c>
      <c r="D39" s="1307">
        <v>164989050.936535</v>
      </c>
      <c r="E39" s="1307">
        <v>8472</v>
      </c>
      <c r="F39" s="1307">
        <v>35947868.258337498</v>
      </c>
    </row>
    <row r="40" spans="1:6">
      <c r="A40" s="1306" t="s">
        <v>29</v>
      </c>
      <c r="B40" s="1306" t="s">
        <v>28</v>
      </c>
      <c r="C40" s="1307">
        <v>0</v>
      </c>
      <c r="D40" s="1307">
        <v>0</v>
      </c>
      <c r="E40" s="1307">
        <v>0</v>
      </c>
      <c r="F40" s="1307">
        <v>0</v>
      </c>
    </row>
    <row r="41" spans="1:6">
      <c r="A41" s="1306" t="s">
        <v>31</v>
      </c>
      <c r="B41" s="1306" t="s">
        <v>32</v>
      </c>
      <c r="C41" s="1307">
        <v>32</v>
      </c>
      <c r="D41" s="1307">
        <v>888454.40101305104</v>
      </c>
      <c r="E41" s="1307">
        <v>72</v>
      </c>
      <c r="F41" s="1307">
        <v>414570.89536609902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5</v>
      </c>
      <c r="F44" s="1307">
        <v>72779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75764.007296402197</v>
      </c>
      <c r="E47" s="1307">
        <v>3</v>
      </c>
      <c r="F47" s="1307">
        <v>10983</v>
      </c>
    </row>
    <row r="48" spans="1:6">
      <c r="A48" s="1306" t="s">
        <v>31</v>
      </c>
      <c r="B48" s="1306" t="s">
        <v>28</v>
      </c>
      <c r="C48" s="1307">
        <v>17</v>
      </c>
      <c r="D48" s="1307">
        <v>716111.77323987696</v>
      </c>
      <c r="E48" s="1307">
        <v>19</v>
      </c>
      <c r="F48" s="1307">
        <v>310246.97018440597</v>
      </c>
    </row>
    <row r="49" spans="1:6">
      <c r="A49" s="1306" t="s">
        <v>31</v>
      </c>
      <c r="B49" s="1306" t="s">
        <v>39</v>
      </c>
      <c r="C49" s="1307">
        <v>0</v>
      </c>
      <c r="D49" s="1307">
        <v>0</v>
      </c>
      <c r="E49" s="1307">
        <v>0</v>
      </c>
      <c r="F49" s="1307">
        <v>0</v>
      </c>
    </row>
    <row r="50" spans="1:6">
      <c r="A50" s="1306" t="s">
        <v>31</v>
      </c>
      <c r="B50" s="1306" t="s">
        <v>40</v>
      </c>
      <c r="C50" s="1307">
        <v>7</v>
      </c>
      <c r="D50" s="1307">
        <v>1073565.35742419</v>
      </c>
      <c r="E50" s="1307">
        <v>12</v>
      </c>
      <c r="F50" s="1307">
        <v>695946.65810004901</v>
      </c>
    </row>
    <row r="51" spans="1:6">
      <c r="A51" s="1306" t="s">
        <v>41</v>
      </c>
      <c r="B51" s="1306" t="s">
        <v>42</v>
      </c>
      <c r="C51" s="1307">
        <v>4</v>
      </c>
      <c r="D51" s="1307">
        <v>111819.57949592599</v>
      </c>
      <c r="E51" s="1307">
        <v>47</v>
      </c>
      <c r="F51" s="1307">
        <v>192296.91193902001</v>
      </c>
    </row>
    <row r="52" spans="1:6">
      <c r="A52" s="1306" t="s">
        <v>41</v>
      </c>
      <c r="B52" s="1306" t="s">
        <v>28</v>
      </c>
      <c r="C52" s="1307">
        <v>6</v>
      </c>
      <c r="D52" s="1307">
        <v>205342.89762667901</v>
      </c>
      <c r="E52" s="1307">
        <v>2</v>
      </c>
      <c r="F52" s="1307">
        <v>1398.2326623614999</v>
      </c>
    </row>
    <row r="53" spans="1:6">
      <c r="A53" s="1306" t="s">
        <v>43</v>
      </c>
      <c r="B53" s="1306" t="s">
        <v>44</v>
      </c>
      <c r="C53" s="1307">
        <v>188</v>
      </c>
      <c r="D53" s="1307">
        <v>7010339.8572207801</v>
      </c>
      <c r="E53" s="1307">
        <v>286</v>
      </c>
      <c r="F53" s="1307">
        <v>2229854.8091797698</v>
      </c>
    </row>
    <row r="54" spans="1:6">
      <c r="A54" s="1306" t="s">
        <v>45</v>
      </c>
      <c r="B54" s="1306" t="s">
        <v>46</v>
      </c>
      <c r="C54" s="1307">
        <v>0</v>
      </c>
      <c r="D54" s="1307">
        <v>0</v>
      </c>
      <c r="E54" s="1307">
        <v>1</v>
      </c>
      <c r="F54" s="1307">
        <v>1345548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36</v>
      </c>
      <c r="D57" s="1307">
        <v>3171890.45758443</v>
      </c>
      <c r="E57" s="1307">
        <v>72</v>
      </c>
      <c r="F57" s="1307">
        <v>5243907.9376779301</v>
      </c>
    </row>
    <row r="58" spans="1:6">
      <c r="A58" s="1306" t="s">
        <v>48</v>
      </c>
      <c r="B58" s="1306" t="s">
        <v>50</v>
      </c>
      <c r="C58" s="1307">
        <v>33</v>
      </c>
      <c r="D58" s="1307">
        <v>1012546.15055014</v>
      </c>
      <c r="E58" s="1307">
        <v>41</v>
      </c>
      <c r="F58" s="1307">
        <v>339106.58235291101</v>
      </c>
    </row>
    <row r="59" spans="1:6">
      <c r="A59" s="1306" t="s">
        <v>48</v>
      </c>
      <c r="B59" s="1306" t="s">
        <v>51</v>
      </c>
      <c r="C59" s="1307">
        <v>48</v>
      </c>
      <c r="D59" s="1307">
        <v>2719255.5641753501</v>
      </c>
      <c r="E59" s="1307">
        <v>129</v>
      </c>
      <c r="F59" s="1307">
        <v>3964856.1186466301</v>
      </c>
    </row>
    <row r="60" spans="1:6">
      <c r="A60" s="1306" t="s">
        <v>48</v>
      </c>
      <c r="B60" s="1306" t="s">
        <v>52</v>
      </c>
      <c r="C60" s="1307">
        <v>38</v>
      </c>
      <c r="D60" s="1307">
        <v>2093952.2311633099</v>
      </c>
      <c r="E60" s="1307">
        <v>48</v>
      </c>
      <c r="F60" s="1307">
        <v>857002.01977566502</v>
      </c>
    </row>
    <row r="61" spans="1:6">
      <c r="A61" s="1306" t="s">
        <v>48</v>
      </c>
      <c r="B61" s="1306" t="s">
        <v>53</v>
      </c>
      <c r="C61" s="1307">
        <v>273</v>
      </c>
      <c r="D61" s="1307">
        <v>21970703.215966601</v>
      </c>
      <c r="E61" s="1307">
        <v>466</v>
      </c>
      <c r="F61" s="1307">
        <v>5925549.2633136204</v>
      </c>
    </row>
    <row r="62" spans="1:6">
      <c r="A62" s="1306" t="s">
        <v>48</v>
      </c>
      <c r="B62" s="1306" t="s">
        <v>54</v>
      </c>
      <c r="C62" s="1307">
        <v>3</v>
      </c>
      <c r="D62" s="1307">
        <v>322186.34117238299</v>
      </c>
      <c r="E62" s="1307">
        <v>3</v>
      </c>
      <c r="F62" s="1307">
        <v>200678.74332218501</v>
      </c>
    </row>
    <row r="63" spans="1:6">
      <c r="A63" s="1306" t="s">
        <v>48</v>
      </c>
      <c r="B63" s="1306" t="s">
        <v>28</v>
      </c>
      <c r="C63" s="1307">
        <v>80</v>
      </c>
      <c r="D63" s="1307">
        <v>3352374.3192389002</v>
      </c>
      <c r="E63" s="1307">
        <v>82</v>
      </c>
      <c r="F63" s="1307">
        <v>2219954.29298307</v>
      </c>
    </row>
    <row r="64" spans="1:6">
      <c r="A64" s="1306" t="s">
        <v>55</v>
      </c>
      <c r="B64" s="1306" t="s">
        <v>56</v>
      </c>
      <c r="C64" s="1307">
        <v>0</v>
      </c>
      <c r="D64" s="1307">
        <v>0</v>
      </c>
      <c r="E64" s="1307">
        <v>0</v>
      </c>
      <c r="F64" s="1307">
        <v>0</v>
      </c>
    </row>
    <row r="65" spans="1:6">
      <c r="A65" s="1306" t="s">
        <v>55</v>
      </c>
      <c r="B65" s="1306" t="s">
        <v>28</v>
      </c>
      <c r="C65" s="1307">
        <v>3</v>
      </c>
      <c r="D65" s="1307">
        <v>83432.839526594602</v>
      </c>
      <c r="E65" s="1307">
        <v>4</v>
      </c>
      <c r="F65" s="1307">
        <v>20624.262036346001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57236131</v>
      </c>
      <c r="E73" s="456"/>
      <c r="F73" s="332"/>
    </row>
    <row r="74" spans="1:6">
      <c r="A74" s="1306" t="s">
        <v>63</v>
      </c>
      <c r="B74" s="1306" t="s">
        <v>724</v>
      </c>
      <c r="C74" s="1320" t="s">
        <v>725</v>
      </c>
      <c r="D74" s="1321">
        <v>769295.36393385951</v>
      </c>
      <c r="E74" s="456"/>
      <c r="F74" s="332"/>
    </row>
    <row r="75" spans="1:6">
      <c r="A75" s="1306" t="s">
        <v>64</v>
      </c>
      <c r="B75" s="1306" t="s">
        <v>722</v>
      </c>
      <c r="C75" s="1320" t="s">
        <v>726</v>
      </c>
      <c r="D75" s="1321">
        <v>54001202</v>
      </c>
      <c r="E75" s="456"/>
      <c r="F75" s="332"/>
    </row>
    <row r="76" spans="1:6">
      <c r="A76" s="1306" t="s">
        <v>64</v>
      </c>
      <c r="B76" s="1306" t="s">
        <v>724</v>
      </c>
      <c r="C76" s="1320" t="s">
        <v>727</v>
      </c>
      <c r="D76" s="1321">
        <v>133767.36393385951</v>
      </c>
      <c r="E76" s="456"/>
      <c r="F76" s="332"/>
    </row>
    <row r="77" spans="1:6">
      <c r="A77" s="1306" t="s">
        <v>65</v>
      </c>
      <c r="B77" s="1306" t="s">
        <v>722</v>
      </c>
      <c r="C77" s="1320" t="s">
        <v>728</v>
      </c>
      <c r="D77" s="1321">
        <v>138432490</v>
      </c>
      <c r="E77" s="456"/>
      <c r="F77" s="332"/>
    </row>
    <row r="78" spans="1:6">
      <c r="A78" s="1301" t="s">
        <v>65</v>
      </c>
      <c r="B78" s="1301" t="s">
        <v>724</v>
      </c>
      <c r="C78" s="1301" t="s">
        <v>729</v>
      </c>
      <c r="D78" s="1322">
        <v>11905122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1268245.272132281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1813.7484941334267</v>
      </c>
      <c r="C91" s="332"/>
      <c r="D91" s="332"/>
      <c r="E91" s="332"/>
      <c r="F91" s="332"/>
    </row>
    <row r="92" spans="1:6">
      <c r="A92" s="1301" t="s">
        <v>68</v>
      </c>
      <c r="B92" s="1302">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4567</v>
      </c>
      <c r="C97" s="332"/>
      <c r="D97" s="332"/>
      <c r="E97" s="332"/>
      <c r="F97" s="332"/>
    </row>
    <row r="98" spans="1:6">
      <c r="A98" s="1306" t="s">
        <v>71</v>
      </c>
      <c r="B98" s="1307">
        <v>3</v>
      </c>
      <c r="C98" s="332"/>
      <c r="D98" s="332"/>
      <c r="E98" s="332"/>
      <c r="F98" s="332"/>
    </row>
    <row r="99" spans="1:6">
      <c r="A99" s="1306" t="s">
        <v>72</v>
      </c>
      <c r="B99" s="1307">
        <v>27</v>
      </c>
      <c r="C99" s="332"/>
      <c r="D99" s="332"/>
      <c r="E99" s="332"/>
      <c r="F99" s="332"/>
    </row>
    <row r="100" spans="1:6">
      <c r="A100" s="1306" t="s">
        <v>73</v>
      </c>
      <c r="B100" s="1307">
        <v>358</v>
      </c>
      <c r="C100" s="332"/>
      <c r="D100" s="332"/>
      <c r="E100" s="332"/>
      <c r="F100" s="332"/>
    </row>
    <row r="101" spans="1:6">
      <c r="A101" s="1306" t="s">
        <v>74</v>
      </c>
      <c r="B101" s="1307">
        <v>36</v>
      </c>
      <c r="C101" s="332"/>
      <c r="D101" s="332"/>
      <c r="E101" s="332"/>
      <c r="F101" s="332"/>
    </row>
    <row r="102" spans="1:6">
      <c r="A102" s="1306" t="s">
        <v>75</v>
      </c>
      <c r="B102" s="1307">
        <v>91</v>
      </c>
      <c r="C102" s="332"/>
      <c r="D102" s="332"/>
      <c r="E102" s="332"/>
      <c r="F102" s="332"/>
    </row>
    <row r="103" spans="1:6">
      <c r="A103" s="1306" t="s">
        <v>76</v>
      </c>
      <c r="B103" s="1307">
        <v>63</v>
      </c>
      <c r="C103" s="332"/>
      <c r="D103" s="332"/>
      <c r="E103" s="332"/>
      <c r="F103" s="332"/>
    </row>
    <row r="104" spans="1:6">
      <c r="A104" s="1306" t="s">
        <v>77</v>
      </c>
      <c r="B104" s="1307">
        <v>2221</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13</v>
      </c>
      <c r="C123" s="1307">
        <v>10</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120</v>
      </c>
      <c r="C129" s="332"/>
      <c r="D129" s="332"/>
      <c r="E129" s="332"/>
      <c r="F129" s="332"/>
    </row>
    <row r="130" spans="1:6">
      <c r="A130" s="1306" t="s">
        <v>294</v>
      </c>
      <c r="B130" s="1307">
        <v>2</v>
      </c>
      <c r="C130" s="332"/>
      <c r="D130" s="332"/>
      <c r="E130" s="332"/>
      <c r="F130" s="332"/>
    </row>
    <row r="131" spans="1:6">
      <c r="A131" s="1306" t="s">
        <v>295</v>
      </c>
      <c r="B131" s="1307">
        <v>2</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61797.074396089549</v>
      </c>
      <c r="C3" s="43" t="s">
        <v>169</v>
      </c>
      <c r="D3" s="43"/>
      <c r="E3" s="156"/>
      <c r="F3" s="43"/>
      <c r="G3" s="43"/>
      <c r="H3" s="43"/>
      <c r="I3" s="43"/>
      <c r="J3" s="43"/>
      <c r="K3" s="96"/>
    </row>
    <row r="4" spans="1:11">
      <c r="A4" s="363" t="s">
        <v>170</v>
      </c>
      <c r="B4" s="49">
        <f>IF(ISERROR('SEAP template'!B78+'SEAP template'!C78),0,'SEAP template'!B78+'SEAP template'!C78)</f>
        <v>1813.7484941334267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0.21451363440550106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1345.548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1345.548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0.21451363440550106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288.63839174705316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35947.868258337498</v>
      </c>
      <c r="C5" s="17">
        <f>IF(ISERROR('Eigen informatie GS &amp; warmtenet'!B57),0,'Eigen informatie GS &amp; warmtenet'!B57)</f>
        <v>0</v>
      </c>
      <c r="D5" s="30">
        <f>(SUM(HH_hh_gas_kWh,HH_rest_gas_kWh)/1000)*0.902</f>
        <v>148820.12394475457</v>
      </c>
      <c r="E5" s="17">
        <f>B46*B57</f>
        <v>1988.02900343848</v>
      </c>
      <c r="F5" s="17">
        <f>B51*B62</f>
        <v>14101.887870723913</v>
      </c>
      <c r="G5" s="18"/>
      <c r="H5" s="17"/>
      <c r="I5" s="17"/>
      <c r="J5" s="17">
        <f>B50*B61+C50*C61</f>
        <v>0</v>
      </c>
      <c r="K5" s="17"/>
      <c r="L5" s="17"/>
      <c r="M5" s="17"/>
      <c r="N5" s="17">
        <f>B48*B59+C48*C59</f>
        <v>9073.2995541975506</v>
      </c>
      <c r="O5" s="17">
        <f>B69*B70*B71</f>
        <v>204.79666666666668</v>
      </c>
      <c r="P5" s="17">
        <f>B77*B78*B79/1000-B77*B78*B79/1000/B80</f>
        <v>514.79999999999995</v>
      </c>
    </row>
    <row r="6" spans="1:16">
      <c r="A6" s="16" t="s">
        <v>633</v>
      </c>
      <c r="B6" s="779">
        <f>kWh_PV_kleiner_dan_10kW</f>
        <v>1813.7484941334267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37761.616752470924</v>
      </c>
      <c r="C8" s="21">
        <f>C5</f>
        <v>0</v>
      </c>
      <c r="D8" s="21">
        <f>D5</f>
        <v>148820.12394475457</v>
      </c>
      <c r="E8" s="21">
        <f>E5</f>
        <v>1988.02900343848</v>
      </c>
      <c r="F8" s="21">
        <f>F5</f>
        <v>14101.887870723913</v>
      </c>
      <c r="G8" s="21"/>
      <c r="H8" s="21"/>
      <c r="I8" s="21"/>
      <c r="J8" s="21">
        <f>J5</f>
        <v>0</v>
      </c>
      <c r="K8" s="21"/>
      <c r="L8" s="21">
        <f>L5</f>
        <v>0</v>
      </c>
      <c r="M8" s="21">
        <f>M5</f>
        <v>0</v>
      </c>
      <c r="N8" s="21">
        <f>N5</f>
        <v>9073.2995541975506</v>
      </c>
      <c r="O8" s="21">
        <f>O5</f>
        <v>204.79666666666668</v>
      </c>
      <c r="P8" s="21">
        <f>P5</f>
        <v>514.79999999999995</v>
      </c>
    </row>
    <row r="9" spans="1:16">
      <c r="B9" s="19"/>
      <c r="C9" s="19"/>
      <c r="D9" s="261"/>
      <c r="E9" s="19"/>
      <c r="F9" s="19"/>
      <c r="G9" s="19"/>
      <c r="H9" s="19"/>
      <c r="I9" s="19"/>
      <c r="J9" s="19"/>
      <c r="K9" s="19"/>
      <c r="L9" s="19"/>
      <c r="M9" s="19"/>
      <c r="N9" s="19"/>
      <c r="O9" s="19"/>
      <c r="P9" s="19"/>
    </row>
    <row r="10" spans="1:16">
      <c r="A10" s="24" t="s">
        <v>213</v>
      </c>
      <c r="B10" s="25">
        <f ca="1">'EF ele_warmte'!B12</f>
        <v>0.21451363440550106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8100.3816506001922</v>
      </c>
      <c r="C12" s="23">
        <f ca="1">C10*C8</f>
        <v>0</v>
      </c>
      <c r="D12" s="23">
        <f>D8*D10</f>
        <v>30061.665036840426</v>
      </c>
      <c r="E12" s="23">
        <f>E10*E8</f>
        <v>451.28258378053499</v>
      </c>
      <c r="F12" s="23">
        <f>F10*F8</f>
        <v>3765.2040614832849</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4567</v>
      </c>
      <c r="C18" s="168" t="s">
        <v>110</v>
      </c>
      <c r="D18" s="230"/>
      <c r="E18" s="15"/>
    </row>
    <row r="19" spans="1:7">
      <c r="A19" s="173" t="s">
        <v>71</v>
      </c>
      <c r="B19" s="37">
        <f>aantalw2001_ander</f>
        <v>3</v>
      </c>
      <c r="C19" s="168" t="s">
        <v>110</v>
      </c>
      <c r="D19" s="231"/>
      <c r="E19" s="15"/>
    </row>
    <row r="20" spans="1:7">
      <c r="A20" s="173" t="s">
        <v>72</v>
      </c>
      <c r="B20" s="37">
        <f>aantalw2001_propaan</f>
        <v>27</v>
      </c>
      <c r="C20" s="169">
        <f>IF(ISERROR(B20/SUM($B$20,$B$21,$B$22)*100),0,B20/SUM($B$20,$B$21,$B$22)*100)</f>
        <v>6.4133016627078394</v>
      </c>
      <c r="D20" s="231"/>
      <c r="E20" s="15"/>
    </row>
    <row r="21" spans="1:7">
      <c r="A21" s="173" t="s">
        <v>73</v>
      </c>
      <c r="B21" s="37">
        <f>aantalw2001_elektriciteit</f>
        <v>358</v>
      </c>
      <c r="C21" s="169">
        <f>IF(ISERROR(B21/SUM($B$20,$B$21,$B$22)*100),0,B21/SUM($B$20,$B$21,$B$22)*100)</f>
        <v>85.035629453681707</v>
      </c>
      <c r="D21" s="231"/>
      <c r="E21" s="15"/>
    </row>
    <row r="22" spans="1:7">
      <c r="A22" s="173" t="s">
        <v>74</v>
      </c>
      <c r="B22" s="37">
        <f>aantalw2001_hout</f>
        <v>36</v>
      </c>
      <c r="C22" s="169">
        <f>IF(ISERROR(B22/SUM($B$20,$B$21,$B$22)*100),0,B22/SUM($B$20,$B$21,$B$22)*100)</f>
        <v>8.5510688836104514</v>
      </c>
      <c r="D22" s="231"/>
      <c r="E22" s="15"/>
    </row>
    <row r="23" spans="1:7">
      <c r="A23" s="173" t="s">
        <v>75</v>
      </c>
      <c r="B23" s="37">
        <f>aantalw2001_niet_gespec</f>
        <v>91</v>
      </c>
      <c r="C23" s="168" t="s">
        <v>110</v>
      </c>
      <c r="D23" s="230"/>
      <c r="E23" s="15"/>
    </row>
    <row r="24" spans="1:7">
      <c r="A24" s="173" t="s">
        <v>76</v>
      </c>
      <c r="B24" s="37">
        <f>aantalw2001_steenkool</f>
        <v>63</v>
      </c>
      <c r="C24" s="168" t="s">
        <v>110</v>
      </c>
      <c r="D24" s="231"/>
      <c r="E24" s="15"/>
    </row>
    <row r="25" spans="1:7">
      <c r="A25" s="173" t="s">
        <v>77</v>
      </c>
      <c r="B25" s="37">
        <f>aantalw2001_stookolie</f>
        <v>2221</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8347</v>
      </c>
      <c r="C28" s="36"/>
      <c r="D28" s="230"/>
    </row>
    <row r="29" spans="1:7" s="15" customFormat="1">
      <c r="A29" s="232" t="s">
        <v>743</v>
      </c>
      <c r="B29" s="37">
        <f>SUM(HH_hh_gas_aantal,HH_rest_gas_aantal)</f>
        <v>6369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6369</v>
      </c>
      <c r="C32" s="169">
        <f>IF(ISERROR(B32/SUM($B$32,$B$34,$B$35,$B$36,$B$38,$B$39)*100),0,B32/SUM($B$32,$B$34,$B$35,$B$36,$B$38,$B$39)*100)</f>
        <v>76.550480769230774</v>
      </c>
      <c r="D32" s="235"/>
      <c r="G32" s="15"/>
    </row>
    <row r="33" spans="1:7">
      <c r="A33" s="173" t="s">
        <v>71</v>
      </c>
      <c r="B33" s="34" t="s">
        <v>110</v>
      </c>
      <c r="C33" s="169"/>
      <c r="D33" s="235"/>
      <c r="G33" s="15"/>
    </row>
    <row r="34" spans="1:7">
      <c r="A34" s="173" t="s">
        <v>72</v>
      </c>
      <c r="B34" s="33">
        <f>IF((($B$28-$B$32-$B$39-$B$77-$B$38)*C20/100)&lt;0,0,($B$28-$B$32-$B$39-$B$77-$B$38)*C20/100)</f>
        <v>86.695011876484571</v>
      </c>
      <c r="C34" s="169">
        <f>IF(ISERROR(B34/SUM($B$32,$B$34,$B$35,$B$36,$B$38,$B$39)*100),0,B34/SUM($B$32,$B$34,$B$35,$B$36,$B$38,$B$39)*100)</f>
        <v>1.0420073542846704</v>
      </c>
      <c r="D34" s="235"/>
      <c r="G34" s="15"/>
    </row>
    <row r="35" spans="1:7">
      <c r="A35" s="173" t="s">
        <v>73</v>
      </c>
      <c r="B35" s="33">
        <f>IF((($B$28-$B$32-$B$39-$B$77-$B$38)*C21/100)&lt;0,0,($B$28-$B$32-$B$39-$B$77-$B$38)*C21/100)</f>
        <v>1149.5116389548693</v>
      </c>
      <c r="C35" s="169">
        <f>IF(ISERROR(B35/SUM($B$32,$B$34,$B$35,$B$36,$B$38,$B$39)*100),0,B35/SUM($B$32,$B$34,$B$35,$B$36,$B$38,$B$39)*100)</f>
        <v>13.816245660515255</v>
      </c>
      <c r="D35" s="235"/>
      <c r="G35" s="15"/>
    </row>
    <row r="36" spans="1:7">
      <c r="A36" s="173" t="s">
        <v>74</v>
      </c>
      <c r="B36" s="33">
        <f>IF((($B$28-$B$32-$B$39-$B$77-$B$38)*C22/100)&lt;0,0,($B$28-$B$32-$B$39-$B$77-$B$38)*C22/100)</f>
        <v>115.59334916864607</v>
      </c>
      <c r="C36" s="169">
        <f>IF(ISERROR(B36/SUM($B$32,$B$34,$B$35,$B$36,$B$38,$B$39)*100),0,B36/SUM($B$32,$B$34,$B$35,$B$36,$B$38,$B$39)*100)</f>
        <v>1.3893431390462267</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599.20000000000005</v>
      </c>
      <c r="C39" s="169">
        <f>IF(ISERROR(B39/SUM($B$32,$B$34,$B$35,$B$36,$B$38,$B$39)*100),0,B39/SUM($B$32,$B$34,$B$35,$B$36,$B$38,$B$39)*100)</f>
        <v>7.2019230769230784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6369</v>
      </c>
      <c r="C44" s="34" t="s">
        <v>110</v>
      </c>
      <c r="D44" s="176"/>
    </row>
    <row r="45" spans="1:7">
      <c r="A45" s="173" t="s">
        <v>71</v>
      </c>
      <c r="B45" s="33" t="str">
        <f t="shared" si="0"/>
        <v>-</v>
      </c>
      <c r="C45" s="34" t="s">
        <v>110</v>
      </c>
      <c r="D45" s="176"/>
    </row>
    <row r="46" spans="1:7">
      <c r="A46" s="173" t="s">
        <v>72</v>
      </c>
      <c r="B46" s="33">
        <f t="shared" si="0"/>
        <v>86.695011876484571</v>
      </c>
      <c r="C46" s="34" t="s">
        <v>110</v>
      </c>
      <c r="D46" s="176"/>
    </row>
    <row r="47" spans="1:7">
      <c r="A47" s="173" t="s">
        <v>73</v>
      </c>
      <c r="B47" s="33">
        <f t="shared" si="0"/>
        <v>1149.5116389548693</v>
      </c>
      <c r="C47" s="34" t="s">
        <v>110</v>
      </c>
      <c r="D47" s="176"/>
    </row>
    <row r="48" spans="1:7">
      <c r="A48" s="173" t="s">
        <v>74</v>
      </c>
      <c r="B48" s="33">
        <f t="shared" si="0"/>
        <v>115.59334916864607</v>
      </c>
      <c r="C48" s="33">
        <f>B48*10</f>
        <v>1155.9334916864607</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599.20000000000005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131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18751.054958072011</v>
      </c>
      <c r="C5" s="17">
        <f>IF(ISERROR('Eigen informatie GS &amp; warmtenet'!B58),0,'Eigen informatie GS &amp; warmtenet'!B58)</f>
        <v>0</v>
      </c>
      <c r="D5" s="30">
        <f>SUM(D6:D12)</f>
        <v>31247.903268425707</v>
      </c>
      <c r="E5" s="17">
        <f>SUM(E6:E12)</f>
        <v>180.03548091726282</v>
      </c>
      <c r="F5" s="17">
        <f>SUM(F6:F12)</f>
        <v>3973.9826387940375</v>
      </c>
      <c r="G5" s="18"/>
      <c r="H5" s="17"/>
      <c r="I5" s="17"/>
      <c r="J5" s="17">
        <f>SUM(J6:J12)</f>
        <v>0</v>
      </c>
      <c r="K5" s="17"/>
      <c r="L5" s="17"/>
      <c r="M5" s="17"/>
      <c r="N5" s="17">
        <f>SUM(N6:N12)</f>
        <v>3845.1989431017569</v>
      </c>
      <c r="O5" s="17">
        <f>B38*B39*B40</f>
        <v>3.1266666666666669</v>
      </c>
      <c r="P5" s="17">
        <f>B46*B47*B48/1000-B46*B47*B48/1000/B49</f>
        <v>38.133333333333333</v>
      </c>
      <c r="R5" s="32"/>
    </row>
    <row r="6" spans="1:18">
      <c r="A6" s="32" t="s">
        <v>53</v>
      </c>
      <c r="B6" s="37">
        <f>B26</f>
        <v>5925.54926331362</v>
      </c>
      <c r="C6" s="33"/>
      <c r="D6" s="37">
        <f>IF(ISERROR(TER_kantoor_gas_kWh/1000),0,TER_kantoor_gas_kWh/1000)*0.902</f>
        <v>19817.574300801876</v>
      </c>
      <c r="E6" s="33">
        <f>$C$26*'E Balans VL '!I12/100/3.6*1000000</f>
        <v>23.02201339984639</v>
      </c>
      <c r="F6" s="33">
        <f>$C$26*('E Balans VL '!L12+'E Balans VL '!N12)/100/3.6*1000000</f>
        <v>901.22212475043727</v>
      </c>
      <c r="G6" s="34"/>
      <c r="H6" s="33"/>
      <c r="I6" s="33"/>
      <c r="J6" s="33">
        <f>$C$26*('E Balans VL '!D12+'E Balans VL '!E12)/100/3.6*1000000</f>
        <v>0</v>
      </c>
      <c r="K6" s="33"/>
      <c r="L6" s="33"/>
      <c r="M6" s="33"/>
      <c r="N6" s="33">
        <f>$C$26*'E Balans VL '!Y12/100/3.6*1000000</f>
        <v>3.2656875074057861</v>
      </c>
      <c r="O6" s="33"/>
      <c r="P6" s="33"/>
      <c r="R6" s="32"/>
    </row>
    <row r="7" spans="1:18">
      <c r="A7" s="32" t="s">
        <v>52</v>
      </c>
      <c r="B7" s="37">
        <f t="shared" ref="B7:B12" si="0">B27</f>
        <v>857.00201977566496</v>
      </c>
      <c r="C7" s="33"/>
      <c r="D7" s="37">
        <f>IF(ISERROR(TER_horeca_gas_kWh/1000),0,TER_horeca_gas_kWh/1000)*0.902</f>
        <v>1888.7449125093055</v>
      </c>
      <c r="E7" s="33">
        <f>$C$27*'E Balans VL '!I9/100/3.6*1000000</f>
        <v>48.275152898341403</v>
      </c>
      <c r="F7" s="33">
        <f>$C$27*('E Balans VL '!L9+'E Balans VL '!N9)/100/3.6*1000000</f>
        <v>247.10807483977234</v>
      </c>
      <c r="G7" s="34"/>
      <c r="H7" s="33"/>
      <c r="I7" s="33"/>
      <c r="J7" s="33">
        <f>$C$27*('E Balans VL '!D9+'E Balans VL '!E9)/100/3.6*1000000</f>
        <v>0</v>
      </c>
      <c r="K7" s="33"/>
      <c r="L7" s="33"/>
      <c r="M7" s="33"/>
      <c r="N7" s="33">
        <f>$C$27*'E Balans VL '!Y9/100/3.6*1000000</f>
        <v>0.23661380425855952</v>
      </c>
      <c r="O7" s="33"/>
      <c r="P7" s="33"/>
      <c r="R7" s="32"/>
    </row>
    <row r="8" spans="1:18">
      <c r="A8" s="6" t="s">
        <v>51</v>
      </c>
      <c r="B8" s="37">
        <f t="shared" si="0"/>
        <v>3964.85611864663</v>
      </c>
      <c r="C8" s="33"/>
      <c r="D8" s="37">
        <f>IF(ISERROR(TER_handel_gas_kWh/1000),0,TER_handel_gas_kWh/1000)*0.902</f>
        <v>2452.768518886166</v>
      </c>
      <c r="E8" s="33">
        <f>$C$28*'E Balans VL '!I13/100/3.6*1000000</f>
        <v>57.147028088419539</v>
      </c>
      <c r="F8" s="33">
        <f>$C$28*('E Balans VL '!L13+'E Balans VL '!N13)/100/3.6*1000000</f>
        <v>688.78784307724504</v>
      </c>
      <c r="G8" s="34"/>
      <c r="H8" s="33"/>
      <c r="I8" s="33"/>
      <c r="J8" s="33">
        <f>$C$28*('E Balans VL '!D13+'E Balans VL '!E13)/100/3.6*1000000</f>
        <v>0</v>
      </c>
      <c r="K8" s="33"/>
      <c r="L8" s="33"/>
      <c r="M8" s="33"/>
      <c r="N8" s="33">
        <f>$C$28*'E Balans VL '!Y13/100/3.6*1000000</f>
        <v>11.87915030834086</v>
      </c>
      <c r="O8" s="33"/>
      <c r="P8" s="33"/>
      <c r="R8" s="32"/>
    </row>
    <row r="9" spans="1:18">
      <c r="A9" s="32" t="s">
        <v>50</v>
      </c>
      <c r="B9" s="37">
        <f t="shared" si="0"/>
        <v>339.106582352911</v>
      </c>
      <c r="C9" s="33"/>
      <c r="D9" s="37">
        <f>IF(ISERROR(TER_gezond_gas_kWh/1000),0,TER_gezond_gas_kWh/1000)*0.902</f>
        <v>913.31662779622627</v>
      </c>
      <c r="E9" s="33">
        <f>$C$29*'E Balans VL '!I10/100/3.6*1000000</f>
        <v>0.36225372315127941</v>
      </c>
      <c r="F9" s="33">
        <f>$C$29*('E Balans VL '!L10+'E Balans VL '!N10)/100/3.6*1000000</f>
        <v>55.318589417526454</v>
      </c>
      <c r="G9" s="34"/>
      <c r="H9" s="33"/>
      <c r="I9" s="33"/>
      <c r="J9" s="33">
        <f>$C$29*('E Balans VL '!D10+'E Balans VL '!E10)/100/3.6*1000000</f>
        <v>0</v>
      </c>
      <c r="K9" s="33"/>
      <c r="L9" s="33"/>
      <c r="M9" s="33"/>
      <c r="N9" s="33">
        <f>$C$29*'E Balans VL '!Y10/100/3.6*1000000</f>
        <v>3.4909087749675201</v>
      </c>
      <c r="O9" s="33"/>
      <c r="P9" s="33"/>
      <c r="R9" s="32"/>
    </row>
    <row r="10" spans="1:18">
      <c r="A10" s="32" t="s">
        <v>49</v>
      </c>
      <c r="B10" s="37">
        <f t="shared" si="0"/>
        <v>5243.90793767793</v>
      </c>
      <c r="C10" s="33"/>
      <c r="D10" s="37">
        <f>IF(ISERROR(TER_ander_gas_kWh/1000),0,TER_ander_gas_kWh/1000)*0.902</f>
        <v>2861.0451927411559</v>
      </c>
      <c r="E10" s="33">
        <f>$C$30*'E Balans VL '!I14/100/3.6*1000000</f>
        <v>24.115934947770455</v>
      </c>
      <c r="F10" s="33">
        <f>$C$30*('E Balans VL '!L14+'E Balans VL '!N14)/100/3.6*1000000</f>
        <v>1571.7646166449945</v>
      </c>
      <c r="G10" s="34"/>
      <c r="H10" s="33"/>
      <c r="I10" s="33"/>
      <c r="J10" s="33">
        <f>$C$30*('E Balans VL '!D14+'E Balans VL '!E14)/100/3.6*1000000</f>
        <v>0</v>
      </c>
      <c r="K10" s="33"/>
      <c r="L10" s="33"/>
      <c r="M10" s="33"/>
      <c r="N10" s="33">
        <f>$C$30*'E Balans VL '!Y14/100/3.6*1000000</f>
        <v>3650.1060790177212</v>
      </c>
      <c r="O10" s="33"/>
      <c r="P10" s="33"/>
      <c r="R10" s="32"/>
    </row>
    <row r="11" spans="1:18">
      <c r="A11" s="32" t="s">
        <v>54</v>
      </c>
      <c r="B11" s="37">
        <f t="shared" si="0"/>
        <v>200.678743322185</v>
      </c>
      <c r="C11" s="33"/>
      <c r="D11" s="37">
        <f>IF(ISERROR(TER_onderwijs_gas_kWh/1000),0,TER_onderwijs_gas_kWh/1000)*0.902</f>
        <v>290.61207973748947</v>
      </c>
      <c r="E11" s="33">
        <f>$C$31*'E Balans VL '!I11/100/3.6*1000000</f>
        <v>0.18615592544767626</v>
      </c>
      <c r="F11" s="33">
        <f>$C$31*('E Balans VL '!L11+'E Balans VL '!N11)/100/3.6*1000000</f>
        <v>70.493830259773006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2219.95429298307</v>
      </c>
      <c r="C12" s="33"/>
      <c r="D12" s="37">
        <f>IF(ISERROR(TER_rest_gas_kWh/1000),0,TER_rest_gas_kWh/1000)*0.902</f>
        <v>3023.8416359534881</v>
      </c>
      <c r="E12" s="33">
        <f>$C$32*'E Balans VL '!I8/100/3.6*1000000</f>
        <v>26.926941934286081</v>
      </c>
      <c r="F12" s="33">
        <f>$C$32*('E Balans VL '!L8+'E Balans VL '!N8)/100/3.6*1000000</f>
        <v>439.28755980428906</v>
      </c>
      <c r="G12" s="34"/>
      <c r="H12" s="33"/>
      <c r="I12" s="33"/>
      <c r="J12" s="33">
        <f>$C$32*('E Balans VL '!D8+'E Balans VL '!E8)/100/3.6*1000000</f>
        <v>0</v>
      </c>
      <c r="K12" s="33"/>
      <c r="L12" s="33"/>
      <c r="M12" s="33"/>
      <c r="N12" s="33">
        <f>$C$32*'E Balans VL '!Y8/100/3.6*1000000</f>
        <v>176.22050368906272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18751.054958072011</v>
      </c>
      <c r="C16" s="21">
        <f t="shared" ca="1" si="1"/>
        <v>0</v>
      </c>
      <c r="D16" s="21">
        <f t="shared" ca="1" si="1"/>
        <v>31247.903268425707</v>
      </c>
      <c r="E16" s="21">
        <f t="shared" si="1"/>
        <v>180.03548091726282</v>
      </c>
      <c r="F16" s="21">
        <f t="shared" ca="1" si="1"/>
        <v>3973.9826387940375</v>
      </c>
      <c r="G16" s="21">
        <f t="shared" si="1"/>
        <v>0</v>
      </c>
      <c r="H16" s="21">
        <f t="shared" si="1"/>
        <v>0</v>
      </c>
      <c r="I16" s="21">
        <f t="shared" si="1"/>
        <v>0</v>
      </c>
      <c r="J16" s="21">
        <f t="shared" si="1"/>
        <v>0</v>
      </c>
      <c r="K16" s="21">
        <f t="shared" si="1"/>
        <v>0</v>
      </c>
      <c r="L16" s="21">
        <f t="shared" ca="1" si="1"/>
        <v>0</v>
      </c>
      <c r="M16" s="21">
        <f t="shared" si="1"/>
        <v>0</v>
      </c>
      <c r="N16" s="21">
        <f t="shared" ca="1" si="1"/>
        <v>3845.1989431017569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0.21451363440550106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4022.3569479933171</v>
      </c>
      <c r="C20" s="23">
        <f t="shared" ref="C20:P20" ca="1" si="2">C16*C18</f>
        <v>0</v>
      </c>
      <c r="D20" s="23">
        <f t="shared" ca="1" si="2"/>
        <v>6312.0764602219933</v>
      </c>
      <c r="E20" s="23">
        <f t="shared" si="2"/>
        <v>40.868054168218663</v>
      </c>
      <c r="F20" s="23">
        <f t="shared" ca="1" si="2"/>
        <v>1061.0533645580081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5925.54926331362</v>
      </c>
      <c r="C26" s="39">
        <f>IF(ISERROR(B26*3.6/1000000/'E Balans VL '!Z12*100),0,B26*3.6/1000000/'E Balans VL '!Z12*100)</f>
        <v>0.12586160148832393</v>
      </c>
      <c r="D26" s="239" t="s">
        <v>689</v>
      </c>
      <c r="F26" s="6"/>
    </row>
    <row r="27" spans="1:18">
      <c r="A27" s="233" t="s">
        <v>52</v>
      </c>
      <c r="B27" s="33">
        <f>IF(ISERROR(TER_horeca_ele_kWh/1000),0,TER_horeca_ele_kWh/1000)</f>
        <v>857.00201977566496</v>
      </c>
      <c r="C27" s="39">
        <f>IF(ISERROR(B27*3.6/1000000/'E Balans VL '!Z9*100),0,B27*3.6/1000000/'E Balans VL '!Z9*100)</f>
        <v>6.6637126246958042E-2</v>
      </c>
      <c r="D27" s="239" t="s">
        <v>689</v>
      </c>
      <c r="F27" s="6"/>
    </row>
    <row r="28" spans="1:18">
      <c r="A28" s="173" t="s">
        <v>51</v>
      </c>
      <c r="B28" s="33">
        <f>IF(ISERROR(TER_handel_ele_kWh/1000),0,TER_handel_ele_kWh/1000)</f>
        <v>3964.85611864663</v>
      </c>
      <c r="C28" s="39">
        <f>IF(ISERROR(B28*3.6/1000000/'E Balans VL '!Z13*100),0,B28*3.6/1000000/'E Balans VL '!Z13*100)</f>
        <v>0.11343919972335115</v>
      </c>
      <c r="D28" s="239" t="s">
        <v>689</v>
      </c>
      <c r="F28" s="6"/>
    </row>
    <row r="29" spans="1:18">
      <c r="A29" s="233" t="s">
        <v>50</v>
      </c>
      <c r="B29" s="33">
        <f>IF(ISERROR(TER_gezond_ele_kWh/1000),0,TER_gezond_ele_kWh/1000)</f>
        <v>339.106582352911</v>
      </c>
      <c r="C29" s="39">
        <f>IF(ISERROR(B29*3.6/1000000/'E Balans VL '!Z10*100),0,B29*3.6/1000000/'E Balans VL '!Z10*100)</f>
        <v>3.6970497368391357E-2</v>
      </c>
      <c r="D29" s="239" t="s">
        <v>689</v>
      </c>
      <c r="F29" s="6"/>
    </row>
    <row r="30" spans="1:18">
      <c r="A30" s="233" t="s">
        <v>49</v>
      </c>
      <c r="B30" s="33">
        <f>IF(ISERROR(TER_ander_ele_kWh/1000),0,TER_ander_ele_kWh/1000)</f>
        <v>5243.90793767793</v>
      </c>
      <c r="C30" s="39">
        <f>IF(ISERROR(B30*3.6/1000000/'E Balans VL '!Z14*100),0,B30*3.6/1000000/'E Balans VL '!Z14*100)</f>
        <v>0.38373728735610296</v>
      </c>
      <c r="D30" s="239" t="s">
        <v>689</v>
      </c>
      <c r="F30" s="6"/>
    </row>
    <row r="31" spans="1:18">
      <c r="A31" s="233" t="s">
        <v>54</v>
      </c>
      <c r="B31" s="33">
        <f>IF(ISERROR(TER_onderwijs_ele_kWh/1000),0,TER_onderwijs_ele_kWh/1000)</f>
        <v>200.678743322185</v>
      </c>
      <c r="C31" s="39">
        <f>IF(ISERROR(B31*3.6/1000000/'E Balans VL '!Z11*100),0,B31*3.6/1000000/'E Balans VL '!Z11*100)</f>
        <v>4.030647461618643E-2</v>
      </c>
      <c r="D31" s="239" t="s">
        <v>689</v>
      </c>
    </row>
    <row r="32" spans="1:18">
      <c r="A32" s="233" t="s">
        <v>259</v>
      </c>
      <c r="B32" s="33">
        <f>IF(ISERROR(TER_rest_ele_kWh/1000),0,TER_rest_ele_kWh/1000)</f>
        <v>2219.95429298307</v>
      </c>
      <c r="C32" s="39">
        <f>IF(ISERROR(B32*3.6/1000000/'E Balans VL '!Z8*100),0,B32*3.6/1000000/'E Balans VL '!Z8*100)</f>
        <v>1.809128026600286E-2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1504.5265236505538</v>
      </c>
      <c r="C5" s="17">
        <f>IF(ISERROR('Eigen informatie GS &amp; warmtenet'!B59),0,'Eigen informatie GS &amp; warmtenet'!B59)</f>
        <v>0</v>
      </c>
      <c r="D5" s="30">
        <f>SUM(D6:D15)</f>
        <v>2484.0137761541155</v>
      </c>
      <c r="E5" s="17">
        <f>SUM(E6:E15)</f>
        <v>188.49081881979802</v>
      </c>
      <c r="F5" s="17">
        <f>SUM(F6:F15)</f>
        <v>1406.2864040729103</v>
      </c>
      <c r="G5" s="18"/>
      <c r="H5" s="17"/>
      <c r="I5" s="17"/>
      <c r="J5" s="17">
        <f>SUM(J6:J15)</f>
        <v>0.80438902436521831</v>
      </c>
      <c r="K5" s="17"/>
      <c r="L5" s="17"/>
      <c r="M5" s="17"/>
      <c r="N5" s="17">
        <f>SUM(N6:N15)</f>
        <v>257.89451809912032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72.778999999999996</v>
      </c>
      <c r="C8" s="33"/>
      <c r="D8" s="37">
        <f>IF( ISERROR(IND_metaal_Gas_kWH/1000),0,IND_metaal_Gas_kWH/1000)*0.902</f>
        <v>0</v>
      </c>
      <c r="E8" s="33">
        <f>C30*'E Balans VL '!I18/100/3.6*1000000</f>
        <v>2.0904860588528118</v>
      </c>
      <c r="F8" s="33">
        <f>C30*'E Balans VL '!L18/100/3.6*1000000+C30*'E Balans VL '!N18/100/3.6*1000000</f>
        <v>18.666413758671371</v>
      </c>
      <c r="G8" s="34"/>
      <c r="H8" s="33"/>
      <c r="I8" s="33"/>
      <c r="J8" s="40">
        <f>C30*'E Balans VL '!D18/100/3.6*1000000+C30*'E Balans VL '!E18/100/3.6*1000000</f>
        <v>0</v>
      </c>
      <c r="K8" s="33"/>
      <c r="L8" s="33"/>
      <c r="M8" s="33"/>
      <c r="N8" s="33">
        <f>C30*'E Balans VL '!Y18/100/3.6*1000000</f>
        <v>1.9760984129870651</v>
      </c>
      <c r="O8" s="33"/>
      <c r="P8" s="33"/>
      <c r="R8" s="32"/>
    </row>
    <row r="9" spans="1:18">
      <c r="A9" s="6" t="s">
        <v>32</v>
      </c>
      <c r="B9" s="37">
        <f t="shared" si="0"/>
        <v>414.57089536609902</v>
      </c>
      <c r="C9" s="33"/>
      <c r="D9" s="37">
        <f>IF( ISERROR(IND_andere_gas_kWh/1000),0,IND_andere_gas_kWh/1000)*0.902</f>
        <v>801.38586971377208</v>
      </c>
      <c r="E9" s="33">
        <f>C31*'E Balans VL '!I19/100/3.6*1000000</f>
        <v>112.21414830423102</v>
      </c>
      <c r="F9" s="33">
        <f>C31*'E Balans VL '!L19/100/3.6*1000000+C31*'E Balans VL '!N19/100/3.6*1000000</f>
        <v>276.14808707872669</v>
      </c>
      <c r="G9" s="34"/>
      <c r="H9" s="33"/>
      <c r="I9" s="33"/>
      <c r="J9" s="40">
        <f>C31*'E Balans VL '!D19/100/3.6*1000000+C31*'E Balans VL '!E19/100/3.6*1000000</f>
        <v>0</v>
      </c>
      <c r="K9" s="33"/>
      <c r="L9" s="33"/>
      <c r="M9" s="33"/>
      <c r="N9" s="33">
        <f>C31*'E Balans VL '!Y19/100/3.6*1000000</f>
        <v>35.049222984622943</v>
      </c>
      <c r="O9" s="33"/>
      <c r="P9" s="33"/>
      <c r="R9" s="32"/>
    </row>
    <row r="10" spans="1:18">
      <c r="A10" s="6" t="s">
        <v>40</v>
      </c>
      <c r="B10" s="37">
        <f t="shared" si="0"/>
        <v>695.94665810004904</v>
      </c>
      <c r="C10" s="33"/>
      <c r="D10" s="37">
        <f>IF( ISERROR(IND_voed_gas_kWh/1000),0,IND_voed_gas_kWh/1000)*0.902</f>
        <v>968.3559523966195</v>
      </c>
      <c r="E10" s="33">
        <f>C32*'E Balans VL '!I20/100/3.6*1000000</f>
        <v>56.763008330481547</v>
      </c>
      <c r="F10" s="33">
        <f>C32*'E Balans VL '!L20/100/3.6*1000000+C32*'E Balans VL '!N20/100/3.6*1000000</f>
        <v>1037.719609040563</v>
      </c>
      <c r="G10" s="34"/>
      <c r="H10" s="33"/>
      <c r="I10" s="33"/>
      <c r="J10" s="40">
        <f>C32*'E Balans VL '!D20/100/3.6*1000000+C32*'E Balans VL '!E20/100/3.6*1000000</f>
        <v>9.2065295207465793E-3</v>
      </c>
      <c r="K10" s="33"/>
      <c r="L10" s="33"/>
      <c r="M10" s="33"/>
      <c r="N10" s="33">
        <f>C32*'E Balans VL '!Y20/100/3.6*1000000</f>
        <v>204.44457084019214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10.983000000000001</v>
      </c>
      <c r="C13" s="33"/>
      <c r="D13" s="37">
        <f>IF( ISERROR(IND_papier_gas_kWh/1000),0,IND_papier_gas_kWh/1000)*0.902</f>
        <v>68.339134581354784</v>
      </c>
      <c r="E13" s="33">
        <f>C35*'E Balans VL '!I23/100/3.6*1000000</f>
        <v>0.11506693358414732</v>
      </c>
      <c r="F13" s="33">
        <f>C35*'E Balans VL '!L23/100/3.6*1000000+C35*'E Balans VL '!N23/100/3.6*1000000</f>
        <v>0.81955340669318055</v>
      </c>
      <c r="G13" s="34"/>
      <c r="H13" s="33"/>
      <c r="I13" s="33"/>
      <c r="J13" s="40">
        <f>C35*'E Balans VL '!D23/100/3.6*1000000+C35*'E Balans VL '!E23/100/3.6*1000000</f>
        <v>0</v>
      </c>
      <c r="K13" s="33"/>
      <c r="L13" s="33"/>
      <c r="M13" s="33"/>
      <c r="N13" s="33">
        <f>C35*'E Balans VL '!Y23/100/3.6*1000000</f>
        <v>2.0261260202861542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310.246970184406</v>
      </c>
      <c r="C15" s="33"/>
      <c r="D15" s="37">
        <f>IF( ISERROR(IND_rest_gas_kWh/1000),0,IND_rest_gas_kWh/1000)*0.902</f>
        <v>645.93281946236903</v>
      </c>
      <c r="E15" s="33">
        <f>C37*'E Balans VL '!I15/100/3.6*1000000</f>
        <v>17.308109192648487</v>
      </c>
      <c r="F15" s="33">
        <f>C37*'E Balans VL '!L15/100/3.6*1000000+C37*'E Balans VL '!N15/100/3.6*1000000</f>
        <v>72.932740788256098</v>
      </c>
      <c r="G15" s="34"/>
      <c r="H15" s="33"/>
      <c r="I15" s="33"/>
      <c r="J15" s="40">
        <f>C37*'E Balans VL '!D15/100/3.6*1000000+C37*'E Balans VL '!E15/100/3.6*1000000</f>
        <v>0.79518249484447168</v>
      </c>
      <c r="K15" s="33"/>
      <c r="L15" s="33"/>
      <c r="M15" s="33"/>
      <c r="N15" s="33">
        <f>C37*'E Balans VL '!Y15/100/3.6*1000000</f>
        <v>14.398499841032034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1504.5265236505538</v>
      </c>
      <c r="C18" s="21">
        <f>C5+C16</f>
        <v>0</v>
      </c>
      <c r="D18" s="21">
        <f>MAX((D5+D16),0)</f>
        <v>2484.0137761541155</v>
      </c>
      <c r="E18" s="21">
        <f>MAX((E5+E16),0)</f>
        <v>188.49081881979802</v>
      </c>
      <c r="F18" s="21">
        <f>MAX((F5+F16),0)</f>
        <v>1406.2864040729103</v>
      </c>
      <c r="G18" s="21"/>
      <c r="H18" s="21"/>
      <c r="I18" s="21"/>
      <c r="J18" s="21">
        <f>MAX((J5+J16),0)</f>
        <v>0.80438902436521831</v>
      </c>
      <c r="K18" s="21"/>
      <c r="L18" s="21">
        <f>MAX((L5+L16),0)</f>
        <v>0</v>
      </c>
      <c r="M18" s="21"/>
      <c r="N18" s="21">
        <f>MAX((N5+N16),0)</f>
        <v>257.89451809912032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0.21451363440550106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322.74145264775433</v>
      </c>
      <c r="C22" s="23">
        <f ca="1">C18*C20</f>
        <v>0</v>
      </c>
      <c r="D22" s="23">
        <f>D18*D20</f>
        <v>501.77078278313138</v>
      </c>
      <c r="E22" s="23">
        <f>E18*E20</f>
        <v>42.787415872094151</v>
      </c>
      <c r="F22" s="23">
        <f>F18*F20</f>
        <v>375.47846988746704</v>
      </c>
      <c r="G22" s="23"/>
      <c r="H22" s="23"/>
      <c r="I22" s="23"/>
      <c r="J22" s="23">
        <f>J18*J20</f>
        <v>0.28475371462528726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72.778999999999996</v>
      </c>
      <c r="C30" s="39">
        <f>IF(ISERROR(B30*3.6/1000000/'E Balans VL '!Z18*100),0,B30*3.6/1000000/'E Balans VL '!Z18*100)</f>
        <v>7.1612678150037553E-3</v>
      </c>
      <c r="D30" s="239" t="s">
        <v>689</v>
      </c>
    </row>
    <row r="31" spans="1:18">
      <c r="A31" s="6" t="s">
        <v>32</v>
      </c>
      <c r="B31" s="37">
        <f>IF( ISERROR(IND_ander_ele_kWh/1000),0,IND_ander_ele_kWh/1000)</f>
        <v>414.57089536609902</v>
      </c>
      <c r="C31" s="39">
        <f>IF(ISERROR(B31*3.6/1000000/'E Balans VL '!Z19*100),0,B31*3.6/1000000/'E Balans VL '!Z19*100)</f>
        <v>1.8054231793247989E-2</v>
      </c>
      <c r="D31" s="239" t="s">
        <v>689</v>
      </c>
    </row>
    <row r="32" spans="1:18">
      <c r="A32" s="173" t="s">
        <v>40</v>
      </c>
      <c r="B32" s="37">
        <f>IF( ISERROR(IND_voed_ele_kWh/1000),0,IND_voed_ele_kWh/1000)</f>
        <v>695.94665810004904</v>
      </c>
      <c r="C32" s="39">
        <f>IF(ISERROR(B32*3.6/1000000/'E Balans VL '!Z20*100),0,B32*3.6/1000000/'E Balans VL '!Z20*100)</f>
        <v>0.13204584173181824</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10.983000000000001</v>
      </c>
      <c r="C35" s="39">
        <f>IF(ISERROR(B35*3.6/1000000/'E Balans VL '!Z22*100),0,B35*3.6/1000000/'E Balans VL '!Z22*100)</f>
        <v>1.5443200878483686E-3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310.246970184406</v>
      </c>
      <c r="C37" s="39">
        <f>IF(ISERROR(B37*3.6/1000000/'E Balans VL '!Z15*100),0,B37*3.6/1000000/'E Balans VL '!Z15*100)</f>
        <v>2.3908339670979553E-3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193.69514460138151</v>
      </c>
      <c r="C5" s="17">
        <f>'Eigen informatie GS &amp; warmtenet'!B60</f>
        <v>0</v>
      </c>
      <c r="D5" s="30">
        <f>IF(ISERROR(SUM(LB_lb_gas_kWh,LB_rest_gas_kWh)/1000),0,SUM(LB_lb_gas_kWh,LB_rest_gas_kWh)/1000)*0.902</f>
        <v>286.08055436458972</v>
      </c>
      <c r="E5" s="17">
        <f>B17*'E Balans VL '!I25/3.6*1000000/100</f>
        <v>2.4408083520582537</v>
      </c>
      <c r="F5" s="17">
        <f>B17*('E Balans VL '!L25/3.6*1000000+'E Balans VL '!N25/3.6*1000000)/100</f>
        <v>668.29677240788897</v>
      </c>
      <c r="G5" s="18"/>
      <c r="H5" s="17"/>
      <c r="I5" s="17"/>
      <c r="J5" s="17">
        <f>('E Balans VL '!D25+'E Balans VL '!E25)/3.6*1000000*landbouw!B17/100</f>
        <v>29.129547899354424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193.69514460138151</v>
      </c>
      <c r="C8" s="21">
        <f>C5+C6</f>
        <v>0</v>
      </c>
      <c r="D8" s="21">
        <f>MAX((D5+D6),0)</f>
        <v>286.08055436458972</v>
      </c>
      <c r="E8" s="21">
        <f>MAX((E5+E6),0)</f>
        <v>2.4408083520582537</v>
      </c>
      <c r="F8" s="21">
        <f>MAX((F5+F6),0)</f>
        <v>668.29677240788897</v>
      </c>
      <c r="G8" s="21"/>
      <c r="H8" s="21"/>
      <c r="I8" s="21"/>
      <c r="J8" s="21">
        <f>MAX((J5+J6),0)</f>
        <v>29.129547899354424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0.21451363440550106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41.550249435141417</v>
      </c>
      <c r="C12" s="23">
        <f ca="1">C8*C10</f>
        <v>0</v>
      </c>
      <c r="D12" s="23">
        <f>D8*D10</f>
        <v>57.788271981647128</v>
      </c>
      <c r="E12" s="23">
        <f>E8*E10</f>
        <v>0.55406349591722359</v>
      </c>
      <c r="F12" s="23">
        <f>F8*F10</f>
        <v>178.43523823290636</v>
      </c>
      <c r="G12" s="23"/>
      <c r="H12" s="23"/>
      <c r="I12" s="23"/>
      <c r="J12" s="23">
        <f>J8*J10</f>
        <v>10.311859956371466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2.7014367755302707E-2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40.349866466772291</v>
      </c>
      <c r="C26" s="249">
        <f>B26*'GWP N2O_CH4'!B5</f>
        <v>847.34719580221815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5.3853506670771809</v>
      </c>
      <c r="C27" s="249">
        <f>B27*'GWP N2O_CH4'!B5</f>
        <v>113.09236400862081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0.64187575152095944</v>
      </c>
      <c r="C28" s="249">
        <f>B28*'GWP N2O_CH4'!B4</f>
        <v>198.98148297149743</v>
      </c>
      <c r="D28" s="50"/>
    </row>
    <row r="29" spans="1:4">
      <c r="A29" s="41" t="s">
        <v>276</v>
      </c>
      <c r="B29" s="249">
        <f>B34*'ha_N2O bodem landbouw'!B4</f>
        <v>4.479381365070223</v>
      </c>
      <c r="C29" s="249">
        <f>B29*'GWP N2O_CH4'!B4</f>
        <v>1388.6082231717692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1.1184567676301954E-3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3.8801549213673356E-5</v>
      </c>
      <c r="C5" s="444" t="s">
        <v>210</v>
      </c>
      <c r="D5" s="429">
        <f>SUM(D6:D11)</f>
        <v>6.6113766694729699E-5</v>
      </c>
      <c r="E5" s="429">
        <f>SUM(E6:E11)</f>
        <v>2.6099236490442481E-3</v>
      </c>
      <c r="F5" s="442" t="s">
        <v>210</v>
      </c>
      <c r="G5" s="429">
        <f>SUM(G6:G11)</f>
        <v>0.60779293470922857</v>
      </c>
      <c r="H5" s="429">
        <f>SUM(H6:H11)</f>
        <v>0.12301973936153161</v>
      </c>
      <c r="I5" s="444" t="s">
        <v>210</v>
      </c>
      <c r="J5" s="444" t="s">
        <v>210</v>
      </c>
      <c r="K5" s="444" t="s">
        <v>210</v>
      </c>
      <c r="L5" s="444" t="s">
        <v>210</v>
      </c>
      <c r="M5" s="429">
        <f>SUM(M6:M11)</f>
        <v>3.3050333075319391E-2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8.8951501110999507E-6</v>
      </c>
      <c r="C6" s="883"/>
      <c r="D6" s="883">
        <f>vkm_GW_PW*SUMIFS(TableVerdeelsleutelVkm[CNG],TableVerdeelsleutelVkm[Voertuigtype],"Lichte voertuigen")*SUMIFS(TableECFTransport[EnergieConsumptieFactor (PJ per km)],TableECFTransport[Index],CONCATENATE($A6,"_CNG_CNG"))</f>
        <v>1.318234751705435E-5</v>
      </c>
      <c r="E6" s="883">
        <f>vkm_GW_PW*SUMIFS(TableVerdeelsleutelVkm[LPG],TableVerdeelsleutelVkm[Voertuigtype],"Lichte voertuigen")*SUMIFS(TableECFTransport[EnergieConsumptieFactor (PJ per km)],TableECFTransport[Index],CONCATENATE($A6,"_LPG_LPG"))</f>
        <v>4.721435192628293E-4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9.5020303590590216E-2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2.4274294720695738E-2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5.3968217055472252E-3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7.28383826026896E-3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1.6923521287818393E-7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3.2887666658122162E-4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8.3924051045629002E-6</v>
      </c>
      <c r="C8" s="883"/>
      <c r="D8" s="432">
        <f>vkm_NGW_PW*SUMIFS(TableVerdeelsleutelVkm[CNG],TableVerdeelsleutelVkm[Voertuigtype],"Lichte voertuigen")*SUMIFS(TableECFTransport[EnergieConsumptieFactor (PJ per km)],TableECFTransport[Index],CONCATENATE($A8,"_CNG_CNG"))</f>
        <v>2.1106401224513433E-5</v>
      </c>
      <c r="E8" s="432">
        <f>vkm_NGW_PW*SUMIFS(TableVerdeelsleutelVkm[LPG],TableVerdeelsleutelVkm[Voertuigtype],"Lichte voertuigen")*SUMIFS(TableECFTransport[EnergieConsumptieFactor (PJ per km)],TableECFTransport[Index],CONCATENATE($A8,"_LPG_LPG"))</f>
        <v>7.1480253379006017E-4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0.13665170605362265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3.7346627328199898E-2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7.8724369466676471E-3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1.6359563300932171E-3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4.405747961504123E-8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7.3866257493236274E-5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2.15139939980105E-5</v>
      </c>
      <c r="C10" s="883"/>
      <c r="D10" s="432">
        <f>vkm_SW_PW*SUMIFS(TableVerdeelsleutelVkm[CNG],TableVerdeelsleutelVkm[Voertuigtype],"Lichte voertuigen")*SUMIFS(TableECFTransport[EnergieConsumptieFactor (PJ per km)],TableECFTransport[Index],CONCATENATE($A10,"_CNG_CNG"))</f>
        <v>3.1825017953161921E-5</v>
      </c>
      <c r="E10" s="432">
        <f>vkm_SW_PW*SUMIFS(TableVerdeelsleutelVkm[LPG],TableVerdeelsleutelVkm[Voertuigtype],"Lichte voertuigen")*SUMIFS(TableECFTransport[EnergieConsumptieFactor (PJ per km)],TableECFTransport[Index],CONCATENATE($A10,"_LPG_LPG"))</f>
        <v>1.4229775959913589E-3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0.25961124734688151</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6.1395937564349454E-2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1.4520472743588385E-2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0.10758988312777198</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2.6664555940362884E-6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4.8578587554416767E-3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10.778208114909267</v>
      </c>
      <c r="C14" s="21"/>
      <c r="D14" s="21">
        <f t="shared" ref="D14:M14" si="0">((D5)*10^9/3600)+D12</f>
        <v>18.364935192980472</v>
      </c>
      <c r="E14" s="21">
        <f t="shared" si="0"/>
        <v>724.97879140118005</v>
      </c>
      <c r="F14" s="21"/>
      <c r="G14" s="21">
        <f t="shared" si="0"/>
        <v>168831.37075256347</v>
      </c>
      <c r="H14" s="21">
        <f t="shared" si="0"/>
        <v>34172.149822647669</v>
      </c>
      <c r="I14" s="21"/>
      <c r="J14" s="21"/>
      <c r="K14" s="21"/>
      <c r="L14" s="21"/>
      <c r="M14" s="21">
        <f t="shared" si="0"/>
        <v>9180.6480764776079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0.21451363440550106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2.3120725951080514</v>
      </c>
      <c r="C18" s="23"/>
      <c r="D18" s="23">
        <f t="shared" ref="D18:M18" si="1">D14*D16</f>
        <v>3.7097169089820556</v>
      </c>
      <c r="E18" s="23">
        <f t="shared" si="1"/>
        <v>164.57018564806788</v>
      </c>
      <c r="F18" s="23"/>
      <c r="G18" s="23">
        <f t="shared" si="1"/>
        <v>45077.97599093445</v>
      </c>
      <c r="H18" s="23">
        <f t="shared" si="1"/>
        <v>8508.8653058392701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1.6519306899966214E-2</v>
      </c>
      <c r="H50" s="321">
        <f t="shared" si="2"/>
        <v>0</v>
      </c>
      <c r="I50" s="321">
        <f t="shared" si="2"/>
        <v>0</v>
      </c>
      <c r="J50" s="321">
        <f t="shared" si="2"/>
        <v>0</v>
      </c>
      <c r="K50" s="321">
        <f t="shared" si="2"/>
        <v>0</v>
      </c>
      <c r="L50" s="321">
        <f t="shared" si="2"/>
        <v>0</v>
      </c>
      <c r="M50" s="321">
        <f t="shared" si="2"/>
        <v>7.3528801641098017E-4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1.6519306899966214E-2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7.3528801641098017E-4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4588.6963611017263</v>
      </c>
      <c r="H54" s="21">
        <f t="shared" si="3"/>
        <v>0</v>
      </c>
      <c r="I54" s="21">
        <f t="shared" si="3"/>
        <v>0</v>
      </c>
      <c r="J54" s="21">
        <f t="shared" si="3"/>
        <v>0</v>
      </c>
      <c r="K54" s="21">
        <f t="shared" si="3"/>
        <v>0</v>
      </c>
      <c r="L54" s="21">
        <f t="shared" si="3"/>
        <v>0</v>
      </c>
      <c r="M54" s="21">
        <f t="shared" si="3"/>
        <v>204.24667122527225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0.21451363440550106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1225.1819284141609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20096.60295807201</v>
      </c>
      <c r="D10" s="686">
        <f ca="1">tertiair!C16</f>
        <v>0</v>
      </c>
      <c r="E10" s="686">
        <f ca="1">tertiair!D16</f>
        <v>31247.903268425707</v>
      </c>
      <c r="F10" s="686">
        <f>tertiair!E16</f>
        <v>180.03548091726282</v>
      </c>
      <c r="G10" s="686">
        <f ca="1">tertiair!F16</f>
        <v>3973.9826387940375</v>
      </c>
      <c r="H10" s="686">
        <f>tertiair!G16</f>
        <v>0</v>
      </c>
      <c r="I10" s="686">
        <f>tertiair!H16</f>
        <v>0</v>
      </c>
      <c r="J10" s="686">
        <f>tertiair!I16</f>
        <v>0</v>
      </c>
      <c r="K10" s="686">
        <f>tertiair!J16</f>
        <v>0</v>
      </c>
      <c r="L10" s="686">
        <f>tertiair!K16</f>
        <v>0</v>
      </c>
      <c r="M10" s="686">
        <f ca="1">tertiair!L16</f>
        <v>0</v>
      </c>
      <c r="N10" s="686">
        <f>tertiair!M16</f>
        <v>0</v>
      </c>
      <c r="O10" s="686">
        <f ca="1">tertiair!N16</f>
        <v>3845.1989431017569</v>
      </c>
      <c r="P10" s="686">
        <f>tertiair!O16</f>
        <v>3.1266666666666669</v>
      </c>
      <c r="Q10" s="687">
        <f>tertiair!P16</f>
        <v>38.133333333333333</v>
      </c>
      <c r="R10" s="689">
        <f ca="1">SUM(C10:Q10)</f>
        <v>59384.983289310767</v>
      </c>
      <c r="S10" s="67"/>
    </row>
    <row r="11" spans="1:19" s="454" customFormat="1">
      <c r="A11" s="801" t="s">
        <v>224</v>
      </c>
      <c r="B11" s="806"/>
      <c r="C11" s="686">
        <f>huishoudens!B8</f>
        <v>37761.616752470924</v>
      </c>
      <c r="D11" s="686">
        <f>huishoudens!C8</f>
        <v>0</v>
      </c>
      <c r="E11" s="686">
        <f>huishoudens!D8</f>
        <v>148820.12394475457</v>
      </c>
      <c r="F11" s="686">
        <f>huishoudens!E8</f>
        <v>1988.02900343848</v>
      </c>
      <c r="G11" s="686">
        <f>huishoudens!F8</f>
        <v>14101.887870723913</v>
      </c>
      <c r="H11" s="686">
        <f>huishoudens!G8</f>
        <v>0</v>
      </c>
      <c r="I11" s="686">
        <f>huishoudens!H8</f>
        <v>0</v>
      </c>
      <c r="J11" s="686">
        <f>huishoudens!I8</f>
        <v>0</v>
      </c>
      <c r="K11" s="686">
        <f>huishoudens!J8</f>
        <v>0</v>
      </c>
      <c r="L11" s="686">
        <f>huishoudens!K8</f>
        <v>0</v>
      </c>
      <c r="M11" s="686">
        <f>huishoudens!L8</f>
        <v>0</v>
      </c>
      <c r="N11" s="686">
        <f>huishoudens!M8</f>
        <v>0</v>
      </c>
      <c r="O11" s="686">
        <f>huishoudens!N8</f>
        <v>9073.2995541975506</v>
      </c>
      <c r="P11" s="686">
        <f>huishoudens!O8</f>
        <v>204.79666666666668</v>
      </c>
      <c r="Q11" s="687">
        <f>huishoudens!P8</f>
        <v>514.79999999999995</v>
      </c>
      <c r="R11" s="689">
        <f>SUM(C11:Q11)</f>
        <v>212464.55379225209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1504.5265236505538</v>
      </c>
      <c r="D13" s="686">
        <f>industrie!C18</f>
        <v>0</v>
      </c>
      <c r="E13" s="686">
        <f>industrie!D18</f>
        <v>2484.0137761541155</v>
      </c>
      <c r="F13" s="686">
        <f>industrie!E18</f>
        <v>188.49081881979802</v>
      </c>
      <c r="G13" s="686">
        <f>industrie!F18</f>
        <v>1406.2864040729103</v>
      </c>
      <c r="H13" s="686">
        <f>industrie!G18</f>
        <v>0</v>
      </c>
      <c r="I13" s="686">
        <f>industrie!H18</f>
        <v>0</v>
      </c>
      <c r="J13" s="686">
        <f>industrie!I18</f>
        <v>0</v>
      </c>
      <c r="K13" s="686">
        <f>industrie!J18</f>
        <v>0.80438902436521831</v>
      </c>
      <c r="L13" s="686">
        <f>industrie!K18</f>
        <v>0</v>
      </c>
      <c r="M13" s="686">
        <f>industrie!L18</f>
        <v>0</v>
      </c>
      <c r="N13" s="686">
        <f>industrie!M18</f>
        <v>0</v>
      </c>
      <c r="O13" s="686">
        <f>industrie!N18</f>
        <v>257.89451809912032</v>
      </c>
      <c r="P13" s="686">
        <f>industrie!O18</f>
        <v>0</v>
      </c>
      <c r="Q13" s="687">
        <f>industrie!P18</f>
        <v>0</v>
      </c>
      <c r="R13" s="689">
        <f>SUM(C13:Q13)</f>
        <v>5842.0164298208629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59362.746234193488</v>
      </c>
      <c r="D16" s="721">
        <f t="shared" ref="D16:R16" ca="1" si="0">SUM(D9:D15)</f>
        <v>0</v>
      </c>
      <c r="E16" s="721">
        <f t="shared" ca="1" si="0"/>
        <v>182552.04098933437</v>
      </c>
      <c r="F16" s="721">
        <f t="shared" si="0"/>
        <v>2356.5553031755408</v>
      </c>
      <c r="G16" s="721">
        <f t="shared" ca="1" si="0"/>
        <v>19482.156913590861</v>
      </c>
      <c r="H16" s="721">
        <f t="shared" si="0"/>
        <v>0</v>
      </c>
      <c r="I16" s="721">
        <f t="shared" si="0"/>
        <v>0</v>
      </c>
      <c r="J16" s="721">
        <f t="shared" si="0"/>
        <v>0</v>
      </c>
      <c r="K16" s="721">
        <f t="shared" si="0"/>
        <v>0.80438902436521831</v>
      </c>
      <c r="L16" s="721">
        <f t="shared" si="0"/>
        <v>0</v>
      </c>
      <c r="M16" s="721">
        <f t="shared" ca="1" si="0"/>
        <v>0</v>
      </c>
      <c r="N16" s="721">
        <f t="shared" si="0"/>
        <v>0</v>
      </c>
      <c r="O16" s="721">
        <f t="shared" ca="1" si="0"/>
        <v>13176.393015398427</v>
      </c>
      <c r="P16" s="721">
        <f t="shared" si="0"/>
        <v>207.92333333333335</v>
      </c>
      <c r="Q16" s="721">
        <f t="shared" si="0"/>
        <v>552.93333333333328</v>
      </c>
      <c r="R16" s="721">
        <f t="shared" ca="1" si="0"/>
        <v>277691.55351138371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4588.6963611017263</v>
      </c>
      <c r="I19" s="686">
        <f>transport!H54</f>
        <v>0</v>
      </c>
      <c r="J19" s="686">
        <f>transport!I54</f>
        <v>0</v>
      </c>
      <c r="K19" s="686">
        <f>transport!J54</f>
        <v>0</v>
      </c>
      <c r="L19" s="686">
        <f>transport!K54</f>
        <v>0</v>
      </c>
      <c r="M19" s="686">
        <f>transport!L54</f>
        <v>0</v>
      </c>
      <c r="N19" s="686">
        <f>transport!M54</f>
        <v>204.24667122527225</v>
      </c>
      <c r="O19" s="686">
        <f>transport!N54</f>
        <v>0</v>
      </c>
      <c r="P19" s="686">
        <f>transport!O54</f>
        <v>0</v>
      </c>
      <c r="Q19" s="687">
        <f>transport!P54</f>
        <v>0</v>
      </c>
      <c r="R19" s="689">
        <f>SUM(C19:Q19)</f>
        <v>4792.9430323269989</v>
      </c>
      <c r="S19" s="67"/>
    </row>
    <row r="20" spans="1:19" s="454" customFormat="1">
      <c r="A20" s="801" t="s">
        <v>306</v>
      </c>
      <c r="B20" s="806"/>
      <c r="C20" s="686">
        <f>transport!B14</f>
        <v>10.778208114909267</v>
      </c>
      <c r="D20" s="686">
        <f>transport!C14</f>
        <v>0</v>
      </c>
      <c r="E20" s="686">
        <f>transport!D14</f>
        <v>18.364935192980472</v>
      </c>
      <c r="F20" s="686">
        <f>transport!E14</f>
        <v>724.97879140118005</v>
      </c>
      <c r="G20" s="686">
        <f>transport!F14</f>
        <v>0</v>
      </c>
      <c r="H20" s="686">
        <f>transport!G14</f>
        <v>168831.37075256347</v>
      </c>
      <c r="I20" s="686">
        <f>transport!H14</f>
        <v>34172.149822647669</v>
      </c>
      <c r="J20" s="686">
        <f>transport!I14</f>
        <v>0</v>
      </c>
      <c r="K20" s="686">
        <f>transport!J14</f>
        <v>0</v>
      </c>
      <c r="L20" s="686">
        <f>transport!K14</f>
        <v>0</v>
      </c>
      <c r="M20" s="686">
        <f>transport!L14</f>
        <v>0</v>
      </c>
      <c r="N20" s="686">
        <f>transport!M14</f>
        <v>9180.6480764776079</v>
      </c>
      <c r="O20" s="686">
        <f>transport!N14</f>
        <v>0</v>
      </c>
      <c r="P20" s="686">
        <f>transport!O14</f>
        <v>0</v>
      </c>
      <c r="Q20" s="687">
        <f>transport!P14</f>
        <v>0</v>
      </c>
      <c r="R20" s="689">
        <f>SUM(C20:Q20)</f>
        <v>212938.29058639784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10.778208114909267</v>
      </c>
      <c r="D22" s="804">
        <f t="shared" ref="D22:R22" si="1">SUM(D18:D21)</f>
        <v>0</v>
      </c>
      <c r="E22" s="804">
        <f t="shared" si="1"/>
        <v>18.364935192980472</v>
      </c>
      <c r="F22" s="804">
        <f t="shared" si="1"/>
        <v>724.97879140118005</v>
      </c>
      <c r="G22" s="804">
        <f t="shared" si="1"/>
        <v>0</v>
      </c>
      <c r="H22" s="804">
        <f t="shared" si="1"/>
        <v>173420.06711366519</v>
      </c>
      <c r="I22" s="804">
        <f t="shared" si="1"/>
        <v>34172.149822647669</v>
      </c>
      <c r="J22" s="804">
        <f t="shared" si="1"/>
        <v>0</v>
      </c>
      <c r="K22" s="804">
        <f t="shared" si="1"/>
        <v>0</v>
      </c>
      <c r="L22" s="804">
        <f t="shared" si="1"/>
        <v>0</v>
      </c>
      <c r="M22" s="804">
        <f t="shared" si="1"/>
        <v>0</v>
      </c>
      <c r="N22" s="804">
        <f t="shared" si="1"/>
        <v>9384.8947477028796</v>
      </c>
      <c r="O22" s="804">
        <f t="shared" si="1"/>
        <v>0</v>
      </c>
      <c r="P22" s="804">
        <f t="shared" si="1"/>
        <v>0</v>
      </c>
      <c r="Q22" s="804">
        <f t="shared" si="1"/>
        <v>0</v>
      </c>
      <c r="R22" s="804">
        <f t="shared" si="1"/>
        <v>217731.23361872483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193.69514460138151</v>
      </c>
      <c r="D24" s="686">
        <f>+landbouw!C8</f>
        <v>0</v>
      </c>
      <c r="E24" s="686">
        <f>+landbouw!D8</f>
        <v>286.08055436458972</v>
      </c>
      <c r="F24" s="686">
        <f>+landbouw!E8</f>
        <v>2.4408083520582537</v>
      </c>
      <c r="G24" s="686">
        <f>+landbouw!F8</f>
        <v>668.29677240788897</v>
      </c>
      <c r="H24" s="686">
        <f>+landbouw!G8</f>
        <v>0</v>
      </c>
      <c r="I24" s="686">
        <f>+landbouw!H8</f>
        <v>0</v>
      </c>
      <c r="J24" s="686">
        <f>+landbouw!I8</f>
        <v>0</v>
      </c>
      <c r="K24" s="686">
        <f>+landbouw!J8</f>
        <v>29.129547899354424</v>
      </c>
      <c r="L24" s="686">
        <f>+landbouw!K8</f>
        <v>0</v>
      </c>
      <c r="M24" s="686">
        <f>+landbouw!L8</f>
        <v>0</v>
      </c>
      <c r="N24" s="686">
        <f>+landbouw!M8</f>
        <v>0</v>
      </c>
      <c r="O24" s="686">
        <f>+landbouw!N8</f>
        <v>0</v>
      </c>
      <c r="P24" s="686">
        <f>+landbouw!O8</f>
        <v>0</v>
      </c>
      <c r="Q24" s="687">
        <f>+landbouw!P8</f>
        <v>0</v>
      </c>
      <c r="R24" s="689">
        <f>SUM(C24:Q24)</f>
        <v>1179.642827625273</v>
      </c>
      <c r="S24" s="67"/>
    </row>
    <row r="25" spans="1:19" s="454" customFormat="1" ht="15" thickBot="1">
      <c r="A25" s="823" t="s">
        <v>856</v>
      </c>
      <c r="B25" s="991"/>
      <c r="C25" s="992">
        <f>IF(Onbekend_ele_kWh="---",0,Onbekend_ele_kWh)/1000+IF(REST_rest_ele_kWh="---",0,REST_rest_ele_kWh)/1000</f>
        <v>2229.8548091797697</v>
      </c>
      <c r="D25" s="992"/>
      <c r="E25" s="992">
        <f>IF(onbekend_gas_kWh="---",0,onbekend_gas_kWh)/1000+IF(REST_rest_gas_kWh="---",0,REST_rest_gas_kWh)/1000</f>
        <v>7010.3398572207798</v>
      </c>
      <c r="F25" s="992"/>
      <c r="G25" s="992"/>
      <c r="H25" s="992"/>
      <c r="I25" s="992"/>
      <c r="J25" s="992"/>
      <c r="K25" s="992"/>
      <c r="L25" s="992"/>
      <c r="M25" s="992"/>
      <c r="N25" s="992"/>
      <c r="O25" s="992"/>
      <c r="P25" s="992"/>
      <c r="Q25" s="993"/>
      <c r="R25" s="689">
        <f>SUM(C25:Q25)</f>
        <v>9240.19466640055</v>
      </c>
      <c r="S25" s="67"/>
    </row>
    <row r="26" spans="1:19" s="454" customFormat="1" ht="15.75" thickBot="1">
      <c r="A26" s="694" t="s">
        <v>857</v>
      </c>
      <c r="B26" s="809"/>
      <c r="C26" s="804">
        <f>SUM(C24:C25)</f>
        <v>2423.5499537811511</v>
      </c>
      <c r="D26" s="804">
        <f t="shared" ref="D26:R26" si="2">SUM(D24:D25)</f>
        <v>0</v>
      </c>
      <c r="E26" s="804">
        <f t="shared" si="2"/>
        <v>7296.4204115853699</v>
      </c>
      <c r="F26" s="804">
        <f t="shared" si="2"/>
        <v>2.4408083520582537</v>
      </c>
      <c r="G26" s="804">
        <f t="shared" si="2"/>
        <v>668.29677240788897</v>
      </c>
      <c r="H26" s="804">
        <f t="shared" si="2"/>
        <v>0</v>
      </c>
      <c r="I26" s="804">
        <f t="shared" si="2"/>
        <v>0</v>
      </c>
      <c r="J26" s="804">
        <f t="shared" si="2"/>
        <v>0</v>
      </c>
      <c r="K26" s="804">
        <f t="shared" si="2"/>
        <v>29.129547899354424</v>
      </c>
      <c r="L26" s="804">
        <f t="shared" si="2"/>
        <v>0</v>
      </c>
      <c r="M26" s="804">
        <f t="shared" si="2"/>
        <v>0</v>
      </c>
      <c r="N26" s="804">
        <f t="shared" si="2"/>
        <v>0</v>
      </c>
      <c r="O26" s="804">
        <f t="shared" si="2"/>
        <v>0</v>
      </c>
      <c r="P26" s="804">
        <f t="shared" si="2"/>
        <v>0</v>
      </c>
      <c r="Q26" s="804">
        <f t="shared" si="2"/>
        <v>0</v>
      </c>
      <c r="R26" s="804">
        <f t="shared" si="2"/>
        <v>10419.837494025824</v>
      </c>
      <c r="S26" s="67"/>
    </row>
    <row r="27" spans="1:19" s="454" customFormat="1" ht="17.25" thickTop="1" thickBot="1">
      <c r="A27" s="695" t="s">
        <v>115</v>
      </c>
      <c r="B27" s="796"/>
      <c r="C27" s="696">
        <f ca="1">C22+C16+C26</f>
        <v>61797.074396089549</v>
      </c>
      <c r="D27" s="696">
        <f t="shared" ref="D27:R27" ca="1" si="3">D22+D16+D26</f>
        <v>0</v>
      </c>
      <c r="E27" s="696">
        <f t="shared" ca="1" si="3"/>
        <v>189866.82633611272</v>
      </c>
      <c r="F27" s="696">
        <f t="shared" si="3"/>
        <v>3083.9749029287791</v>
      </c>
      <c r="G27" s="696">
        <f t="shared" ca="1" si="3"/>
        <v>20150.453685998749</v>
      </c>
      <c r="H27" s="696">
        <f t="shared" si="3"/>
        <v>173420.06711366519</v>
      </c>
      <c r="I27" s="696">
        <f t="shared" si="3"/>
        <v>34172.149822647669</v>
      </c>
      <c r="J27" s="696">
        <f t="shared" si="3"/>
        <v>0</v>
      </c>
      <c r="K27" s="696">
        <f t="shared" si="3"/>
        <v>29.933936923719642</v>
      </c>
      <c r="L27" s="696">
        <f t="shared" si="3"/>
        <v>0</v>
      </c>
      <c r="M27" s="696">
        <f t="shared" ca="1" si="3"/>
        <v>0</v>
      </c>
      <c r="N27" s="696">
        <f t="shared" si="3"/>
        <v>9384.8947477028796</v>
      </c>
      <c r="O27" s="696">
        <f t="shared" ca="1" si="3"/>
        <v>13176.393015398427</v>
      </c>
      <c r="P27" s="696">
        <f t="shared" si="3"/>
        <v>207.92333333333335</v>
      </c>
      <c r="Q27" s="696">
        <f t="shared" si="3"/>
        <v>552.93333333333328</v>
      </c>
      <c r="R27" s="696">
        <f t="shared" ca="1" si="3"/>
        <v>505842.62462413439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4310.9953397403706</v>
      </c>
      <c r="D40" s="686">
        <f ca="1">tertiair!C20</f>
        <v>0</v>
      </c>
      <c r="E40" s="686">
        <f ca="1">tertiair!D20</f>
        <v>6312.0764602219933</v>
      </c>
      <c r="F40" s="686">
        <f>tertiair!E20</f>
        <v>40.868054168218663</v>
      </c>
      <c r="G40" s="686">
        <f ca="1">tertiair!F20</f>
        <v>1061.0533645580081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11724.993218688589</v>
      </c>
    </row>
    <row r="41" spans="1:18">
      <c r="A41" s="814" t="s">
        <v>224</v>
      </c>
      <c r="B41" s="821"/>
      <c r="C41" s="686">
        <f ca="1">huishoudens!B12</f>
        <v>8100.3816506001922</v>
      </c>
      <c r="D41" s="686">
        <f ca="1">huishoudens!C12</f>
        <v>0</v>
      </c>
      <c r="E41" s="686">
        <f>huishoudens!D12</f>
        <v>30061.665036840426</v>
      </c>
      <c r="F41" s="686">
        <f>huishoudens!E12</f>
        <v>451.28258378053499</v>
      </c>
      <c r="G41" s="686">
        <f>huishoudens!F12</f>
        <v>3765.2040614832849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42378.533332704443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322.74145264775433</v>
      </c>
      <c r="D43" s="686">
        <f ca="1">industrie!C22</f>
        <v>0</v>
      </c>
      <c r="E43" s="686">
        <f>industrie!D22</f>
        <v>501.77078278313138</v>
      </c>
      <c r="F43" s="686">
        <f>industrie!E22</f>
        <v>42.787415872094151</v>
      </c>
      <c r="G43" s="686">
        <f>industrie!F22</f>
        <v>375.47846988746704</v>
      </c>
      <c r="H43" s="686">
        <f>industrie!G22</f>
        <v>0</v>
      </c>
      <c r="I43" s="686">
        <f>industrie!H22</f>
        <v>0</v>
      </c>
      <c r="J43" s="686">
        <f>industrie!I22</f>
        <v>0</v>
      </c>
      <c r="K43" s="686">
        <f>industrie!J22</f>
        <v>0.28475371462528726</v>
      </c>
      <c r="L43" s="686">
        <f>industrie!K22</f>
        <v>0</v>
      </c>
      <c r="M43" s="686">
        <f>industrie!L22</f>
        <v>0</v>
      </c>
      <c r="N43" s="686">
        <f>industrie!M22</f>
        <v>0</v>
      </c>
      <c r="O43" s="686">
        <f>industrie!N22</f>
        <v>0</v>
      </c>
      <c r="P43" s="686">
        <f>industrie!O22</f>
        <v>0</v>
      </c>
      <c r="Q43" s="763">
        <f>industrie!P22</f>
        <v>0</v>
      </c>
      <c r="R43" s="841">
        <f t="shared" ca="1" si="4"/>
        <v>1243.0628749050722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12734.118442988318</v>
      </c>
      <c r="D46" s="721">
        <f t="shared" ref="D46:Q46" ca="1" si="5">SUM(D39:D45)</f>
        <v>0</v>
      </c>
      <c r="E46" s="721">
        <f t="shared" ca="1" si="5"/>
        <v>36875.512279845556</v>
      </c>
      <c r="F46" s="721">
        <f t="shared" si="5"/>
        <v>534.93805382084781</v>
      </c>
      <c r="G46" s="721">
        <f t="shared" ca="1" si="5"/>
        <v>5201.7358959287603</v>
      </c>
      <c r="H46" s="721">
        <f t="shared" si="5"/>
        <v>0</v>
      </c>
      <c r="I46" s="721">
        <f t="shared" si="5"/>
        <v>0</v>
      </c>
      <c r="J46" s="721">
        <f t="shared" si="5"/>
        <v>0</v>
      </c>
      <c r="K46" s="721">
        <f t="shared" si="5"/>
        <v>0.28475371462528726</v>
      </c>
      <c r="L46" s="721">
        <f t="shared" si="5"/>
        <v>0</v>
      </c>
      <c r="M46" s="721">
        <f t="shared" ca="1" si="5"/>
        <v>0</v>
      </c>
      <c r="N46" s="721">
        <f t="shared" si="5"/>
        <v>0</v>
      </c>
      <c r="O46" s="721">
        <f t="shared" ca="1" si="5"/>
        <v>0</v>
      </c>
      <c r="P46" s="721">
        <f t="shared" si="5"/>
        <v>0</v>
      </c>
      <c r="Q46" s="721">
        <f t="shared" si="5"/>
        <v>0</v>
      </c>
      <c r="R46" s="721">
        <f ca="1">SUM(R39:R45)</f>
        <v>55346.589426298109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1225.1819284141609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1225.1819284141609</v>
      </c>
    </row>
    <row r="50" spans="1:18">
      <c r="A50" s="817" t="s">
        <v>306</v>
      </c>
      <c r="B50" s="827"/>
      <c r="C50" s="692">
        <f ca="1">transport!B18</f>
        <v>2.3120725951080514</v>
      </c>
      <c r="D50" s="692">
        <f>transport!C18</f>
        <v>0</v>
      </c>
      <c r="E50" s="692">
        <f>transport!D18</f>
        <v>3.7097169089820556</v>
      </c>
      <c r="F50" s="692">
        <f>transport!E18</f>
        <v>164.57018564806788</v>
      </c>
      <c r="G50" s="692">
        <f>transport!F18</f>
        <v>0</v>
      </c>
      <c r="H50" s="692">
        <f>transport!G18</f>
        <v>45077.97599093445</v>
      </c>
      <c r="I50" s="692">
        <f>transport!H18</f>
        <v>8508.8653058392701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53757.433271925882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2.3120725951080514</v>
      </c>
      <c r="D52" s="721">
        <f t="shared" ref="D52:Q52" ca="1" si="6">SUM(D48:D51)</f>
        <v>0</v>
      </c>
      <c r="E52" s="721">
        <f t="shared" si="6"/>
        <v>3.7097169089820556</v>
      </c>
      <c r="F52" s="721">
        <f t="shared" si="6"/>
        <v>164.57018564806788</v>
      </c>
      <c r="G52" s="721">
        <f t="shared" si="6"/>
        <v>0</v>
      </c>
      <c r="H52" s="721">
        <f t="shared" si="6"/>
        <v>46303.15791934861</v>
      </c>
      <c r="I52" s="721">
        <f t="shared" si="6"/>
        <v>8508.8653058392701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54982.615200340042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41.550249435141417</v>
      </c>
      <c r="D54" s="692">
        <f ca="1">+landbouw!C12</f>
        <v>0</v>
      </c>
      <c r="E54" s="692">
        <f>+landbouw!D12</f>
        <v>57.788271981647128</v>
      </c>
      <c r="F54" s="692">
        <f>+landbouw!E12</f>
        <v>0.55406349591722359</v>
      </c>
      <c r="G54" s="692">
        <f>+landbouw!F12</f>
        <v>178.43523823290636</v>
      </c>
      <c r="H54" s="692">
        <f>+landbouw!G12</f>
        <v>0</v>
      </c>
      <c r="I54" s="692">
        <f>+landbouw!H12</f>
        <v>0</v>
      </c>
      <c r="J54" s="692">
        <f>+landbouw!I12</f>
        <v>0</v>
      </c>
      <c r="K54" s="692">
        <f>+landbouw!J12</f>
        <v>10.311859956371466</v>
      </c>
      <c r="L54" s="692">
        <f>+landbouw!K12</f>
        <v>0</v>
      </c>
      <c r="M54" s="692">
        <f>+landbouw!L12</f>
        <v>0</v>
      </c>
      <c r="N54" s="692">
        <f>+landbouw!M12</f>
        <v>0</v>
      </c>
      <c r="O54" s="692">
        <f>+landbouw!N12</f>
        <v>0</v>
      </c>
      <c r="P54" s="692">
        <f>+landbouw!O12</f>
        <v>0</v>
      </c>
      <c r="Q54" s="693">
        <f>+landbouw!P12</f>
        <v>0</v>
      </c>
      <c r="R54" s="720">
        <f ca="1">SUM(C54:Q54)</f>
        <v>288.63968310198356</v>
      </c>
    </row>
    <row r="55" spans="1:18" ht="15" thickBot="1">
      <c r="A55" s="817" t="s">
        <v>856</v>
      </c>
      <c r="B55" s="827"/>
      <c r="C55" s="692">
        <f ca="1">C25*'EF ele_warmte'!B12</f>
        <v>478.33425931373745</v>
      </c>
      <c r="D55" s="692"/>
      <c r="E55" s="692">
        <f>E25*EF_CO2_aardgas</f>
        <v>1416.0886511585977</v>
      </c>
      <c r="F55" s="692"/>
      <c r="G55" s="692"/>
      <c r="H55" s="692"/>
      <c r="I55" s="692"/>
      <c r="J55" s="692"/>
      <c r="K55" s="692"/>
      <c r="L55" s="692"/>
      <c r="M55" s="692"/>
      <c r="N55" s="692"/>
      <c r="O55" s="692"/>
      <c r="P55" s="692"/>
      <c r="Q55" s="693"/>
      <c r="R55" s="720">
        <f ca="1">SUM(C55:Q55)</f>
        <v>1894.4229104723352</v>
      </c>
    </row>
    <row r="56" spans="1:18" ht="15.75" thickBot="1">
      <c r="A56" s="815" t="s">
        <v>857</v>
      </c>
      <c r="B56" s="828"/>
      <c r="C56" s="721">
        <f ca="1">SUM(C54:C55)</f>
        <v>519.88450874887883</v>
      </c>
      <c r="D56" s="721">
        <f t="shared" ref="D56:Q56" ca="1" si="7">SUM(D54:D55)</f>
        <v>0</v>
      </c>
      <c r="E56" s="721">
        <f t="shared" si="7"/>
        <v>1473.8769231402448</v>
      </c>
      <c r="F56" s="721">
        <f t="shared" si="7"/>
        <v>0.55406349591722359</v>
      </c>
      <c r="G56" s="721">
        <f t="shared" si="7"/>
        <v>178.43523823290636</v>
      </c>
      <c r="H56" s="721">
        <f t="shared" si="7"/>
        <v>0</v>
      </c>
      <c r="I56" s="721">
        <f t="shared" si="7"/>
        <v>0</v>
      </c>
      <c r="J56" s="721">
        <f t="shared" si="7"/>
        <v>0</v>
      </c>
      <c r="K56" s="721">
        <f t="shared" si="7"/>
        <v>10.311859956371466</v>
      </c>
      <c r="L56" s="721">
        <f t="shared" si="7"/>
        <v>0</v>
      </c>
      <c r="M56" s="721">
        <f t="shared" si="7"/>
        <v>0</v>
      </c>
      <c r="N56" s="721">
        <f t="shared" si="7"/>
        <v>0</v>
      </c>
      <c r="O56" s="721">
        <f t="shared" si="7"/>
        <v>0</v>
      </c>
      <c r="P56" s="721">
        <f t="shared" si="7"/>
        <v>0</v>
      </c>
      <c r="Q56" s="722">
        <f t="shared" si="7"/>
        <v>0</v>
      </c>
      <c r="R56" s="723">
        <f ca="1">SUM(R54:R55)</f>
        <v>2183.0625935743187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13256.315024332305</v>
      </c>
      <c r="D61" s="729">
        <f t="shared" ref="D61:Q61" ca="1" si="8">D46+D52+D56</f>
        <v>0</v>
      </c>
      <c r="E61" s="729">
        <f t="shared" ca="1" si="8"/>
        <v>38353.098919894786</v>
      </c>
      <c r="F61" s="729">
        <f t="shared" si="8"/>
        <v>700.06230296483295</v>
      </c>
      <c r="G61" s="729">
        <f t="shared" ca="1" si="8"/>
        <v>5380.1711341616665</v>
      </c>
      <c r="H61" s="729">
        <f t="shared" si="8"/>
        <v>46303.15791934861</v>
      </c>
      <c r="I61" s="729">
        <f t="shared" si="8"/>
        <v>8508.8653058392701</v>
      </c>
      <c r="J61" s="729">
        <f t="shared" si="8"/>
        <v>0</v>
      </c>
      <c r="K61" s="729">
        <f t="shared" si="8"/>
        <v>10.596613670996753</v>
      </c>
      <c r="L61" s="729">
        <f t="shared" si="8"/>
        <v>0</v>
      </c>
      <c r="M61" s="729">
        <f t="shared" ca="1" si="8"/>
        <v>0</v>
      </c>
      <c r="N61" s="729">
        <f t="shared" si="8"/>
        <v>0</v>
      </c>
      <c r="O61" s="729">
        <f t="shared" ca="1" si="8"/>
        <v>0</v>
      </c>
      <c r="P61" s="729">
        <f t="shared" si="8"/>
        <v>0</v>
      </c>
      <c r="Q61" s="729">
        <f t="shared" si="8"/>
        <v>0</v>
      </c>
      <c r="R61" s="729">
        <f ca="1">R46+R52+R56</f>
        <v>112512.26722021247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0.21451363440550109</v>
      </c>
      <c r="D63" s="772">
        <f t="shared" ca="1" si="9"/>
        <v>0</v>
      </c>
      <c r="E63" s="998">
        <f t="shared" ca="1" si="9"/>
        <v>0.2020000000000001</v>
      </c>
      <c r="F63" s="772">
        <f t="shared" si="9"/>
        <v>0.22700000000000004</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1813.7484941334267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1813.7484941334267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1813.7484941334267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1813.7484941334267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37761.616752470924</v>
      </c>
      <c r="C4" s="458">
        <f>huishoudens!C8</f>
        <v>0</v>
      </c>
      <c r="D4" s="458">
        <f>huishoudens!D8</f>
        <v>148820.12394475457</v>
      </c>
      <c r="E4" s="458">
        <f>huishoudens!E8</f>
        <v>1988.02900343848</v>
      </c>
      <c r="F4" s="458">
        <f>huishoudens!F8</f>
        <v>14101.887870723913</v>
      </c>
      <c r="G4" s="458">
        <f>huishoudens!G8</f>
        <v>0</v>
      </c>
      <c r="H4" s="458">
        <f>huishoudens!H8</f>
        <v>0</v>
      </c>
      <c r="I4" s="458">
        <f>huishoudens!I8</f>
        <v>0</v>
      </c>
      <c r="J4" s="458">
        <f>huishoudens!J8</f>
        <v>0</v>
      </c>
      <c r="K4" s="458">
        <f>huishoudens!K8</f>
        <v>0</v>
      </c>
      <c r="L4" s="458">
        <f>huishoudens!L8</f>
        <v>0</v>
      </c>
      <c r="M4" s="458">
        <f>huishoudens!M8</f>
        <v>0</v>
      </c>
      <c r="N4" s="458">
        <f>huishoudens!N8</f>
        <v>9073.2995541975506</v>
      </c>
      <c r="O4" s="458">
        <f>huishoudens!O8</f>
        <v>204.79666666666668</v>
      </c>
      <c r="P4" s="459">
        <f>huishoudens!P8</f>
        <v>514.79999999999995</v>
      </c>
      <c r="Q4" s="460">
        <f>SUM(B4:P4)</f>
        <v>212464.55379225209</v>
      </c>
    </row>
    <row r="5" spans="1:17">
      <c r="A5" s="457" t="s">
        <v>155</v>
      </c>
      <c r="B5" s="458">
        <f ca="1">tertiair!B16</f>
        <v>18751.054958072011</v>
      </c>
      <c r="C5" s="458">
        <f ca="1">tertiair!C16</f>
        <v>0</v>
      </c>
      <c r="D5" s="458">
        <f ca="1">tertiair!D16</f>
        <v>31247.903268425707</v>
      </c>
      <c r="E5" s="458">
        <f>tertiair!E16</f>
        <v>180.03548091726282</v>
      </c>
      <c r="F5" s="458">
        <f ca="1">tertiair!F16</f>
        <v>3973.9826387940375</v>
      </c>
      <c r="G5" s="458">
        <f>tertiair!G16</f>
        <v>0</v>
      </c>
      <c r="H5" s="458">
        <f>tertiair!H16</f>
        <v>0</v>
      </c>
      <c r="I5" s="458">
        <f>tertiair!I16</f>
        <v>0</v>
      </c>
      <c r="J5" s="458">
        <f>tertiair!J16</f>
        <v>0</v>
      </c>
      <c r="K5" s="458">
        <f>tertiair!K16</f>
        <v>0</v>
      </c>
      <c r="L5" s="458">
        <f ca="1">tertiair!L16</f>
        <v>0</v>
      </c>
      <c r="M5" s="458">
        <f>tertiair!M16</f>
        <v>0</v>
      </c>
      <c r="N5" s="458">
        <f ca="1">tertiair!N16</f>
        <v>3845.1989431017569</v>
      </c>
      <c r="O5" s="458">
        <f>tertiair!O16</f>
        <v>3.1266666666666669</v>
      </c>
      <c r="P5" s="459">
        <f>tertiair!P16</f>
        <v>38.133333333333333</v>
      </c>
      <c r="Q5" s="457">
        <f t="shared" ref="Q5:Q14" ca="1" si="0">SUM(B5:P5)</f>
        <v>58039.435289310772</v>
      </c>
    </row>
    <row r="6" spans="1:17">
      <c r="A6" s="457" t="s">
        <v>193</v>
      </c>
      <c r="B6" s="458">
        <f>'openbare verlichting'!B8</f>
        <v>1345.548</v>
      </c>
      <c r="C6" s="458"/>
      <c r="D6" s="458"/>
      <c r="E6" s="458"/>
      <c r="F6" s="458"/>
      <c r="G6" s="458"/>
      <c r="H6" s="458"/>
      <c r="I6" s="458"/>
      <c r="J6" s="458"/>
      <c r="K6" s="458"/>
      <c r="L6" s="458"/>
      <c r="M6" s="458"/>
      <c r="N6" s="458"/>
      <c r="O6" s="458"/>
      <c r="P6" s="459"/>
      <c r="Q6" s="457">
        <f t="shared" si="0"/>
        <v>1345.548</v>
      </c>
    </row>
    <row r="7" spans="1:17">
      <c r="A7" s="457" t="s">
        <v>111</v>
      </c>
      <c r="B7" s="458">
        <f>landbouw!B8</f>
        <v>193.69514460138151</v>
      </c>
      <c r="C7" s="458">
        <f>landbouw!C8</f>
        <v>0</v>
      </c>
      <c r="D7" s="458">
        <f>landbouw!D8</f>
        <v>286.08055436458972</v>
      </c>
      <c r="E7" s="458">
        <f>landbouw!E8</f>
        <v>2.4408083520582537</v>
      </c>
      <c r="F7" s="458">
        <f>landbouw!F8</f>
        <v>668.29677240788897</v>
      </c>
      <c r="G7" s="458">
        <f>landbouw!G8</f>
        <v>0</v>
      </c>
      <c r="H7" s="458">
        <f>landbouw!H8</f>
        <v>0</v>
      </c>
      <c r="I7" s="458">
        <f>landbouw!I8</f>
        <v>0</v>
      </c>
      <c r="J7" s="458">
        <f>landbouw!J8</f>
        <v>29.129547899354424</v>
      </c>
      <c r="K7" s="458">
        <f>landbouw!K8</f>
        <v>0</v>
      </c>
      <c r="L7" s="458">
        <f>landbouw!L8</f>
        <v>0</v>
      </c>
      <c r="M7" s="458">
        <f>landbouw!M8</f>
        <v>0</v>
      </c>
      <c r="N7" s="458">
        <f>landbouw!N8</f>
        <v>0</v>
      </c>
      <c r="O7" s="458">
        <f>landbouw!O8</f>
        <v>0</v>
      </c>
      <c r="P7" s="459">
        <f>landbouw!P8</f>
        <v>0</v>
      </c>
      <c r="Q7" s="457">
        <f t="shared" si="0"/>
        <v>1179.642827625273</v>
      </c>
    </row>
    <row r="8" spans="1:17">
      <c r="A8" s="457" t="s">
        <v>655</v>
      </c>
      <c r="B8" s="458">
        <f>industrie!B18</f>
        <v>1504.5265236505538</v>
      </c>
      <c r="C8" s="458">
        <f>industrie!C18</f>
        <v>0</v>
      </c>
      <c r="D8" s="458">
        <f>industrie!D18</f>
        <v>2484.0137761541155</v>
      </c>
      <c r="E8" s="458">
        <f>industrie!E18</f>
        <v>188.49081881979802</v>
      </c>
      <c r="F8" s="458">
        <f>industrie!F18</f>
        <v>1406.2864040729103</v>
      </c>
      <c r="G8" s="458">
        <f>industrie!G18</f>
        <v>0</v>
      </c>
      <c r="H8" s="458">
        <f>industrie!H18</f>
        <v>0</v>
      </c>
      <c r="I8" s="458">
        <f>industrie!I18</f>
        <v>0</v>
      </c>
      <c r="J8" s="458">
        <f>industrie!J18</f>
        <v>0.80438902436521831</v>
      </c>
      <c r="K8" s="458">
        <f>industrie!K18</f>
        <v>0</v>
      </c>
      <c r="L8" s="458">
        <f>industrie!L18</f>
        <v>0</v>
      </c>
      <c r="M8" s="458">
        <f>industrie!M18</f>
        <v>0</v>
      </c>
      <c r="N8" s="458">
        <f>industrie!N18</f>
        <v>257.89451809912032</v>
      </c>
      <c r="O8" s="458">
        <f>industrie!O18</f>
        <v>0</v>
      </c>
      <c r="P8" s="459">
        <f>industrie!P18</f>
        <v>0</v>
      </c>
      <c r="Q8" s="457">
        <f t="shared" si="0"/>
        <v>5842.0164298208629</v>
      </c>
    </row>
    <row r="9" spans="1:17" s="463" customFormat="1">
      <c r="A9" s="461" t="s">
        <v>573</v>
      </c>
      <c r="B9" s="462">
        <f>transport!B14</f>
        <v>10.778208114909267</v>
      </c>
      <c r="C9" s="462">
        <f>transport!C14</f>
        <v>0</v>
      </c>
      <c r="D9" s="462">
        <f>transport!D14</f>
        <v>18.364935192980472</v>
      </c>
      <c r="E9" s="462">
        <f>transport!E14</f>
        <v>724.97879140118005</v>
      </c>
      <c r="F9" s="462">
        <f>transport!F14</f>
        <v>0</v>
      </c>
      <c r="G9" s="462">
        <f>transport!G14</f>
        <v>168831.37075256347</v>
      </c>
      <c r="H9" s="462">
        <f>transport!H14</f>
        <v>34172.149822647669</v>
      </c>
      <c r="I9" s="462">
        <f>transport!I14</f>
        <v>0</v>
      </c>
      <c r="J9" s="462">
        <f>transport!J14</f>
        <v>0</v>
      </c>
      <c r="K9" s="462">
        <f>transport!K14</f>
        <v>0</v>
      </c>
      <c r="L9" s="462">
        <f>transport!L14</f>
        <v>0</v>
      </c>
      <c r="M9" s="462">
        <f>transport!M14</f>
        <v>9180.6480764776079</v>
      </c>
      <c r="N9" s="462">
        <f>transport!N14</f>
        <v>0</v>
      </c>
      <c r="O9" s="462">
        <f>transport!O14</f>
        <v>0</v>
      </c>
      <c r="P9" s="462">
        <f>transport!P14</f>
        <v>0</v>
      </c>
      <c r="Q9" s="461">
        <f>SUM(B9:P9)</f>
        <v>212938.29058639784</v>
      </c>
    </row>
    <row r="10" spans="1:17">
      <c r="A10" s="457" t="s">
        <v>563</v>
      </c>
      <c r="B10" s="458">
        <f>transport!B54</f>
        <v>0</v>
      </c>
      <c r="C10" s="458">
        <f>transport!C54</f>
        <v>0</v>
      </c>
      <c r="D10" s="458">
        <f>transport!D54</f>
        <v>0</v>
      </c>
      <c r="E10" s="458">
        <f>transport!E54</f>
        <v>0</v>
      </c>
      <c r="F10" s="458">
        <f>transport!F54</f>
        <v>0</v>
      </c>
      <c r="G10" s="458">
        <f>transport!G54</f>
        <v>4588.6963611017263</v>
      </c>
      <c r="H10" s="458">
        <f>transport!H54</f>
        <v>0</v>
      </c>
      <c r="I10" s="458">
        <f>transport!I54</f>
        <v>0</v>
      </c>
      <c r="J10" s="458">
        <f>transport!J54</f>
        <v>0</v>
      </c>
      <c r="K10" s="458">
        <f>transport!K54</f>
        <v>0</v>
      </c>
      <c r="L10" s="458">
        <f>transport!L54</f>
        <v>0</v>
      </c>
      <c r="M10" s="458">
        <f>transport!M54</f>
        <v>204.24667122527225</v>
      </c>
      <c r="N10" s="458">
        <f>transport!N54</f>
        <v>0</v>
      </c>
      <c r="O10" s="458">
        <f>transport!O54</f>
        <v>0</v>
      </c>
      <c r="P10" s="459">
        <f>transport!P54</f>
        <v>0</v>
      </c>
      <c r="Q10" s="457">
        <f t="shared" si="0"/>
        <v>4792.9430323269989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2229.8548091797697</v>
      </c>
      <c r="C14" s="465"/>
      <c r="D14" s="465">
        <f>'SEAP template'!E25</f>
        <v>7010.3398572207798</v>
      </c>
      <c r="E14" s="465"/>
      <c r="F14" s="465"/>
      <c r="G14" s="465"/>
      <c r="H14" s="465"/>
      <c r="I14" s="465"/>
      <c r="J14" s="465"/>
      <c r="K14" s="465"/>
      <c r="L14" s="465"/>
      <c r="M14" s="465"/>
      <c r="N14" s="465"/>
      <c r="O14" s="465"/>
      <c r="P14" s="466"/>
      <c r="Q14" s="457">
        <f t="shared" si="0"/>
        <v>9240.19466640055</v>
      </c>
    </row>
    <row r="15" spans="1:17" s="470" customFormat="1">
      <c r="A15" s="467" t="s">
        <v>567</v>
      </c>
      <c r="B15" s="468">
        <f ca="1">SUM(B4:B14)</f>
        <v>61797.074396089556</v>
      </c>
      <c r="C15" s="468">
        <f t="shared" ref="C15:Q15" ca="1" si="1">SUM(C4:C14)</f>
        <v>0</v>
      </c>
      <c r="D15" s="468">
        <f t="shared" ca="1" si="1"/>
        <v>189866.82633611272</v>
      </c>
      <c r="E15" s="468">
        <f t="shared" si="1"/>
        <v>3083.9749029287791</v>
      </c>
      <c r="F15" s="468">
        <f t="shared" ca="1" si="1"/>
        <v>20150.453685998749</v>
      </c>
      <c r="G15" s="468">
        <f t="shared" si="1"/>
        <v>173420.06711366519</v>
      </c>
      <c r="H15" s="468">
        <f t="shared" si="1"/>
        <v>34172.149822647669</v>
      </c>
      <c r="I15" s="468">
        <f t="shared" si="1"/>
        <v>0</v>
      </c>
      <c r="J15" s="468">
        <f t="shared" si="1"/>
        <v>29.933936923719642</v>
      </c>
      <c r="K15" s="468">
        <f t="shared" si="1"/>
        <v>0</v>
      </c>
      <c r="L15" s="468">
        <f t="shared" ca="1" si="1"/>
        <v>0</v>
      </c>
      <c r="M15" s="468">
        <f t="shared" si="1"/>
        <v>9384.8947477028796</v>
      </c>
      <c r="N15" s="468">
        <f t="shared" ca="1" si="1"/>
        <v>13176.393015398427</v>
      </c>
      <c r="O15" s="468">
        <f t="shared" si="1"/>
        <v>207.92333333333335</v>
      </c>
      <c r="P15" s="468">
        <f t="shared" si="1"/>
        <v>552.93333333333328</v>
      </c>
      <c r="Q15" s="468">
        <f t="shared" ca="1" si="1"/>
        <v>505842.62462413439</v>
      </c>
    </row>
    <row r="17" spans="1:17">
      <c r="A17" s="471" t="s">
        <v>568</v>
      </c>
      <c r="B17" s="777">
        <f ca="1">huishoudens!B10</f>
        <v>0.21451363440550106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8100.3816506001922</v>
      </c>
      <c r="C22" s="458">
        <f t="shared" ref="C22:C32" ca="1" si="3">C4*$C$17</f>
        <v>0</v>
      </c>
      <c r="D22" s="458">
        <f t="shared" ref="D22:D32" si="4">D4*$D$17</f>
        <v>30061.665036840426</v>
      </c>
      <c r="E22" s="458">
        <f t="shared" ref="E22:E32" si="5">E4*$E$17</f>
        <v>451.28258378053499</v>
      </c>
      <c r="F22" s="458">
        <f t="shared" ref="F22:F32" si="6">F4*$F$17</f>
        <v>3765.2040614832849</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42378.533332704443</v>
      </c>
    </row>
    <row r="23" spans="1:17">
      <c r="A23" s="457" t="s">
        <v>155</v>
      </c>
      <c r="B23" s="458">
        <f t="shared" ca="1" si="2"/>
        <v>4022.3569479933171</v>
      </c>
      <c r="C23" s="458">
        <f t="shared" ca="1" si="3"/>
        <v>0</v>
      </c>
      <c r="D23" s="458">
        <f t="shared" ca="1" si="4"/>
        <v>6312.0764602219933</v>
      </c>
      <c r="E23" s="458">
        <f t="shared" si="5"/>
        <v>40.868054168218663</v>
      </c>
      <c r="F23" s="458">
        <f t="shared" ca="1" si="6"/>
        <v>1061.0533645580081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11436.354826941537</v>
      </c>
    </row>
    <row r="24" spans="1:17">
      <c r="A24" s="457" t="s">
        <v>193</v>
      </c>
      <c r="B24" s="458">
        <f t="shared" ca="1" si="2"/>
        <v>288.63839174705316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288.63839174705316</v>
      </c>
    </row>
    <row r="25" spans="1:17">
      <c r="A25" s="457" t="s">
        <v>111</v>
      </c>
      <c r="B25" s="458">
        <f t="shared" ca="1" si="2"/>
        <v>41.550249435141417</v>
      </c>
      <c r="C25" s="458">
        <f t="shared" ca="1" si="3"/>
        <v>0</v>
      </c>
      <c r="D25" s="458">
        <f t="shared" si="4"/>
        <v>57.788271981647128</v>
      </c>
      <c r="E25" s="458">
        <f t="shared" si="5"/>
        <v>0.55406349591722359</v>
      </c>
      <c r="F25" s="458">
        <f t="shared" si="6"/>
        <v>178.43523823290636</v>
      </c>
      <c r="G25" s="458">
        <f t="shared" si="7"/>
        <v>0</v>
      </c>
      <c r="H25" s="458">
        <f t="shared" si="8"/>
        <v>0</v>
      </c>
      <c r="I25" s="458">
        <f t="shared" si="9"/>
        <v>0</v>
      </c>
      <c r="J25" s="458">
        <f t="shared" si="10"/>
        <v>10.311859956371466</v>
      </c>
      <c r="K25" s="458">
        <f t="shared" si="11"/>
        <v>0</v>
      </c>
      <c r="L25" s="458">
        <f t="shared" si="12"/>
        <v>0</v>
      </c>
      <c r="M25" s="458">
        <f t="shared" si="13"/>
        <v>0</v>
      </c>
      <c r="N25" s="458">
        <f t="shared" si="14"/>
        <v>0</v>
      </c>
      <c r="O25" s="458">
        <f t="shared" si="15"/>
        <v>0</v>
      </c>
      <c r="P25" s="459">
        <f t="shared" si="16"/>
        <v>0</v>
      </c>
      <c r="Q25" s="457">
        <f t="shared" ca="1" si="17"/>
        <v>288.63968310198356</v>
      </c>
    </row>
    <row r="26" spans="1:17">
      <c r="A26" s="457" t="s">
        <v>655</v>
      </c>
      <c r="B26" s="458">
        <f t="shared" ca="1" si="2"/>
        <v>322.74145264775433</v>
      </c>
      <c r="C26" s="458">
        <f t="shared" ca="1" si="3"/>
        <v>0</v>
      </c>
      <c r="D26" s="458">
        <f t="shared" si="4"/>
        <v>501.77078278313138</v>
      </c>
      <c r="E26" s="458">
        <f t="shared" si="5"/>
        <v>42.787415872094151</v>
      </c>
      <c r="F26" s="458">
        <f t="shared" si="6"/>
        <v>375.47846988746704</v>
      </c>
      <c r="G26" s="458">
        <f t="shared" si="7"/>
        <v>0</v>
      </c>
      <c r="H26" s="458">
        <f t="shared" si="8"/>
        <v>0</v>
      </c>
      <c r="I26" s="458">
        <f t="shared" si="9"/>
        <v>0</v>
      </c>
      <c r="J26" s="458">
        <f t="shared" si="10"/>
        <v>0.28475371462528726</v>
      </c>
      <c r="K26" s="458">
        <f t="shared" si="11"/>
        <v>0</v>
      </c>
      <c r="L26" s="458">
        <f t="shared" si="12"/>
        <v>0</v>
      </c>
      <c r="M26" s="458">
        <f t="shared" si="13"/>
        <v>0</v>
      </c>
      <c r="N26" s="458">
        <f t="shared" si="14"/>
        <v>0</v>
      </c>
      <c r="O26" s="458">
        <f t="shared" si="15"/>
        <v>0</v>
      </c>
      <c r="P26" s="459">
        <f t="shared" si="16"/>
        <v>0</v>
      </c>
      <c r="Q26" s="457">
        <f t="shared" ca="1" si="17"/>
        <v>1243.0628749050722</v>
      </c>
    </row>
    <row r="27" spans="1:17" s="463" customFormat="1">
      <c r="A27" s="461" t="s">
        <v>573</v>
      </c>
      <c r="B27" s="771">
        <f t="shared" ca="1" si="2"/>
        <v>2.3120725951080514</v>
      </c>
      <c r="C27" s="462">
        <f t="shared" ca="1" si="3"/>
        <v>0</v>
      </c>
      <c r="D27" s="462">
        <f t="shared" si="4"/>
        <v>3.7097169089820556</v>
      </c>
      <c r="E27" s="462">
        <f t="shared" si="5"/>
        <v>164.57018564806788</v>
      </c>
      <c r="F27" s="462">
        <f t="shared" si="6"/>
        <v>0</v>
      </c>
      <c r="G27" s="462">
        <f t="shared" si="7"/>
        <v>45077.97599093445</v>
      </c>
      <c r="H27" s="462">
        <f t="shared" si="8"/>
        <v>8508.8653058392701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53757.433271925882</v>
      </c>
    </row>
    <row r="28" spans="1:17">
      <c r="A28" s="457" t="s">
        <v>563</v>
      </c>
      <c r="B28" s="458">
        <f t="shared" ca="1" si="2"/>
        <v>0</v>
      </c>
      <c r="C28" s="458">
        <f t="shared" ca="1" si="3"/>
        <v>0</v>
      </c>
      <c r="D28" s="458">
        <f t="shared" si="4"/>
        <v>0</v>
      </c>
      <c r="E28" s="458">
        <f t="shared" si="5"/>
        <v>0</v>
      </c>
      <c r="F28" s="458">
        <f t="shared" si="6"/>
        <v>0</v>
      </c>
      <c r="G28" s="458">
        <f t="shared" si="7"/>
        <v>1225.1819284141609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1225.1819284141609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478.33425931373745</v>
      </c>
      <c r="C32" s="458">
        <f t="shared" ca="1" si="3"/>
        <v>0</v>
      </c>
      <c r="D32" s="458">
        <f t="shared" si="4"/>
        <v>1416.0886511585977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1894.4229104723352</v>
      </c>
    </row>
    <row r="33" spans="1:17" s="470" customFormat="1">
      <c r="A33" s="467" t="s">
        <v>567</v>
      </c>
      <c r="B33" s="468">
        <f ca="1">SUM(B22:B32)</f>
        <v>13256.315024332305</v>
      </c>
      <c r="C33" s="468">
        <f t="shared" ref="C33:Q33" ca="1" si="18">SUM(C22:C32)</f>
        <v>0</v>
      </c>
      <c r="D33" s="468">
        <f t="shared" ca="1" si="18"/>
        <v>38353.098919894786</v>
      </c>
      <c r="E33" s="468">
        <f t="shared" si="18"/>
        <v>700.06230296483295</v>
      </c>
      <c r="F33" s="468">
        <f t="shared" ca="1" si="18"/>
        <v>5380.1711341616665</v>
      </c>
      <c r="G33" s="468">
        <f t="shared" si="18"/>
        <v>46303.15791934861</v>
      </c>
      <c r="H33" s="468">
        <f t="shared" si="18"/>
        <v>8508.8653058392701</v>
      </c>
      <c r="I33" s="468">
        <f t="shared" si="18"/>
        <v>0</v>
      </c>
      <c r="J33" s="468">
        <f t="shared" si="18"/>
        <v>10.596613670996753</v>
      </c>
      <c r="K33" s="468">
        <f t="shared" si="18"/>
        <v>0</v>
      </c>
      <c r="L33" s="468">
        <f t="shared" ca="1" si="18"/>
        <v>0</v>
      </c>
      <c r="M33" s="468">
        <f t="shared" si="18"/>
        <v>0</v>
      </c>
      <c r="N33" s="468">
        <f t="shared" ca="1" si="18"/>
        <v>0</v>
      </c>
      <c r="O33" s="468">
        <f t="shared" si="18"/>
        <v>0</v>
      </c>
      <c r="P33" s="468">
        <f t="shared" si="18"/>
        <v>0</v>
      </c>
      <c r="Q33" s="468">
        <f t="shared" ca="1" si="18"/>
        <v>112512.26722021247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1813.7484941334267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1813.7484941334267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0.21451363440550106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0.21451363440550106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2020-06-20T16:17:44Z</dcterms:modified>
</cp:coreProperties>
</file>