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F20" i="18"/>
  <c r="B20" i="18"/>
  <c r="O18" i="18"/>
  <c r="H20" i="18"/>
  <c r="G20" i="18"/>
  <c r="K20" i="18"/>
  <c r="B10" i="18"/>
  <c r="O19" i="18"/>
  <c r="O9" i="18"/>
  <c r="D49" i="18"/>
  <c r="H49" i="18"/>
  <c r="E48" i="18"/>
  <c r="E8" i="18" s="1"/>
  <c r="E10" i="18" s="1"/>
  <c r="E49" i="18"/>
  <c r="E17" i="18" s="1"/>
  <c r="E20" i="18" s="1"/>
  <c r="N6" i="17"/>
  <c r="I48" i="18" l="1"/>
  <c r="H8" i="18" s="1"/>
  <c r="H10" i="18" s="1"/>
  <c r="G48" i="18"/>
  <c r="F48" i="18"/>
  <c r="H48" i="18"/>
  <c r="D48" i="18"/>
  <c r="C48" i="18"/>
  <c r="B48" i="18"/>
  <c r="C8" i="18" s="1"/>
  <c r="C10" i="18" s="1"/>
  <c r="I17" i="18"/>
  <c r="I20" i="18" s="1"/>
  <c r="J17" i="18"/>
  <c r="J20" i="18" s="1"/>
  <c r="L6" i="17"/>
  <c r="F6" i="17"/>
  <c r="D6" i="17"/>
  <c r="C6" i="17"/>
  <c r="N16" i="16"/>
  <c r="L16" i="16"/>
  <c r="F16" i="16"/>
  <c r="D16" i="16"/>
  <c r="C16" i="16"/>
  <c r="B16" i="16"/>
  <c r="B13" i="15"/>
  <c r="J8" i="18" l="1"/>
  <c r="J10" i="18" s="1"/>
  <c r="I8" i="18"/>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8" i="18"/>
  <c r="O10" i="18" s="1"/>
  <c r="O1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B7" i="48"/>
  <c r="C24" i="14"/>
  <c r="C26" i="14" s="1"/>
  <c r="O4" i="48"/>
  <c r="O22" i="48" s="1"/>
  <c r="P11" i="14"/>
  <c r="E11" i="14"/>
  <c r="D4" i="48"/>
  <c r="D22" i="48"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J22" i="16"/>
  <c r="K43" i="14" s="1"/>
  <c r="K46" i="14" s="1"/>
  <c r="K61" i="14" s="1"/>
  <c r="J8" i="48"/>
  <c r="J26" i="48" s="1"/>
  <c r="J33" i="48" s="1"/>
  <c r="K13" i="14"/>
  <c r="K16" i="14" s="1"/>
  <c r="K27" i="14" s="1"/>
  <c r="N63" i="14"/>
  <c r="E23" i="48"/>
  <c r="Q5" i="48"/>
  <c r="E22" i="16"/>
  <c r="F43" i="14" s="1"/>
  <c r="F46" i="14" s="1"/>
  <c r="F61" i="14" s="1"/>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F63" i="14"/>
  <c r="E33"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<sst xmlns="http://schemas.openxmlformats.org/spreadsheetml/2006/main" count="2456" uniqueCount="926">
  <si>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</si>
  <si>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</si>
  <si>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</si>
  <si>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</si>
  <si>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</si>
  <si>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</si>
  <si>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</si>
  <si>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</si>
  <si>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</si>
  <si>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</si>
  <si>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</si>
  <si>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</si>
  <si>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</si>
  <si>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</si>
  <si>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</si>
  <si>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</si>
  <si>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</si>
  <si>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</si>
  <si>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</si>
  <si>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</si>
  <si>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</si>
  <si>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</si>
  <si>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</si>
  <si>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</si>
  <si>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</si>
  <si>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</si>
  <si>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</si>
  <si>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</si>
  <si>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</si>
  <si>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</si>
  <si>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</si>
  <si>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</si>
  <si>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</si>
  <si>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</si>
  <si>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</si>
  <si>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</si>
  <si>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</si>
  <si>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</si>
  <si>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</si>
  <si>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</si>
  <si>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</si>
  <si>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</si>
  <si>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</si>
  <si>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</si>
  <si>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</si>
  <si>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</si>
  <si>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</si>
  <si>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</si>
  <si>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</si>
  <si>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</si>
  <si>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</si>
  <si>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</si>
  <si>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</si>
  <si>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</si>
  <si>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</si>
  <si>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</si>
  <si>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</si>
  <si>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</si>
  <si>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</si>
  <si>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</si>
  <si>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</si>
  <si>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</si>
  <si>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</si>
  <si>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</si>
  <si>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</si>
  <si>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</si>
  <si>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</si>
  <si>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</si>
  <si>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</si>
  <si>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</si>
  <si>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</si>
  <si>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</si>
  <si>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</si>
  <si>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</si>
  <si>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</si>
  <si>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</si>
  <si>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</si>
  <si>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</si>
  <si>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</si>
  <si>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</si>
  <si>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</si>
  <si>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</si>
  <si>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</si>
  <si>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</si>
  <si>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</si>
  <si>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</si>
  <si>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</si>
  <si>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</si>
  <si>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</si>
  <si>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</si>
  <si>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</si>
  <si>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</si>
  <si>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</si>
  <si>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</si>
  <si>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</si>
  <si>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</si>
  <si>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</si>
  <si>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</si>
  <si>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</si>
  <si>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</si>
  <si>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</si>
  <si>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</si>
  <si>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</si>
  <si>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</si>
  <si>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</si>
  <si>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</si>
  <si>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</si>
  <si>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</si>
  <si>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</si>
  <si>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</si>
  <si>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</si>
  <si>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</si>
  <si>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</si>
  <si>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</si>
  <si>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</si>
  <si>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</si>
  <si>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</si>
  <si>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</si>
  <si>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</si>
  <si>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</si>
  <si>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</si>
  <si>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</si>
  <si>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</si>
  <si>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</si>
  <si>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</si>
  <si>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</si>
  <si>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</si>
  <si>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</si>
  <si>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</si>
  <si>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</si>
  <si>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</si>
  <si>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</si>
  <si>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</si>
  <si>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</si>
  <si>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</si>
  <si>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</si>
  <si>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</si>
  <si>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</si>
  <si>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</si>
  <si>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</si>
  <si>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</si>
  <si>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</si>
  <si>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</si>
  <si>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</si>
  <si>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</si>
  <si>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</si>
  <si>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</si>
  <si>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</si>
  <si>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</si>
  <si>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</si>
  <si>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</si>
  <si>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</si>
  <si>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</si>
  <si>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</si>
  <si>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</si>
  <si>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</si>
  <si>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</si>
  <si>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</si>
  <si>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</si>
  <si>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</si>
  <si>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</si>
  <si>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</si>
  <si>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</si>
  <si>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</si>
  <si>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</si>
  <si>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</si>
  <si>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</si>
  <si>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</si>
  <si>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</si>
  <si>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</si>
  <si>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</si>
  <si>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</si>
  <si>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</si>
  <si>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</si>
  <si>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</si>
  <si>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</si>
  <si>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</si>
  <si>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</si>
  <si>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</si>
  <si>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</si>
  <si>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</si>
  <si>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</si>
  <si>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</si>
  <si>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</si>
  <si>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</si>
  <si>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</si>
  <si>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</si>
  <si>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</si>
  <si>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</si>
  <si>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</si>
  <si>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</si>
  <si>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</si>
  <si>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</si>
  <si>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</si>
  <si>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</si>
  <si>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</si>
  <si>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</si>
  <si>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</si>
  <si>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</si>
  <si>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</si>
  <si>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</si>
  <si>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</si>
  <si>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</si>
  <si>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</si>
  <si>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</si>
  <si>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</si>
  <si>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</si>
  <si>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</si>
  <si>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</si>
  <si>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</si>
  <si>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</si>
  <si>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</si>
  <si>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</si>
  <si>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</si>
  <si>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</si>
  <si>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</si>
  <si>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</si>
  <si>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</si>
  <si>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</si>
  <si>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</si>
  <si>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</si>
  <si>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</si>
  <si>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</si>
  <si>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</si>
  <si>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</si>
  <si>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</si>
  <si>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</si>
  <si>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</si>
  <si>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</si>
  <si>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</si>
  <si>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</si>
  <si>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</si>
  <si>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</si>
  <si>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</si>
  <si>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</si>
  <si>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</si>
  <si>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</si>
  <si>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</si>
  <si>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</si>
  <si>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</si>
  <si>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</si>
  <si>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</si>
  <si>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</si>
  <si>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</si>
  <si>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</si>
  <si>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</si>
  <si>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</si>
  <si>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</si>
  <si>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</si>
  <si>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</si>
  <si>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</si>
  <si>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</si>
  <si>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</si>
  <si>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</si>
  <si>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</si>
  <si>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</si>
  <si>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</si>
  <si>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</si>
  <si>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</si>
  <si>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</si>
  <si>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</si>
  <si>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</si>
  <si>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</si>
  <si>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</si>
  <si>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</si>
  <si>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</si>
  <si>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</si>
  <si>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</si>
  <si>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</si>
  <si>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</si>
  <si>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</si>
  <si>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</si>
  <si>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</si>
  <si>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</si>
  <si>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</si>
  <si>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</si>
  <si>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</si>
  <si>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</si>
  <si>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</si>
  <si>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</si>
  <si>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</si>
  <si>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</si>
  <si>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</si>
  <si>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</si>
  <si>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</si>
  <si>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</si>
  <si>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</si>
  <si>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</si>
  <si>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</si>
  <si>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</si>
  <si>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</si>
  <si>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</si>
  <si>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</si>
  <si>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</si>
  <si>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</si>
  <si>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</si>
  <si>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</si>
  <si>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</si>
  <si>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</si>
  <si>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</si>
  <si>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</si>
  <si>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</si>
  <si>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</si>
  <si>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</si>
  <si>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</si>
  <si>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</si>
  <si>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</si>
  <si>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</si>
  <si>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</si>
  <si>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</si>
  <si>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</si>
  <si>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</si>
  <si>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</si>
  <si>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</si>
  <si>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</si>
  <si>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</si>
  <si>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</si>
  <si>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</si>
  <si>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</si>
  <si>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</si>
  <si>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</si>
  <si>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</si>
  <si>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</si>
  <si>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</si>
  <si>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</si>
  <si>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</si>
  <si>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</si>
  <si>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</si>
  <si>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</si>
  <si>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</si>
  <si>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</si>
  <si>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</si>
  <si>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</si>
  <si>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</si>
  <si>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</si>
  <si>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</si>
  <si>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</si>
  <si>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</si>
  <si>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</si>
  <si>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</si>
  <si>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</si>
  <si>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</si>
  <si>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</si>
  <si>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</si>
  <si>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</si>
  <si>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</si>
  <si>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</si>
  <si>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</si>
  <si>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</si>
  <si>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</si>
  <si>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</si>
  <si>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</si>
  <si>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</si>
  <si>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</si>
  <si>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</si>
  <si>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</si>
  <si>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</si>
  <si>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</si>
  <si>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</si>
  <si>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</si>
  <si>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</si>
  <si>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</si>
  <si>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</si>
  <si>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</si>
  <si>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</si>
  <si>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</si>
  <si>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</si>
  <si>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</si>
  <si>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</si>
  <si>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</si>
  <si>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</si>
  <si>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</si>
  <si>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</si>
  <si>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</si>
  <si>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</si>
  <si>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</si>
  <si>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</si>
  <si>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</si>
  <si>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</si>
  <si>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</si>
  <si>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</si>
  <si>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</si>
  <si>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</si>
  <si>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</si>
  <si>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</si>
  <si>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</si>
  <si>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</si>
  <si>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</si>
  <si>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</si>
  <si>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</si>
  <si>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</si>
  <si>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</si>
  <si>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</si>
  <si>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</si>
  <si>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</si>
  <si>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</si>
  <si>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</si>
  <si>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</si>
  <si>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</si>
  <si>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</si>
  <si>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</si>
  <si>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</si>
  <si>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</si>
  <si>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</si>
  <si>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</si>
  <si>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</si>
  <si>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</si>
  <si>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</si>
  <si>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</si>
  <si>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</si>
  <si>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</si>
  <si>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</si>
  <si>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</si>
  <si>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</si>
  <si>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</si>
  <si>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</si>
  <si>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</si>
  <si>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</si>
  <si>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</si>
  <si>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</si>
  <si>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</si>
  <si>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</si>
  <si>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</si>
  <si>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</si>
  <si>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</si>
  <si>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</si>
  <si>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</si>
  <si>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</si>
  <si>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</si>
  <si>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</si>
  <si>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</si>
  <si>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</si>
  <si>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</si>
  <si>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</si>
  <si>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</si>
  <si>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</si>
  <si>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</si>
  <si>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</si>
  <si>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</si>
  <si>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</si>
  <si>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</si>
  <si>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</si>
  <si>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</si>
  <si>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</si>
  <si>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</si>
  <si>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</si>
  <si>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</si>
  <si>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</si>
  <si>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</si>
  <si>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</si>
  <si>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</si>
  <si>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</si>
  <si>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</si>
  <si>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</si>
  <si>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</si>
  <si>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</si>
  <si>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</si>
  <si>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</si>
  <si>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</si>
  <si>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</si>
  <si>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</si>
  <si>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</si>
  <si>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</si>
  <si>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</si>
  <si>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</si>
  <si>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</si>
  <si>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</si>
  <si>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</si>
  <si>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</si>
  <si>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</si>
  <si>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</si>
  <si>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</si>
  <si>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</si>
  <si>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</si>
  <si>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</si>
  <si>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</si>
  <si>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</si>
  <si>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</si>
  <si>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</si>
  <si>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</si>
  <si>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</si>
  <si>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</si>
  <si>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</si>
  <si>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</si>
  <si>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</si>
  <si>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</si>
  <si>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</si>
  <si>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</si>
  <si>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</si>
  <si>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</si>
  <si>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</si>
  <si>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</si>
  <si>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</si>
  <si>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</si>
  <si>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</si>
  <si>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</si>
  <si>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</si>
  <si>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</si>
  <si>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</si>
  <si>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</si>
  <si>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</si>
  <si>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</si>
  <si>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</si>
  <si>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</si>
  <si>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</si>
  <si>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</si>
  <si>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</si>
  <si>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</si>
  <si>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</si>
  <si>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</si>
  <si>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</si>
  <si>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</si>
  <si>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</si>
  <si>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</si>
  <si>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</si>
  <si>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</si>
  <si>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</si>
  <si>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</si>
  <si>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</si>
  <si>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</si>
  <si>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</si>
  <si>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</si>
  <si>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</si>
  <si>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</si>
  <si>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</si>
  <si>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</si>
  <si>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</si>
  <si>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</si>
  <si>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</si>
  <si>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</si>
  <si>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</si>
  <si>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</si>
  <si>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</si>
  <si>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</si>
  <si>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</si>
  <si>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</si>
  <si>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</si>
  <si>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</si>
  <si>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</si>
  <si>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</si>
  <si>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</si>
  <si>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</si>
  <si>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</si>
  <si>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</si>
  <si>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</si>
  <si>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</si>
  <si>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</si>
  <si>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</si>
  <si>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</si>
  <si>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</si>
  <si>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</si>
  <si>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</si>
  <si>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</si>
  <si>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</si>
  <si>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</si>
  <si>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</si>
  <si>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</si>
  <si>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</si>
  <si>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</si>
  <si>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</si>
  <si>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</si>
  <si>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</si>
  <si>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</si>
  <si>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</si>
  <si>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</si>
  <si>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</si>
  <si>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</si>
  <si>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</si>
  <si>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</si>
  <si>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</si>
  <si>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</si>
  <si>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</si>
  <si>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</si>
  <si>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</si>
  <si>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</si>
  <si>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</si>
  <si>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</si>
  <si>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</si>
  <si>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</si>
  <si>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</si>
  <si>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</si>
  <si>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</si>
  <si>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</si>
  <si>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</si>
  <si>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</si>
  <si>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</si>
  <si>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</si>
  <si>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</si>
  <si>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</si>
  <si>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</si>
  <si>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</si>
  <si>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</si>
  <si>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</si>
  <si>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</si>
  <si>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</si>
  <si>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</si>
  <si>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</si>
  <si>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</si>
  <si>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</si>
  <si>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</si>
  <si>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</si>
  <si>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</si>
  <si>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</si>
  <si>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</si>
  <si>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</si>
  <si>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</si>
  <si>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</si>
  <si>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</si>
  <si>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</si>
  <si>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</si>
  <si>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</si>
  <si>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</si>
  <si>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</si>
  <si>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</si>
  <si>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</si>
  <si>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</si>
  <si>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</si>
  <si>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</si>
  <si>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</si>
  <si>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</si>
  <si>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</si>
  <si>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</si>
  <si>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</si>
  <si>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</si>
  <si>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</si>
  <si>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</si>
  <si>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</si>
  <si>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</si>
  <si>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</si>
  <si>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</si>
  <si>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</si>
  <si>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</si>
  <si>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</si>
  <si>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</si>
  <si>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</si>
  <si>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</si>
  <si>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</si>
  <si>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</si>
  <si>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</si>
  <si>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</si>
  <si>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</si>
  <si>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</si>
  <si>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</si>
  <si>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</si>
  <si>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</si>
  <si>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</si>
  <si>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</si>
  <si>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</si>
  <si>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</si>
  <si>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</si>
  <si>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</si>
  <si>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</si>
  <si>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</si>
  <si>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</si>
  <si>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</si>
  <si>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</si>
  <si>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</si>
  <si>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</si>
  <si>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</si>
  <si>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</si>
  <si>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</si>
  <si>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</si>
  <si>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</si>
  <si>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</si>
  <si>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</si>
  <si>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</si>
  <si>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</si>
  <si>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</si>
  <si>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</si>
  <si>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</si>
  <si>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</si>
  <si>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</si>
  <si>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</si>
  <si>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</si>
  <si>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</si>
  <si>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</si>
  <si>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</si>
  <si>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</si>
  <si>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</si>
  <si>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</si>
  <si>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</si>
  <si>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</si>
  <si>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</si>
  <si>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</si>
  <si>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</si>
  <si>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</si>
  <si>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</si>
  <si>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</si>
  <si>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</si>
  <si>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</si>
  <si>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</si>
  <si>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</si>
  <si>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</si>
  <si>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</si>
  <si>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</si>
  <si>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</si>
  <si>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</si>
  <si>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</si>
  <si>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</si>
  <si>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</si>
  <si>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</si>
  <si>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</si>
  <si>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</si>
  <si>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</si>
  <si>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</si>
  <si>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</si>
  <si>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</si>
  <si>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</si>
  <si>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</si>
  <si>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</si>
  <si>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</si>
  <si>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</si>
  <si>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</si>
  <si>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</si>
  <si>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</si>
  <si>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</si>
  <si>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</si>
  <si>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</si>
  <si>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</si>
  <si>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</si>
  <si>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</si>
  <si>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</si>
  <si>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</si>
  <si>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</si>
  <si>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</si>
  <si>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</si>
  <si>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</si>
  <si>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</si>
  <si>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</si>
  <si>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</si>
  <si>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</si>
  <si>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</si>
  <si>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</si>
  <si>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</si>
  <si>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</si>
  <si>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</si>
  <si>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</si>
  <si>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</si>
  <si>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</si>
  <si>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</si>
  <si>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</si>
  <si>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</si>
  <si>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</si>
  <si>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</si>
  <si>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</si>
  <si>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</si>
  <si>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</si>
  <si>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</si>
  <si>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</si>
  <si>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</si>
  <si>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</si>
  <si>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</si>
  <si>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</si>
  <si>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</si>
  <si>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</si>
  <si>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</si>
  <si>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</si>
  <si>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</si>
  <si>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</si>
  <si>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</si>
  <si>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</si>
  <si>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</si>
  <si>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</si>
  <si>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</si>
  <si>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</si>
  <si>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</si>
  <si>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</si>
  <si>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</si>
  <si>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</si>
  <si>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</si>
  <si>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</si>
  <si>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</si>
  <si>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</si>
  <si>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</si>
  <si>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</si>
  <si>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</si>
  <si>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</si>
  <si>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</si>
  <si>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</si>
  <si>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</si>
  <si>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</si>
  <si>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</si>
  <si>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</si>
  <si>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</si>
  <si>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</si>
  <si>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</si>
  <si>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</si>
  <si>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</si>
  <si>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</si>
  <si>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</si>
  <si>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</si>
  <si>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</si>
  <si>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</si>
  <si>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</si>
  <si>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</si>
  <si>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</si>
  <si>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</si>
  <si>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</si>
  <si>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</si>
  <si>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</si>
  <si>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</si>
  <si>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</si>
  <si>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</si>
  <si>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</si>
  <si>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</si>
  <si>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</si>
  <si>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</si>
  <si>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</si>
  <si>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</si>
  <si>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</si>
  <si>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</si>
  <si>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</si>
  <si>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</si>
  <si>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</si>
  <si>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</si>
  <si>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</si>
  <si>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</si>
  <si>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</si>
  <si>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</si>
  <si>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</si>
  <si>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</si>
  <si>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</si>
  <si>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</si>
  <si>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</si>
  <si>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</si>
  <si>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</si>
  <si>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</si>
  <si>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</si>
  <si>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</si>
  <si>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</si>
  <si>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</si>
  <si>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</si>
  <si>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</si>
  <si>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</si>
  <si>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</si>
  <si>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</si>
  <si>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</si>
  <si>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</si>
  <si>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</si>
  <si>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</si>
  <si>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</si>
  <si>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</si>
  <si>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</si>
  <si>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</si>
  <si>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</si>
  <si>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</si>
  <si>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</si>
  <si>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</si>
  <si>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</si>
  <si>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</si>
  <si>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</si>
  <si>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</si>
  <si>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</si>
  <si>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</si>
  <si>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</si>
  <si>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</si>
  <si>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</si>
  <si>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</si>
  <si>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</si>
  <si>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</si>
  <si>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</si>
  <si>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</si>
  <si>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</si>
  <si>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</si>
  <si>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</si>
  <si>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</si>
  <si>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</si>
  <si>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</si>
  <si>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</si>
  <si>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</si>
  <si>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</si>
  <si>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</si>
  <si>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</si>
  <si>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</si>
  <si>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</si>
  <si>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</si>
  <si>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</si>
  <si>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</si>
  <si>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</si>
  <si>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</si>
  <si>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</si>
  <si>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</si>
  <si>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</si>
  <si>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</si>
  <si>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</si>
  <si>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</si>
  <si>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</si>
  <si>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</si>
  <si>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</si>
  <si>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</si>
  <si>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</si>
  <si>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</si>
  <si>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</si>
  <si>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</si>
  <si>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</si>
  <si>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</si>
  <si>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</si>
  <si>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</si>
  <si>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</si>
  <si>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</si>
  <si>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</si>
  <si>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</si>
  <si>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</si>
  <si>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</si>
  <si>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</si>
  <si>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</si>
  <si>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</si>
  <si>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</si>
  <si>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</si>
  <si>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</si>
  <si>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</si>
  <si>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</si>
  <si>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</si>
  <si>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24094</t>
  </si>
  <si>
    <t>ROTSELAAR</t>
  </si>
  <si>
    <t>Cultuurgrond (ha)</t>
  </si>
  <si>
    <t>Paarden&amp;pony's 200 - 600 kg</t>
  </si>
  <si>
    <t>Paarden&amp;pony's &lt; 200 kg</t>
  </si>
  <si>
    <t>Fluvius</t>
  </si>
  <si>
    <t>referentietaak LNE (2017); Jaarverslag De Lijn</t>
  </si>
  <si>
    <t>Ward Janssen</t>
  </si>
  <si>
    <t>Guldentop 23, 3118 Werchter</t>
  </si>
  <si>
    <t>WKK-0038 Ward Janssen</t>
  </si>
  <si>
    <t>interne verbrandingsmotor</t>
  </si>
  <si>
    <t>WKK interne verbrandinsgmotor (vloeibaar)</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</si>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</sst>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149842.46835940148</c:v>
                </c:pt>
                <c:pt idx="1">
                  <c:v>75889.98332924534</c:v>
                </c:pt>
                <c:pt idx="2">
                  <c:v>922.17499999999995</c:v>
                </c:pt>
                <c:pt idx="3">
                  <c:v>3209.2693133492498</c:v>
                </c:pt>
                <c:pt idx="4">
                  <c:v>47732.427407329968</c:v>
                </c:pt>
                <c:pt idx="5">
                  <c:v>168855.10944544192</c:v>
                </c:pt>
                <c:pt idx="6">
                  <c:v>1761.3538189918625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149842.46835940148</c:v>
                </c:pt>
                <c:pt idx="1">
                  <c:v>75889.98332924534</c:v>
                </c:pt>
                <c:pt idx="2">
                  <c:v>922.17499999999995</c:v>
                </c:pt>
                <c:pt idx="3">
                  <c:v>3209.2693133492498</c:v>
                </c:pt>
                <c:pt idx="4">
                  <c:v>47732.427407329968</c:v>
                </c:pt>
                <c:pt idx="5">
                  <c:v>168855.10944544192</c:v>
                </c:pt>
                <c:pt idx="6">
                  <c:v>1761.3538189918625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31667.883074736805</c:v>
                </c:pt>
                <c:pt idx="2">
                  <c:v>15470.448676981228</c:v>
                </c:pt>
                <c:pt idx="3">
                  <c:v>194.16210237025592</c:v>
                </c:pt>
                <c:pt idx="4">
                  <c:v>821.7024559760905</c:v>
                </c:pt>
                <c:pt idx="5">
                  <c:v>9872.7896130646059</c:v>
                </c:pt>
                <c:pt idx="6">
                  <c:v>42672.416272839408</c:v>
                </c:pt>
                <c:pt idx="7">
                  <c:v>450.24087580786193</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31667.883074736805</c:v>
                </c:pt>
                <c:pt idx="2">
                  <c:v>15470.448676981228</c:v>
                </c:pt>
                <c:pt idx="3">
                  <c:v>194.16210237025592</c:v>
                </c:pt>
                <c:pt idx="4">
                  <c:v>821.7024559760905</c:v>
                </c:pt>
                <c:pt idx="5">
                  <c:v>9872.7896130646059</c:v>
                </c:pt>
                <c:pt idx="6">
                  <c:v>42672.416272839408</c:v>
                </c:pt>
                <c:pt idx="7">
                  <c:v>450.24087580786193</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24094</v>
      </c>
      <c r="B6" s="395"/>
      <c r="C6" s="396"/>
    </row>
    <row r="7" spans="1:7" s="393" customFormat="1" ht="15.75" customHeight="1">
      <c r="A7" s="397" t="str">
        <f>txtMunicipality</f>
        <v>ROTSELAAR</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0.21054800050994218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0.21054800050994218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6310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935</v>
      </c>
      <c r="C14" s="332"/>
      <c r="D14" s="332"/>
      <c r="E14" s="332"/>
      <c r="F14" s="332"/>
    </row>
    <row r="15" spans="1:6">
      <c r="A15" s="1306" t="s">
        <v>183</v>
      </c>
      <c r="B15" s="1307">
        <v>1</v>
      </c>
      <c r="C15" s="332"/>
      <c r="D15" s="332"/>
      <c r="E15" s="332"/>
      <c r="F15" s="332"/>
    </row>
    <row r="16" spans="1:6">
      <c r="A16" s="1306" t="s">
        <v>6</v>
      </c>
      <c r="B16" s="1307">
        <v>0</v>
      </c>
      <c r="C16" s="332"/>
      <c r="D16" s="332"/>
      <c r="E16" s="332"/>
      <c r="F16" s="332"/>
    </row>
    <row r="17" spans="1:6">
      <c r="A17" s="1306" t="s">
        <v>7</v>
      </c>
      <c r="B17" s="1307">
        <v>57</v>
      </c>
      <c r="C17" s="332"/>
      <c r="D17" s="332"/>
      <c r="E17" s="332"/>
      <c r="F17" s="332"/>
    </row>
    <row r="18" spans="1:6">
      <c r="A18" s="1306" t="s">
        <v>8</v>
      </c>
      <c r="B18" s="1307">
        <v>55</v>
      </c>
      <c r="C18" s="332"/>
      <c r="D18" s="332"/>
      <c r="E18" s="332"/>
      <c r="F18" s="332"/>
    </row>
    <row r="19" spans="1:6">
      <c r="A19" s="1306" t="s">
        <v>9</v>
      </c>
      <c r="B19" s="1307">
        <v>50</v>
      </c>
      <c r="C19" s="332"/>
      <c r="D19" s="332"/>
      <c r="E19" s="332"/>
      <c r="F19" s="332"/>
    </row>
    <row r="20" spans="1:6">
      <c r="A20" s="1306" t="s">
        <v>10</v>
      </c>
      <c r="B20" s="1307">
        <v>92</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217</v>
      </c>
      <c r="C26" s="332"/>
      <c r="D26" s="332"/>
      <c r="E26" s="332"/>
      <c r="F26" s="332"/>
    </row>
    <row r="27" spans="1:6">
      <c r="A27" s="1306" t="s">
        <v>17</v>
      </c>
      <c r="B27" s="1307">
        <v>83</v>
      </c>
      <c r="C27" s="332"/>
      <c r="D27" s="332"/>
      <c r="E27" s="332"/>
      <c r="F27" s="332"/>
    </row>
    <row r="28" spans="1:6" s="43" customFormat="1">
      <c r="A28" s="1308" t="s">
        <v>18</v>
      </c>
      <c r="B28" s="1309">
        <v>0</v>
      </c>
      <c r="C28" s="338"/>
      <c r="D28" s="338"/>
      <c r="E28" s="338"/>
      <c r="F28" s="338"/>
    </row>
    <row r="29" spans="1:6">
      <c r="A29" s="1308" t="s">
        <v>916</v>
      </c>
      <c r="B29" s="1309">
        <v>25</v>
      </c>
      <c r="C29" s="338"/>
      <c r="D29" s="338"/>
      <c r="E29" s="338"/>
      <c r="F29" s="338"/>
    </row>
    <row r="30" spans="1:6">
      <c r="A30" s="1301" t="s">
        <v>917</v>
      </c>
      <c r="B30" s="1310">
        <v>13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122394.44655125</v>
      </c>
    </row>
    <row r="37" spans="1:6">
      <c r="A37" s="1306" t="s">
        <v>24</v>
      </c>
      <c r="B37" s="1306" t="s">
        <v>27</v>
      </c>
      <c r="C37" s="1307">
        <v>0</v>
      </c>
      <c r="D37" s="1307">
        <v>0</v>
      </c>
      <c r="E37" s="1307">
        <v>0</v>
      </c>
      <c r="F37" s="1307">
        <v>0</v>
      </c>
    </row>
    <row r="38" spans="1:6">
      <c r="A38" s="1306" t="s">
        <v>24</v>
      </c>
      <c r="B38" s="1306" t="s">
        <v>28</v>
      </c>
      <c r="C38" s="1307">
        <v>0</v>
      </c>
      <c r="D38" s="1307">
        <v>0</v>
      </c>
      <c r="E38" s="1307">
        <v>3</v>
      </c>
      <c r="F38" s="1307">
        <v>6193.4321447926004</v>
      </c>
    </row>
    <row r="39" spans="1:6">
      <c r="A39" s="1306" t="s">
        <v>29</v>
      </c>
      <c r="B39" s="1306" t="s">
        <v>30</v>
      </c>
      <c r="C39" s="1307">
        <v>2578</v>
      </c>
      <c r="D39" s="1307">
        <v>49896092.989532299</v>
      </c>
      <c r="E39" s="1307">
        <v>6232</v>
      </c>
      <c r="F39" s="1307">
        <v>27912234.7746558</v>
      </c>
    </row>
    <row r="40" spans="1:6">
      <c r="A40" s="1306" t="s">
        <v>29</v>
      </c>
      <c r="B40" s="1306" t="s">
        <v>28</v>
      </c>
      <c r="C40" s="1307">
        <v>0</v>
      </c>
      <c r="D40" s="1307">
        <v>0</v>
      </c>
      <c r="E40" s="1307">
        <v>0</v>
      </c>
      <c r="F40" s="1307">
        <v>0</v>
      </c>
    </row>
    <row r="41" spans="1:6">
      <c r="A41" s="1306" t="s">
        <v>31</v>
      </c>
      <c r="B41" s="1306" t="s">
        <v>32</v>
      </c>
      <c r="C41" s="1307">
        <v>3</v>
      </c>
      <c r="D41" s="1307">
        <v>77616.694143061395</v>
      </c>
      <c r="E41" s="1307">
        <v>82</v>
      </c>
      <c r="F41" s="1307">
        <v>1361171.77030361</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25440.9729803751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15068.426035049801</v>
      </c>
    </row>
    <row r="48" spans="1:6">
      <c r="A48" s="1306" t="s">
        <v>31</v>
      </c>
      <c r="B48" s="1306" t="s">
        <v>28</v>
      </c>
      <c r="C48" s="1307">
        <v>49</v>
      </c>
      <c r="D48" s="1307">
        <v>34858615.038399898</v>
      </c>
      <c r="E48" s="1307">
        <v>60</v>
      </c>
      <c r="F48" s="1307">
        <v>2025092.82670628</v>
      </c>
    </row>
    <row r="49" spans="1:6">
      <c r="A49" s="1306" t="s">
        <v>31</v>
      </c>
      <c r="B49" s="1306" t="s">
        <v>39</v>
      </c>
      <c r="C49" s="1307">
        <v>0</v>
      </c>
      <c r="D49" s="1307">
        <v>0</v>
      </c>
      <c r="E49" s="1307">
        <v>0</v>
      </c>
      <c r="F49" s="1307">
        <v>0</v>
      </c>
    </row>
    <row r="50" spans="1:6">
      <c r="A50" s="1306" t="s">
        <v>31</v>
      </c>
      <c r="B50" s="1306" t="s">
        <v>40</v>
      </c>
      <c r="C50" s="1307">
        <v>3</v>
      </c>
      <c r="D50" s="1307">
        <v>2546515.2141335201</v>
      </c>
      <c r="E50" s="1307">
        <v>3</v>
      </c>
      <c r="F50" s="1307">
        <v>2932496.8696963</v>
      </c>
    </row>
    <row r="51" spans="1:6">
      <c r="A51" s="1306" t="s">
        <v>41</v>
      </c>
      <c r="B51" s="1306" t="s">
        <v>42</v>
      </c>
      <c r="C51" s="1307">
        <v>0</v>
      </c>
      <c r="D51" s="1307">
        <v>0</v>
      </c>
      <c r="E51" s="1307">
        <v>18</v>
      </c>
      <c r="F51" s="1307">
        <v>520931.71898456902</v>
      </c>
    </row>
    <row r="52" spans="1:6">
      <c r="A52" s="1306" t="s">
        <v>41</v>
      </c>
      <c r="B52" s="1306" t="s">
        <v>28</v>
      </c>
      <c r="C52" s="1307">
        <v>3</v>
      </c>
      <c r="D52" s="1307">
        <v>92944.981947113294</v>
      </c>
      <c r="E52" s="1307">
        <v>15</v>
      </c>
      <c r="F52" s="1307">
        <v>156560.16188349799</v>
      </c>
    </row>
    <row r="53" spans="1:6">
      <c r="A53" s="1306" t="s">
        <v>43</v>
      </c>
      <c r="B53" s="1306" t="s">
        <v>44</v>
      </c>
      <c r="C53" s="1307">
        <v>76</v>
      </c>
      <c r="D53" s="1307">
        <v>1535208.08318155</v>
      </c>
      <c r="E53" s="1307">
        <v>214</v>
      </c>
      <c r="F53" s="1307">
        <v>997426.57652037998</v>
      </c>
    </row>
    <row r="54" spans="1:6">
      <c r="A54" s="1306" t="s">
        <v>45</v>
      </c>
      <c r="B54" s="1306" t="s">
        <v>46</v>
      </c>
      <c r="C54" s="1307">
        <v>0</v>
      </c>
      <c r="D54" s="1307">
        <v>0</v>
      </c>
      <c r="E54" s="1307">
        <v>1</v>
      </c>
      <c r="F54" s="1307">
        <v>922175</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13</v>
      </c>
      <c r="D57" s="1307">
        <v>369237.033772795</v>
      </c>
      <c r="E57" s="1307">
        <v>57</v>
      </c>
      <c r="F57" s="1307">
        <v>1817217.44957717</v>
      </c>
    </row>
    <row r="58" spans="1:6">
      <c r="A58" s="1306" t="s">
        <v>48</v>
      </c>
      <c r="B58" s="1306" t="s">
        <v>50</v>
      </c>
      <c r="C58" s="1307">
        <v>11</v>
      </c>
      <c r="D58" s="1307">
        <v>296462.36919127998</v>
      </c>
      <c r="E58" s="1307">
        <v>16</v>
      </c>
      <c r="F58" s="1307">
        <v>157390.521480847</v>
      </c>
    </row>
    <row r="59" spans="1:6">
      <c r="A59" s="1306" t="s">
        <v>48</v>
      </c>
      <c r="B59" s="1306" t="s">
        <v>51</v>
      </c>
      <c r="C59" s="1307">
        <v>7</v>
      </c>
      <c r="D59" s="1307">
        <v>317612.30680123199</v>
      </c>
      <c r="E59" s="1307">
        <v>34</v>
      </c>
      <c r="F59" s="1307">
        <v>1480773.2091552799</v>
      </c>
    </row>
    <row r="60" spans="1:6">
      <c r="A60" s="1306" t="s">
        <v>48</v>
      </c>
      <c r="B60" s="1306" t="s">
        <v>52</v>
      </c>
      <c r="C60" s="1307">
        <v>30</v>
      </c>
      <c r="D60" s="1307">
        <v>1317512.2432331</v>
      </c>
      <c r="E60" s="1307">
        <v>50</v>
      </c>
      <c r="F60" s="1307">
        <v>1905566.42188615</v>
      </c>
    </row>
    <row r="61" spans="1:6">
      <c r="A61" s="1306" t="s">
        <v>48</v>
      </c>
      <c r="B61" s="1306" t="s">
        <v>53</v>
      </c>
      <c r="C61" s="1307">
        <v>34</v>
      </c>
      <c r="D61" s="1307">
        <v>2486927.5065383199</v>
      </c>
      <c r="E61" s="1307">
        <v>224</v>
      </c>
      <c r="F61" s="1307">
        <v>2057133.1048739499</v>
      </c>
    </row>
    <row r="62" spans="1:6">
      <c r="A62" s="1306" t="s">
        <v>48</v>
      </c>
      <c r="B62" s="1306" t="s">
        <v>54</v>
      </c>
      <c r="C62" s="1307">
        <v>0</v>
      </c>
      <c r="D62" s="1307">
        <v>0</v>
      </c>
      <c r="E62" s="1307">
        <v>7</v>
      </c>
      <c r="F62" s="1307">
        <v>37797.9925132547</v>
      </c>
    </row>
    <row r="63" spans="1:6">
      <c r="A63" s="1306" t="s">
        <v>48</v>
      </c>
      <c r="B63" s="1306" t="s">
        <v>28</v>
      </c>
      <c r="C63" s="1307">
        <v>158</v>
      </c>
      <c r="D63" s="1307">
        <v>8669580.7523476109</v>
      </c>
      <c r="E63" s="1307">
        <v>238</v>
      </c>
      <c r="F63" s="1307">
        <v>41149874.573171698</v>
      </c>
    </row>
    <row r="64" spans="1:6">
      <c r="A64" s="1306" t="s">
        <v>55</v>
      </c>
      <c r="B64" s="1306" t="s">
        <v>56</v>
      </c>
      <c r="C64" s="1307">
        <v>0</v>
      </c>
      <c r="D64" s="1307">
        <v>0</v>
      </c>
      <c r="E64" s="1307">
        <v>0</v>
      </c>
      <c r="F64" s="1307">
        <v>0</v>
      </c>
    </row>
    <row r="65" spans="1:6">
      <c r="A65" s="1306" t="s">
        <v>55</v>
      </c>
      <c r="B65" s="1306" t="s">
        <v>28</v>
      </c>
      <c r="C65" s="1307">
        <v>1</v>
      </c>
      <c r="D65" s="1307">
        <v>40881.228600132003</v>
      </c>
      <c r="E65" s="1307">
        <v>4</v>
      </c>
      <c r="F65" s="1307">
        <v>81383.864513211694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3</v>
      </c>
      <c r="F68" s="1310">
        <v>80539.336178411599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82866596</v>
      </c>
      <c r="E73" s="456"/>
      <c r="F73" s="332"/>
    </row>
    <row r="74" spans="1:6">
      <c r="A74" s="1306" t="s">
        <v>63</v>
      </c>
      <c r="B74" s="1306" t="s">
        <v>724</v>
      </c>
      <c r="C74" s="1320" t="s">
        <v>725</v>
      </c>
      <c r="D74" s="1321">
        <v>5203566.9096396463</v>
      </c>
      <c r="E74" s="456"/>
      <c r="F74" s="332"/>
    </row>
    <row r="75" spans="1:6">
      <c r="A75" s="1306" t="s">
        <v>64</v>
      </c>
      <c r="B75" s="1306" t="s">
        <v>722</v>
      </c>
      <c r="C75" s="1320" t="s">
        <v>726</v>
      </c>
      <c r="D75" s="1321">
        <v>23250045</v>
      </c>
      <c r="E75" s="456"/>
      <c r="F75" s="332"/>
    </row>
    <row r="76" spans="1:6">
      <c r="A76" s="1306" t="s">
        <v>64</v>
      </c>
      <c r="B76" s="1306" t="s">
        <v>724</v>
      </c>
      <c r="C76" s="1320" t="s">
        <v>727</v>
      </c>
      <c r="D76" s="1321">
        <v>229630.90963964662</v>
      </c>
      <c r="E76" s="456"/>
      <c r="F76" s="332"/>
    </row>
    <row r="77" spans="1:6">
      <c r="A77" s="1306" t="s">
        <v>65</v>
      </c>
      <c r="B77" s="1306" t="s">
        <v>722</v>
      </c>
      <c r="C77" s="1320" t="s">
        <v>728</v>
      </c>
      <c r="D77" s="1321">
        <v>85450527</v>
      </c>
      <c r="E77" s="456"/>
      <c r="F77" s="332"/>
    </row>
    <row r="78" spans="1:6">
      <c r="A78" s="1301" t="s">
        <v>65</v>
      </c>
      <c r="B78" s="1301" t="s">
        <v>724</v>
      </c>
      <c r="C78" s="1301" t="s">
        <v>729</v>
      </c>
      <c r="D78" s="1322">
        <v>9057973</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466066.18072070676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170.3964125560538</v>
      </c>
      <c r="C89" s="332"/>
      <c r="D89" s="332"/>
      <c r="E89" s="332"/>
      <c r="F89" s="332"/>
    </row>
    <row r="90" spans="1:6">
      <c r="A90" s="1306" t="s">
        <v>561</v>
      </c>
      <c r="B90" s="1307">
        <v>0</v>
      </c>
      <c r="C90" s="332"/>
      <c r="D90" s="332"/>
      <c r="E90" s="332"/>
      <c r="F90" s="332"/>
    </row>
    <row r="91" spans="1:6">
      <c r="A91" s="1306" t="s">
        <v>67</v>
      </c>
      <c r="B91" s="1307">
        <v>3183.1155199502527</v>
      </c>
      <c r="C91" s="332"/>
      <c r="D91" s="332"/>
      <c r="E91" s="332"/>
      <c r="F91" s="332"/>
    </row>
    <row r="92" spans="1:6">
      <c r="A92" s="1301" t="s">
        <v>68</v>
      </c>
      <c r="B92" s="1302">
        <v>796.98393361527314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1003</v>
      </c>
      <c r="C97" s="332"/>
      <c r="D97" s="332"/>
      <c r="E97" s="332"/>
      <c r="F97" s="332"/>
    </row>
    <row r="98" spans="1:6">
      <c r="A98" s="1306" t="s">
        <v>71</v>
      </c>
      <c r="B98" s="1307">
        <v>4</v>
      </c>
      <c r="C98" s="332"/>
      <c r="D98" s="332"/>
      <c r="E98" s="332"/>
      <c r="F98" s="332"/>
    </row>
    <row r="99" spans="1:6">
      <c r="A99" s="1306" t="s">
        <v>72</v>
      </c>
      <c r="B99" s="1307">
        <v>252</v>
      </c>
      <c r="C99" s="332"/>
      <c r="D99" s="332"/>
      <c r="E99" s="332"/>
      <c r="F99" s="332"/>
    </row>
    <row r="100" spans="1:6">
      <c r="A100" s="1306" t="s">
        <v>73</v>
      </c>
      <c r="B100" s="1307">
        <v>479</v>
      </c>
      <c r="C100" s="332"/>
      <c r="D100" s="332"/>
      <c r="E100" s="332"/>
      <c r="F100" s="332"/>
    </row>
    <row r="101" spans="1:6">
      <c r="A101" s="1306" t="s">
        <v>74</v>
      </c>
      <c r="B101" s="1307">
        <v>73</v>
      </c>
      <c r="C101" s="332"/>
      <c r="D101" s="332"/>
      <c r="E101" s="332"/>
      <c r="F101" s="332"/>
    </row>
    <row r="102" spans="1:6">
      <c r="A102" s="1306" t="s">
        <v>75</v>
      </c>
      <c r="B102" s="1307">
        <v>50</v>
      </c>
      <c r="C102" s="332"/>
      <c r="D102" s="332"/>
      <c r="E102" s="332"/>
      <c r="F102" s="332"/>
    </row>
    <row r="103" spans="1:6">
      <c r="A103" s="1306" t="s">
        <v>76</v>
      </c>
      <c r="B103" s="1307">
        <v>111</v>
      </c>
      <c r="C103" s="332"/>
      <c r="D103" s="332"/>
      <c r="E103" s="332"/>
      <c r="F103" s="332"/>
    </row>
    <row r="104" spans="1:6">
      <c r="A104" s="1306" t="s">
        <v>77</v>
      </c>
      <c r="B104" s="1307">
        <v>3569</v>
      </c>
      <c r="C104" s="332"/>
      <c r="D104" s="332"/>
      <c r="E104" s="332"/>
      <c r="F104" s="332"/>
    </row>
    <row r="105" spans="1:6">
      <c r="A105" s="1301" t="s">
        <v>78</v>
      </c>
      <c r="B105" s="1310">
        <v>16</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26</v>
      </c>
      <c r="C123" s="1307">
        <v>18</v>
      </c>
      <c r="D123" s="332"/>
      <c r="E123" s="332"/>
      <c r="F123" s="332"/>
    </row>
    <row r="124" spans="1:6" s="43" customFormat="1">
      <c r="A124" s="1308" t="s">
        <v>88</v>
      </c>
      <c r="B124" s="1329">
        <v>1</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163</v>
      </c>
      <c r="C129" s="332"/>
      <c r="D129" s="332"/>
      <c r="E129" s="332"/>
      <c r="F129" s="332"/>
    </row>
    <row r="130" spans="1:6">
      <c r="A130" s="1306" t="s">
        <v>294</v>
      </c>
      <c r="B130" s="1307">
        <v>1</v>
      </c>
      <c r="C130" s="332"/>
      <c r="D130" s="332"/>
      <c r="E130" s="332"/>
      <c r="F130" s="332"/>
    </row>
    <row r="131" spans="1:6">
      <c r="A131" s="1306" t="s">
        <v>295</v>
      </c>
      <c r="B131" s="1307">
        <v>0</v>
      </c>
      <c r="C131" s="332"/>
      <c r="D131" s="332"/>
      <c r="E131" s="332"/>
      <c r="F131" s="332"/>
    </row>
    <row r="132" spans="1:6">
      <c r="A132" s="1301" t="s">
        <v>296</v>
      </c>
      <c r="B132" s="1302">
        <v>15</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88710.737815749817</v>
      </c>
      <c r="C3" s="43" t="s">
        <v>169</v>
      </c>
      <c r="D3" s="43"/>
      <c r="E3" s="156"/>
      <c r="F3" s="43"/>
      <c r="G3" s="43"/>
      <c r="H3" s="43"/>
      <c r="I3" s="43"/>
      <c r="J3" s="43"/>
      <c r="K3" s="96"/>
    </row>
    <row r="4" spans="1:11">
      <c r="A4" s="363" t="s">
        <v>170</v>
      </c>
      <c r="B4" s="49">
        <f>IF(ISERROR('SEAP template'!B78+'SEAP template'!C78),0,'SEAP template'!B78+'SEAP template'!C78)</f>
        <v>4195.4958661215796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0.21054800050994218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50.625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922.17499999999995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922.17499999999995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0.21054800050994218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194.16210237025592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27912.234774655801</v>
      </c>
      <c r="C5" s="17">
        <f>IF(ISERROR('Eigen informatie GS &amp; warmtenet'!B57),0,'Eigen informatie GS &amp; warmtenet'!B57)</f>
        <v>0</v>
      </c>
      <c r="D5" s="30">
        <f>(SUM(HH_hh_gas_kWh,HH_rest_gas_kWh)/1000)*0.902</f>
        <v>45006.275876558131</v>
      </c>
      <c r="E5" s="17">
        <f>B46*B57</f>
        <v>11057.847550744857</v>
      </c>
      <c r="F5" s="17">
        <f>B51*B62</f>
        <v>50634.532299503495</v>
      </c>
      <c r="G5" s="18"/>
      <c r="H5" s="17"/>
      <c r="I5" s="17"/>
      <c r="J5" s="17">
        <f>B50*B61+C50*C61</f>
        <v>0</v>
      </c>
      <c r="K5" s="17"/>
      <c r="L5" s="17"/>
      <c r="M5" s="17"/>
      <c r="N5" s="17">
        <f>B48*B59+C48*C59</f>
        <v>10964.699004655582</v>
      </c>
      <c r="O5" s="17">
        <f>B69*B70*B71</f>
        <v>282.96333333333337</v>
      </c>
      <c r="P5" s="17">
        <f>B77*B78*B79/1000-B77*B78*B79/1000/B80</f>
        <v>800.8</v>
      </c>
    </row>
    <row r="6" spans="1:16">
      <c r="A6" s="16" t="s">
        <v>633</v>
      </c>
      <c r="B6" s="779">
        <f>kWh_PV_kleiner_dan_10kW</f>
        <v>3183.1155199502527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31095.350294606054</v>
      </c>
      <c r="C8" s="21">
        <f>C5</f>
        <v>0</v>
      </c>
      <c r="D8" s="21">
        <f>D5</f>
        <v>45006.275876558131</v>
      </c>
      <c r="E8" s="21">
        <f>E5</f>
        <v>11057.847550744857</v>
      </c>
      <c r="F8" s="21">
        <f>F5</f>
        <v>50634.532299503495</v>
      </c>
      <c r="G8" s="21"/>
      <c r="H8" s="21"/>
      <c r="I8" s="21"/>
      <c r="J8" s="21">
        <f>J5</f>
        <v>0</v>
      </c>
      <c r="K8" s="21"/>
      <c r="L8" s="21">
        <f>L5</f>
        <v>0</v>
      </c>
      <c r="M8" s="21">
        <f>M5</f>
        <v>0</v>
      </c>
      <c r="N8" s="21">
        <f>N5</f>
        <v>10964.699004655582</v>
      </c>
      <c r="O8" s="21">
        <f>O5</f>
        <v>282.96333333333337</v>
      </c>
      <c r="P8" s="21">
        <f>P5</f>
        <v>800.8</v>
      </c>
    </row>
    <row r="9" spans="1:16">
      <c r="B9" s="19"/>
      <c r="C9" s="19"/>
      <c r="D9" s="261"/>
      <c r="E9" s="19"/>
      <c r="F9" s="19"/>
      <c r="G9" s="19"/>
      <c r="H9" s="19"/>
      <c r="I9" s="19"/>
      <c r="J9" s="19"/>
      <c r="K9" s="19"/>
      <c r="L9" s="19"/>
      <c r="M9" s="19"/>
      <c r="N9" s="19"/>
      <c r="O9" s="19"/>
      <c r="P9" s="19"/>
    </row>
    <row r="10" spans="1:16">
      <c r="A10" s="24" t="s">
        <v>213</v>
      </c>
      <c r="B10" s="25">
        <f ca="1">'EF ele_warmte'!B12</f>
        <v>0.21054800050994218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6547.0638296855468</v>
      </c>
      <c r="C12" s="23">
        <f ca="1">C10*C8</f>
        <v>0</v>
      </c>
      <c r="D12" s="23">
        <f>D8*D10</f>
        <v>9091.2677270647437</v>
      </c>
      <c r="E12" s="23">
        <f>E10*E8</f>
        <v>2510.1313940190826</v>
      </c>
      <c r="F12" s="23">
        <f>F10*F8</f>
        <v>13519.420123967433</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1003</v>
      </c>
      <c r="C18" s="168" t="s">
        <v>110</v>
      </c>
      <c r="D18" s="230"/>
      <c r="E18" s="15"/>
    </row>
    <row r="19" spans="1:7">
      <c r="A19" s="173" t="s">
        <v>71</v>
      </c>
      <c r="B19" s="37">
        <f>aantalw2001_ander</f>
        <v>4</v>
      </c>
      <c r="C19" s="168" t="s">
        <v>110</v>
      </c>
      <c r="D19" s="231"/>
      <c r="E19" s="15"/>
    </row>
    <row r="20" spans="1:7">
      <c r="A20" s="173" t="s">
        <v>72</v>
      </c>
      <c r="B20" s="37">
        <f>aantalw2001_propaan</f>
        <v>252</v>
      </c>
      <c r="C20" s="169">
        <f>IF(ISERROR(B20/SUM($B$20,$B$21,$B$22)*100),0,B20/SUM($B$20,$B$21,$B$22)*100)</f>
        <v>31.343283582089555</v>
      </c>
      <c r="D20" s="231"/>
      <c r="E20" s="15"/>
    </row>
    <row r="21" spans="1:7">
      <c r="A21" s="173" t="s">
        <v>73</v>
      </c>
      <c r="B21" s="37">
        <f>aantalw2001_elektriciteit</f>
        <v>479</v>
      </c>
      <c r="C21" s="169">
        <f>IF(ISERROR(B21/SUM($B$20,$B$21,$B$22)*100),0,B21/SUM($B$20,$B$21,$B$22)*100)</f>
        <v>59.5771144278607</v>
      </c>
      <c r="D21" s="231"/>
      <c r="E21" s="15"/>
    </row>
    <row r="22" spans="1:7">
      <c r="A22" s="173" t="s">
        <v>74</v>
      </c>
      <c r="B22" s="37">
        <f>aantalw2001_hout</f>
        <v>73</v>
      </c>
      <c r="C22" s="169">
        <f>IF(ISERROR(B22/SUM($B$20,$B$21,$B$22)*100),0,B22/SUM($B$20,$B$21,$B$22)*100)</f>
        <v>9.0796019900497509</v>
      </c>
      <c r="D22" s="231"/>
      <c r="E22" s="15"/>
    </row>
    <row r="23" spans="1:7">
      <c r="A23" s="173" t="s">
        <v>75</v>
      </c>
      <c r="B23" s="37">
        <f>aantalw2001_niet_gespec</f>
        <v>50</v>
      </c>
      <c r="C23" s="168" t="s">
        <v>110</v>
      </c>
      <c r="D23" s="230"/>
      <c r="E23" s="15"/>
    </row>
    <row r="24" spans="1:7">
      <c r="A24" s="173" t="s">
        <v>76</v>
      </c>
      <c r="B24" s="37">
        <f>aantalw2001_steenkool</f>
        <v>111</v>
      </c>
      <c r="C24" s="168" t="s">
        <v>110</v>
      </c>
      <c r="D24" s="231"/>
      <c r="E24" s="15"/>
    </row>
    <row r="25" spans="1:7">
      <c r="A25" s="173" t="s">
        <v>77</v>
      </c>
      <c r="B25" s="37">
        <f>aantalw2001_stookolie</f>
        <v>3569</v>
      </c>
      <c r="C25" s="168" t="s">
        <v>110</v>
      </c>
      <c r="D25" s="230"/>
      <c r="E25" s="52"/>
    </row>
    <row r="26" spans="1:7">
      <c r="A26" s="173" t="s">
        <v>78</v>
      </c>
      <c r="B26" s="37">
        <f>aantalw2001_WP</f>
        <v>16</v>
      </c>
      <c r="C26" s="168" t="s">
        <v>110</v>
      </c>
      <c r="D26" s="230"/>
      <c r="E26" s="15"/>
    </row>
    <row r="27" spans="1:7" s="15" customFormat="1">
      <c r="A27" s="173"/>
      <c r="B27" s="29"/>
      <c r="C27" s="36"/>
      <c r="D27" s="230"/>
    </row>
    <row r="28" spans="1:7" s="15" customFormat="1">
      <c r="A28" s="232" t="s">
        <v>742</v>
      </c>
      <c r="B28" s="37">
        <f>aantalHuishoudens</f>
        <v>6310</v>
      </c>
      <c r="C28" s="36"/>
      <c r="D28" s="230"/>
    </row>
    <row r="29" spans="1:7" s="15" customFormat="1">
      <c r="A29" s="232" t="s">
        <v>743</v>
      </c>
      <c r="B29" s="37">
        <f>SUM(HH_hh_gas_aantal,HH_rest_gas_aantal)</f>
        <v>2578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2578</v>
      </c>
      <c r="C32" s="169">
        <f>IF(ISERROR(B32/SUM($B$32,$B$34,$B$35,$B$36,$B$38,$B$39)*100),0,B32/SUM($B$32,$B$34,$B$35,$B$36,$B$38,$B$39)*100)</f>
        <v>41.129546904913852</v>
      </c>
      <c r="D32" s="235"/>
      <c r="G32" s="15"/>
    </row>
    <row r="33" spans="1:7">
      <c r="A33" s="173" t="s">
        <v>71</v>
      </c>
      <c r="B33" s="34" t="s">
        <v>110</v>
      </c>
      <c r="C33" s="169"/>
      <c r="D33" s="235"/>
      <c r="G33" s="15"/>
    </row>
    <row r="34" spans="1:7">
      <c r="A34" s="173" t="s">
        <v>72</v>
      </c>
      <c r="B34" s="33">
        <f>IF((($B$28-$B$32-$B$39-$B$77-$B$38)*C20/100)&lt;0,0,($B$28-$B$32-$B$39-$B$77-$B$38)*C20/100)</f>
        <v>482.21641791044777</v>
      </c>
      <c r="C34" s="169">
        <f>IF(ISERROR(B34/SUM($B$32,$B$34,$B$35,$B$36,$B$38,$B$39)*100),0,B34/SUM($B$32,$B$34,$B$35,$B$36,$B$38,$B$39)*100)</f>
        <v>7.6933059653868501</v>
      </c>
      <c r="D34" s="235"/>
      <c r="G34" s="15"/>
    </row>
    <row r="35" spans="1:7">
      <c r="A35" s="173" t="s">
        <v>73</v>
      </c>
      <c r="B35" s="33">
        <f>IF((($B$28-$B$32-$B$39-$B$77-$B$38)*C21/100)&lt;0,0,($B$28-$B$32-$B$39-$B$77-$B$38)*C21/100)</f>
        <v>916.59390547263683</v>
      </c>
      <c r="C35" s="169">
        <f>IF(ISERROR(B35/SUM($B$32,$B$34,$B$35,$B$36,$B$38,$B$39)*100),0,B35/SUM($B$32,$B$34,$B$35,$B$36,$B$38,$B$39)*100)</f>
        <v>14.623387132620245</v>
      </c>
      <c r="D35" s="235"/>
      <c r="G35" s="15"/>
    </row>
    <row r="36" spans="1:7">
      <c r="A36" s="173" t="s">
        <v>74</v>
      </c>
      <c r="B36" s="33">
        <f>IF((($B$28-$B$32-$B$39-$B$77-$B$38)*C22/100)&lt;0,0,($B$28-$B$32-$B$39-$B$77-$B$38)*C22/100)</f>
        <v>139.68967661691542</v>
      </c>
      <c r="C36" s="169">
        <f>IF(ISERROR(B36/SUM($B$32,$B$34,$B$35,$B$36,$B$38,$B$39)*100),0,B36/SUM($B$32,$B$34,$B$35,$B$36,$B$38,$B$39)*100)</f>
        <v>2.2286164106080952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2151.5</v>
      </c>
      <c r="C39" s="169">
        <f>IF(ISERROR(B39/SUM($B$32,$B$34,$B$35,$B$36,$B$38,$B$39)*100),0,B39/SUM($B$32,$B$34,$B$35,$B$36,$B$38,$B$39)*100)</f>
        <v>34.325143586470965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2578</v>
      </c>
      <c r="C44" s="34" t="s">
        <v>110</v>
      </c>
      <c r="D44" s="176"/>
    </row>
    <row r="45" spans="1:7">
      <c r="A45" s="173" t="s">
        <v>71</v>
      </c>
      <c r="B45" s="33" t="str">
        <f t="shared" si="0"/>
        <v>-</v>
      </c>
      <c r="C45" s="34" t="s">
        <v>110</v>
      </c>
      <c r="D45" s="176"/>
    </row>
    <row r="46" spans="1:7">
      <c r="A46" s="173" t="s">
        <v>72</v>
      </c>
      <c r="B46" s="33">
        <f t="shared" si="0"/>
        <v>482.21641791044777</v>
      </c>
      <c r="C46" s="34" t="s">
        <v>110</v>
      </c>
      <c r="D46" s="176"/>
    </row>
    <row r="47" spans="1:7">
      <c r="A47" s="173" t="s">
        <v>73</v>
      </c>
      <c r="B47" s="33">
        <f t="shared" si="0"/>
        <v>916.59390547263683</v>
      </c>
      <c r="C47" s="34" t="s">
        <v>110</v>
      </c>
      <c r="D47" s="176"/>
    </row>
    <row r="48" spans="1:7">
      <c r="A48" s="173" t="s">
        <v>74</v>
      </c>
      <c r="B48" s="33">
        <f t="shared" si="0"/>
        <v>139.68967661691542</v>
      </c>
      <c r="C48" s="33">
        <f>B48*10</f>
        <v>1396.8967661691543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2151.5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42</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48605.753272658352</v>
      </c>
      <c r="C5" s="17">
        <f>IF(ISERROR('Eigen informatie GS &amp; warmtenet'!B58),0,'Eigen informatie GS &amp; warmtenet'!B58)</f>
        <v>0</v>
      </c>
      <c r="D5" s="30">
        <f>SUM(D6:D12)</f>
        <v>12138.513655119674</v>
      </c>
      <c r="E5" s="17">
        <f>SUM(E6:E12)</f>
        <v>644.36425357103769</v>
      </c>
      <c r="F5" s="17">
        <f>SUM(F6:F12)</f>
        <v>9845.9902929801046</v>
      </c>
      <c r="G5" s="18"/>
      <c r="H5" s="17"/>
      <c r="I5" s="17"/>
      <c r="J5" s="17">
        <f>SUM(J6:J12)</f>
        <v>0</v>
      </c>
      <c r="K5" s="17"/>
      <c r="L5" s="17"/>
      <c r="M5" s="17"/>
      <c r="N5" s="17">
        <f>SUM(N6:N12)</f>
        <v>4539.1068549161719</v>
      </c>
      <c r="O5" s="17">
        <f>B38*B39*B40</f>
        <v>1.5633333333333335</v>
      </c>
      <c r="P5" s="17">
        <f>B46*B47*B48/1000-B46*B47*B48/1000/B49</f>
        <v>19.066666666666666</v>
      </c>
      <c r="R5" s="32"/>
    </row>
    <row r="6" spans="1:18">
      <c r="A6" s="32" t="s">
        <v>53</v>
      </c>
      <c r="B6" s="37">
        <f>B26</f>
        <v>2057.1331048739498</v>
      </c>
      <c r="C6" s="33"/>
      <c r="D6" s="37">
        <f>IF(ISERROR(TER_kantoor_gas_kWh/1000),0,TER_kantoor_gas_kWh/1000)*0.902</f>
        <v>2243.2086108975645</v>
      </c>
      <c r="E6" s="33">
        <f>$C$26*'E Balans VL '!I12/100/3.6*1000000</f>
        <v>7.9923976328891273</v>
      </c>
      <c r="F6" s="33">
        <f>$C$26*('E Balans VL '!L12+'E Balans VL '!N12)/100/3.6*1000000</f>
        <v>312.87122683243524</v>
      </c>
      <c r="G6" s="34"/>
      <c r="H6" s="33"/>
      <c r="I6" s="33"/>
      <c r="J6" s="33">
        <f>$C$26*('E Balans VL '!D12+'E Balans VL '!E12)/100/3.6*1000000</f>
        <v>0</v>
      </c>
      <c r="K6" s="33"/>
      <c r="L6" s="33"/>
      <c r="M6" s="33"/>
      <c r="N6" s="33">
        <f>$C$26*'E Balans VL '!Y12/100/3.6*1000000</f>
        <v>1.1337267792624839</v>
      </c>
      <c r="O6" s="33"/>
      <c r="P6" s="33"/>
      <c r="R6" s="32"/>
    </row>
    <row r="7" spans="1:18">
      <c r="A7" s="32" t="s">
        <v>52</v>
      </c>
      <c r="B7" s="37">
        <f t="shared" ref="B7:B12" si="0">B27</f>
        <v>1905.56642188615</v>
      </c>
      <c r="C7" s="33"/>
      <c r="D7" s="37">
        <f>IF(ISERROR(TER_horeca_gas_kWh/1000),0,TER_horeca_gas_kWh/1000)*0.902</f>
        <v>1188.3960433962561</v>
      </c>
      <c r="E7" s="33">
        <f>$C$27*'E Balans VL '!I9/100/3.6*1000000</f>
        <v>107.34106600889879</v>
      </c>
      <c r="F7" s="33">
        <f>$C$27*('E Balans VL '!L9+'E Balans VL '!N9)/100/3.6*1000000</f>
        <v>549.45127213919648</v>
      </c>
      <c r="G7" s="34"/>
      <c r="H7" s="33"/>
      <c r="I7" s="33"/>
      <c r="J7" s="33">
        <f>$C$27*('E Balans VL '!D9+'E Balans VL '!E9)/100/3.6*1000000</f>
        <v>0</v>
      </c>
      <c r="K7" s="33"/>
      <c r="L7" s="33"/>
      <c r="M7" s="33"/>
      <c r="N7" s="33">
        <f>$C$27*'E Balans VL '!Y9/100/3.6*1000000</f>
        <v>0.52611698682796515</v>
      </c>
      <c r="O7" s="33"/>
      <c r="P7" s="33"/>
      <c r="R7" s="32"/>
    </row>
    <row r="8" spans="1:18">
      <c r="A8" s="6" t="s">
        <v>51</v>
      </c>
      <c r="B8" s="37">
        <f t="shared" si="0"/>
        <v>1480.7732091552798</v>
      </c>
      <c r="C8" s="33"/>
      <c r="D8" s="37">
        <f>IF(ISERROR(TER_handel_gas_kWh/1000),0,TER_handel_gas_kWh/1000)*0.902</f>
        <v>286.48630073471122</v>
      </c>
      <c r="E8" s="33">
        <f>$C$28*'E Balans VL '!I13/100/3.6*1000000</f>
        <v>21.342965707683952</v>
      </c>
      <c r="F8" s="33">
        <f>$C$28*('E Balans VL '!L13+'E Balans VL '!N13)/100/3.6*1000000</f>
        <v>257.24479131131312</v>
      </c>
      <c r="G8" s="34"/>
      <c r="H8" s="33"/>
      <c r="I8" s="33"/>
      <c r="J8" s="33">
        <f>$C$28*('E Balans VL '!D13+'E Balans VL '!E13)/100/3.6*1000000</f>
        <v>0</v>
      </c>
      <c r="K8" s="33"/>
      <c r="L8" s="33"/>
      <c r="M8" s="33"/>
      <c r="N8" s="33">
        <f>$C$28*'E Balans VL '!Y13/100/3.6*1000000</f>
        <v>4.4365613776986539</v>
      </c>
      <c r="O8" s="33"/>
      <c r="P8" s="33"/>
      <c r="R8" s="32"/>
    </row>
    <row r="9" spans="1:18">
      <c r="A9" s="32" t="s">
        <v>50</v>
      </c>
      <c r="B9" s="37">
        <f t="shared" si="0"/>
        <v>157.39052148084701</v>
      </c>
      <c r="C9" s="33"/>
      <c r="D9" s="37">
        <f>IF(ISERROR(TER_gezond_gas_kWh/1000),0,TER_gezond_gas_kWh/1000)*0.902</f>
        <v>267.40905701053458</v>
      </c>
      <c r="E9" s="33">
        <f>$C$29*'E Balans VL '!I10/100/3.6*1000000</f>
        <v>0.16813387106659569</v>
      </c>
      <c r="F9" s="33">
        <f>$C$29*('E Balans VL '!L10+'E Balans VL '!N10)/100/3.6*1000000</f>
        <v>25.675177330967582</v>
      </c>
      <c r="G9" s="34"/>
      <c r="H9" s="33"/>
      <c r="I9" s="33"/>
      <c r="J9" s="33">
        <f>$C$29*('E Balans VL '!D10+'E Balans VL '!E10)/100/3.6*1000000</f>
        <v>0</v>
      </c>
      <c r="K9" s="33"/>
      <c r="L9" s="33"/>
      <c r="M9" s="33"/>
      <c r="N9" s="33">
        <f>$C$29*'E Balans VL '!Y10/100/3.6*1000000</f>
        <v>1.6202456134054051</v>
      </c>
      <c r="O9" s="33"/>
      <c r="P9" s="33"/>
      <c r="R9" s="32"/>
    </row>
    <row r="10" spans="1:18">
      <c r="A10" s="32" t="s">
        <v>49</v>
      </c>
      <c r="B10" s="37">
        <f t="shared" si="0"/>
        <v>1817.2174495771699</v>
      </c>
      <c r="C10" s="33"/>
      <c r="D10" s="37">
        <f>IF(ISERROR(TER_ander_gas_kWh/1000),0,TER_ander_gas_kWh/1000)*0.902</f>
        <v>333.0518044630611</v>
      </c>
      <c r="E10" s="33">
        <f>$C$30*'E Balans VL '!I14/100/3.6*1000000</f>
        <v>8.3571066313117139</v>
      </c>
      <c r="F10" s="33">
        <f>$C$30*('E Balans VL '!L14+'E Balans VL '!N14)/100/3.6*1000000</f>
        <v>544.67738982847857</v>
      </c>
      <c r="G10" s="34"/>
      <c r="H10" s="33"/>
      <c r="I10" s="33"/>
      <c r="J10" s="33">
        <f>$C$30*('E Balans VL '!D14+'E Balans VL '!E14)/100/3.6*1000000</f>
        <v>0</v>
      </c>
      <c r="K10" s="33"/>
      <c r="L10" s="33"/>
      <c r="M10" s="33"/>
      <c r="N10" s="33">
        <f>$C$30*'E Balans VL '!Y14/100/3.6*1000000</f>
        <v>1264.9033008264255</v>
      </c>
      <c r="O10" s="33"/>
      <c r="P10" s="33"/>
      <c r="R10" s="32"/>
    </row>
    <row r="11" spans="1:18">
      <c r="A11" s="32" t="s">
        <v>54</v>
      </c>
      <c r="B11" s="37">
        <f t="shared" si="0"/>
        <v>37.797992513254698</v>
      </c>
      <c r="C11" s="33"/>
      <c r="D11" s="37">
        <f>IF(ISERROR(TER_onderwijs_gas_kWh/1000),0,TER_onderwijs_gas_kWh/1000)*0.902</f>
        <v>0</v>
      </c>
      <c r="E11" s="33">
        <f>$C$31*'E Balans VL '!I11/100/3.6*1000000</f>
        <v>3.5062608823858442E-2</v>
      </c>
      <c r="F11" s="33">
        <f>$C$31*('E Balans VL '!L11+'E Balans VL '!N11)/100/3.6*1000000</f>
        <v>13.277566045506447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41149.874573171699</v>
      </c>
      <c r="C12" s="33"/>
      <c r="D12" s="37">
        <f>IF(ISERROR(TER_rest_gas_kWh/1000),0,TER_rest_gas_kWh/1000)*0.902</f>
        <v>7819.9618386175453</v>
      </c>
      <c r="E12" s="33">
        <f>$C$32*'E Balans VL '!I8/100/3.6*1000000</f>
        <v>499.12752111036366</v>
      </c>
      <c r="F12" s="33">
        <f>$C$32*('E Balans VL '!L8+'E Balans VL '!N8)/100/3.6*1000000</f>
        <v>8142.7928694922066</v>
      </c>
      <c r="G12" s="34"/>
      <c r="H12" s="33"/>
      <c r="I12" s="33"/>
      <c r="J12" s="33">
        <f>$C$32*('E Balans VL '!D8+'E Balans VL '!E8)/100/3.6*1000000</f>
        <v>0</v>
      </c>
      <c r="K12" s="33"/>
      <c r="L12" s="33"/>
      <c r="M12" s="33"/>
      <c r="N12" s="33">
        <f>$C$32*'E Balans VL '!Y8/100/3.6*1000000</f>
        <v>3266.4869033325517</v>
      </c>
      <c r="O12" s="33"/>
      <c r="P12" s="33"/>
      <c r="R12" s="32"/>
    </row>
    <row r="13" spans="1:18">
      <c r="A13" s="16" t="s">
        <v>496</v>
      </c>
      <c r="B13" s="249">
        <f ca="1">'lokale energieproductie'!N38+'lokale energieproductie'!N31</f>
        <v>45</v>
      </c>
      <c r="C13" s="249">
        <f ca="1">'lokale energieproductie'!O38+'lokale energieproductie'!O31</f>
        <v>50.625</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-112.5</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48650.753272658352</v>
      </c>
      <c r="C16" s="21">
        <f t="shared" ca="1" si="1"/>
        <v>50.625</v>
      </c>
      <c r="D16" s="21">
        <f t="shared" ca="1" si="1"/>
        <v>12138.513655119674</v>
      </c>
      <c r="E16" s="21">
        <f t="shared" si="1"/>
        <v>644.36425357103769</v>
      </c>
      <c r="F16" s="21">
        <f t="shared" ca="1" si="1"/>
        <v>9845.9902929801046</v>
      </c>
      <c r="G16" s="21">
        <f t="shared" si="1"/>
        <v>0</v>
      </c>
      <c r="H16" s="21">
        <f t="shared" si="1"/>
        <v>0</v>
      </c>
      <c r="I16" s="21">
        <f t="shared" si="1"/>
        <v>0</v>
      </c>
      <c r="J16" s="21">
        <f t="shared" si="1"/>
        <v>0</v>
      </c>
      <c r="K16" s="21">
        <f t="shared" si="1"/>
        <v>0</v>
      </c>
      <c r="L16" s="21">
        <f t="shared" ca="1" si="1"/>
        <v>0</v>
      </c>
      <c r="M16" s="21">
        <f t="shared" si="1"/>
        <v>0</v>
      </c>
      <c r="N16" s="21">
        <f t="shared" ca="1" si="1"/>
        <v>4539.1068549161719</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0.21054800050994218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10243.318824860742</v>
      </c>
      <c r="C20" s="23">
        <f t="shared" ref="C20:P20" ca="1" si="2">C16*C18</f>
        <v>0</v>
      </c>
      <c r="D20" s="23">
        <f t="shared" ca="1" si="2"/>
        <v>2451.9797583341742</v>
      </c>
      <c r="E20" s="23">
        <f t="shared" si="2"/>
        <v>146.27068556062557</v>
      </c>
      <c r="F20" s="23">
        <f t="shared" ca="1" si="2"/>
        <v>2628.8794082256882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2057.1331048739498</v>
      </c>
      <c r="C26" s="39">
        <f>IF(ISERROR(B26*3.6/1000000/'E Balans VL '!Z12*100),0,B26*3.6/1000000/'E Balans VL '!Z12*100)</f>
        <v>4.3694526118798392E-2</v>
      </c>
      <c r="D26" s="239" t="s">
        <v>689</v>
      </c>
      <c r="F26" s="6"/>
    </row>
    <row r="27" spans="1:18">
      <c r="A27" s="233" t="s">
        <v>52</v>
      </c>
      <c r="B27" s="33">
        <f>IF(ISERROR(TER_horeca_ele_kWh/1000),0,TER_horeca_ele_kWh/1000)</f>
        <v>1905.56642188615</v>
      </c>
      <c r="C27" s="39">
        <f>IF(ISERROR(B27*3.6/1000000/'E Balans VL '!Z9*100),0,B27*3.6/1000000/'E Balans VL '!Z9*100)</f>
        <v>0.14816939435035528</v>
      </c>
      <c r="D27" s="239" t="s">
        <v>689</v>
      </c>
      <c r="F27" s="6"/>
    </row>
    <row r="28" spans="1:18">
      <c r="A28" s="173" t="s">
        <v>51</v>
      </c>
      <c r="B28" s="33">
        <f>IF(ISERROR(TER_handel_ele_kWh/1000),0,TER_handel_ele_kWh/1000)</f>
        <v>1480.7732091552798</v>
      </c>
      <c r="C28" s="39">
        <f>IF(ISERROR(B28*3.6/1000000/'E Balans VL '!Z13*100),0,B28*3.6/1000000/'E Balans VL '!Z13*100)</f>
        <v>4.2366664209669024E-2</v>
      </c>
      <c r="D28" s="239" t="s">
        <v>689</v>
      </c>
      <c r="F28" s="6"/>
    </row>
    <row r="29" spans="1:18">
      <c r="A29" s="233" t="s">
        <v>50</v>
      </c>
      <c r="B29" s="33">
        <f>IF(ISERROR(TER_gezond_ele_kWh/1000),0,TER_gezond_ele_kWh/1000)</f>
        <v>157.39052148084701</v>
      </c>
      <c r="C29" s="39">
        <f>IF(ISERROR(B29*3.6/1000000/'E Balans VL '!Z10*100),0,B29*3.6/1000000/'E Balans VL '!Z10*100)</f>
        <v>1.7159224158502823E-2</v>
      </c>
      <c r="D29" s="239" t="s">
        <v>689</v>
      </c>
      <c r="F29" s="6"/>
    </row>
    <row r="30" spans="1:18">
      <c r="A30" s="233" t="s">
        <v>49</v>
      </c>
      <c r="B30" s="33">
        <f>IF(ISERROR(TER_ander_ele_kWh/1000),0,TER_ander_ele_kWh/1000)</f>
        <v>1817.2174495771699</v>
      </c>
      <c r="C30" s="39">
        <f>IF(ISERROR(B30*3.6/1000000/'E Balans VL '!Z14*100),0,B30*3.6/1000000/'E Balans VL '!Z14*100)</f>
        <v>0.13297985069999294</v>
      </c>
      <c r="D30" s="239" t="s">
        <v>689</v>
      </c>
      <c r="F30" s="6"/>
    </row>
    <row r="31" spans="1:18">
      <c r="A31" s="233" t="s">
        <v>54</v>
      </c>
      <c r="B31" s="33">
        <f>IF(ISERROR(TER_onderwijs_ele_kWh/1000),0,TER_onderwijs_ele_kWh/1000)</f>
        <v>37.797992513254698</v>
      </c>
      <c r="C31" s="39">
        <f>IF(ISERROR(B31*3.6/1000000/'E Balans VL '!Z11*100),0,B31*3.6/1000000/'E Balans VL '!Z11*100)</f>
        <v>7.5917548643024725E-3</v>
      </c>
      <c r="D31" s="239" t="s">
        <v>689</v>
      </c>
    </row>
    <row r="32" spans="1:18">
      <c r="A32" s="233" t="s">
        <v>259</v>
      </c>
      <c r="B32" s="33">
        <f>IF(ISERROR(TER_rest_ele_kWh/1000),0,TER_rest_ele_kWh/1000)</f>
        <v>41149.874573171699</v>
      </c>
      <c r="C32" s="39">
        <f>IF(ISERROR(B32*3.6/1000000/'E Balans VL '!Z8*100),0,B32*3.6/1000000/'E Balans VL '!Z8*100)</f>
        <v>0.33534650518130804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6359.2708657216153</v>
      </c>
      <c r="C5" s="17">
        <f>IF(ISERROR('Eigen informatie GS &amp; warmtenet'!B59),0,'Eigen informatie GS &amp; warmtenet'!B59)</f>
        <v>0</v>
      </c>
      <c r="D5" s="30">
        <f>SUM(D6:D15)</f>
        <v>33809.437745902185</v>
      </c>
      <c r="E5" s="17">
        <f>SUM(E6:E15)</f>
        <v>721.48175536376311</v>
      </c>
      <c r="F5" s="17">
        <f>SUM(F6:F15)</f>
        <v>5763.0109203657657</v>
      </c>
      <c r="G5" s="18"/>
      <c r="H5" s="17"/>
      <c r="I5" s="17"/>
      <c r="J5" s="17">
        <f>SUM(J6:J15)</f>
        <v>5.2292336393107055</v>
      </c>
      <c r="K5" s="17"/>
      <c r="L5" s="17"/>
      <c r="M5" s="17"/>
      <c r="N5" s="17">
        <f>SUM(N6:N15)</f>
        <v>1073.9968863373372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25.440972980375101</v>
      </c>
      <c r="C8" s="33"/>
      <c r="D8" s="37">
        <f>IF( ISERROR(IND_metaal_Gas_kWH/1000),0,IND_metaal_Gas_kWH/1000)*0.902</f>
        <v>0</v>
      </c>
      <c r="E8" s="33">
        <f>C30*'E Balans VL '!I18/100/3.6*1000000</f>
        <v>0.73076023769391218</v>
      </c>
      <c r="F8" s="33">
        <f>C30*'E Balans VL '!L18/100/3.6*1000000+C30*'E Balans VL '!N18/100/3.6*1000000</f>
        <v>6.5251202692378367</v>
      </c>
      <c r="G8" s="34"/>
      <c r="H8" s="33"/>
      <c r="I8" s="33"/>
      <c r="J8" s="40">
        <f>C30*'E Balans VL '!D18/100/3.6*1000000+C30*'E Balans VL '!E18/100/3.6*1000000</f>
        <v>0</v>
      </c>
      <c r="K8" s="33"/>
      <c r="L8" s="33"/>
      <c r="M8" s="33"/>
      <c r="N8" s="33">
        <f>C30*'E Balans VL '!Y18/100/3.6*1000000</f>
        <v>0.69077434880069866</v>
      </c>
      <c r="O8" s="33"/>
      <c r="P8" s="33"/>
      <c r="R8" s="32"/>
    </row>
    <row r="9" spans="1:18">
      <c r="A9" s="6" t="s">
        <v>32</v>
      </c>
      <c r="B9" s="37">
        <f t="shared" si="0"/>
        <v>1361.1717703036099</v>
      </c>
      <c r="C9" s="33"/>
      <c r="D9" s="37">
        <f>IF( ISERROR(IND_andere_gas_kWh/1000),0,IND_andere_gas_kWh/1000)*0.902</f>
        <v>70.010258117041374</v>
      </c>
      <c r="E9" s="33">
        <f>C31*'E Balans VL '!I19/100/3.6*1000000</f>
        <v>368.43573103581707</v>
      </c>
      <c r="F9" s="33">
        <f>C31*'E Balans VL '!L19/100/3.6*1000000+C31*'E Balans VL '!N19/100/3.6*1000000</f>
        <v>906.68444108448466</v>
      </c>
      <c r="G9" s="34"/>
      <c r="H9" s="33"/>
      <c r="I9" s="33"/>
      <c r="J9" s="40">
        <f>C31*'E Balans VL '!D19/100/3.6*1000000+C31*'E Balans VL '!E19/100/3.6*1000000</f>
        <v>0</v>
      </c>
      <c r="K9" s="33"/>
      <c r="L9" s="33"/>
      <c r="M9" s="33"/>
      <c r="N9" s="33">
        <f>C31*'E Balans VL '!Y19/100/3.6*1000000</f>
        <v>115.07805644584677</v>
      </c>
      <c r="O9" s="33"/>
      <c r="P9" s="33"/>
      <c r="R9" s="32"/>
    </row>
    <row r="10" spans="1:18">
      <c r="A10" s="6" t="s">
        <v>40</v>
      </c>
      <c r="B10" s="37">
        <f t="shared" si="0"/>
        <v>2932.4968696963001</v>
      </c>
      <c r="C10" s="33"/>
      <c r="D10" s="37">
        <f>IF( ISERROR(IND_voed_gas_kWh/1000),0,IND_voed_gas_kWh/1000)*0.902</f>
        <v>2296.9567231484352</v>
      </c>
      <c r="E10" s="33">
        <f>C32*'E Balans VL '!I20/100/3.6*1000000</f>
        <v>239.18118192867635</v>
      </c>
      <c r="F10" s="33">
        <f>C32*'E Balans VL '!L20/100/3.6*1000000+C32*'E Balans VL '!N20/100/3.6*1000000</f>
        <v>4372.6188921456724</v>
      </c>
      <c r="G10" s="34"/>
      <c r="H10" s="33"/>
      <c r="I10" s="33"/>
      <c r="J10" s="40">
        <f>C32*'E Balans VL '!D20/100/3.6*1000000+C32*'E Balans VL '!E20/100/3.6*1000000</f>
        <v>3.8793374012401217E-2</v>
      </c>
      <c r="K10" s="33"/>
      <c r="L10" s="33"/>
      <c r="M10" s="33"/>
      <c r="N10" s="33">
        <f>C32*'E Balans VL '!Y20/100/3.6*1000000</f>
        <v>861.46410365990789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15.0684260350498</v>
      </c>
      <c r="C13" s="33"/>
      <c r="D13" s="37">
        <f>IF( ISERROR(IND_papier_gas_kWh/1000),0,IND_papier_gas_kWh/1000)*0.902</f>
        <v>0</v>
      </c>
      <c r="E13" s="33">
        <f>C35*'E Balans VL '!I23/100/3.6*1000000</f>
        <v>0.15786921403921619</v>
      </c>
      <c r="F13" s="33">
        <f>C35*'E Balans VL '!L23/100/3.6*1000000+C35*'E Balans VL '!N23/100/3.6*1000000</f>
        <v>1.1244086215541547</v>
      </c>
      <c r="G13" s="34"/>
      <c r="H13" s="33"/>
      <c r="I13" s="33"/>
      <c r="J13" s="40">
        <f>C35*'E Balans VL '!D23/100/3.6*1000000+C35*'E Balans VL '!E23/100/3.6*1000000</f>
        <v>0</v>
      </c>
      <c r="K13" s="33"/>
      <c r="L13" s="33"/>
      <c r="M13" s="33"/>
      <c r="N13" s="33">
        <f>C35*'E Balans VL '!Y23/100/3.6*1000000</f>
        <v>2.7797987867041538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2025.09282670628</v>
      </c>
      <c r="C15" s="33"/>
      <c r="D15" s="37">
        <f>IF( ISERROR(IND_rest_gas_kWh/1000),0,IND_rest_gas_kWh/1000)*0.902</f>
        <v>31442.47076463671</v>
      </c>
      <c r="E15" s="33">
        <f>C37*'E Balans VL '!I15/100/3.6*1000000</f>
        <v>112.97621294753654</v>
      </c>
      <c r="F15" s="33">
        <f>C37*'E Balans VL '!L15/100/3.6*1000000+C37*'E Balans VL '!N15/100/3.6*1000000</f>
        <v>476.058058244817</v>
      </c>
      <c r="G15" s="34"/>
      <c r="H15" s="33"/>
      <c r="I15" s="33"/>
      <c r="J15" s="40">
        <f>C37*'E Balans VL '!D15/100/3.6*1000000+C37*'E Balans VL '!E15/100/3.6*1000000</f>
        <v>5.1904402652983039</v>
      </c>
      <c r="K15" s="33"/>
      <c r="L15" s="33"/>
      <c r="M15" s="33"/>
      <c r="N15" s="33">
        <f>C37*'E Balans VL '!Y15/100/3.6*1000000</f>
        <v>93.984153096077748</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6359.2708657216153</v>
      </c>
      <c r="C18" s="21">
        <f>C5+C16</f>
        <v>0</v>
      </c>
      <c r="D18" s="21">
        <f>MAX((D5+D16),0)</f>
        <v>33809.437745902185</v>
      </c>
      <c r="E18" s="21">
        <f>MAX((E5+E16),0)</f>
        <v>721.48175536376311</v>
      </c>
      <c r="F18" s="21">
        <f>MAX((F5+F16),0)</f>
        <v>5763.0109203657657</v>
      </c>
      <c r="G18" s="21"/>
      <c r="H18" s="21"/>
      <c r="I18" s="21"/>
      <c r="J18" s="21">
        <f>MAX((J5+J16),0)</f>
        <v>5.2292336393107055</v>
      </c>
      <c r="K18" s="21"/>
      <c r="L18" s="21">
        <f>MAX((L5+L16),0)</f>
        <v>0</v>
      </c>
      <c r="M18" s="21"/>
      <c r="N18" s="21">
        <f>MAX((N5+N16),0)</f>
        <v>1073.9968863373372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0.21054800050994218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1338.9317654788151</v>
      </c>
      <c r="C22" s="23">
        <f ca="1">C18*C20</f>
        <v>0</v>
      </c>
      <c r="D22" s="23">
        <f>D18*D20</f>
        <v>6829.5064246722422</v>
      </c>
      <c r="E22" s="23">
        <f>E18*E20</f>
        <v>163.77635846757423</v>
      </c>
      <c r="F22" s="23">
        <f>F18*F20</f>
        <v>1538.7239157376596</v>
      </c>
      <c r="G22" s="23"/>
      <c r="H22" s="23"/>
      <c r="I22" s="23"/>
      <c r="J22" s="23">
        <f>J18*J20</f>
        <v>1.8511487083159897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25.440972980375101</v>
      </c>
      <c r="C30" s="39">
        <f>IF(ISERROR(B30*3.6/1000000/'E Balans VL '!Z18*100),0,B30*3.6/1000000/'E Balans VL '!Z18*100)</f>
        <v>2.5033267973830421E-3</v>
      </c>
      <c r="D30" s="239" t="s">
        <v>689</v>
      </c>
    </row>
    <row r="31" spans="1:18">
      <c r="A31" s="6" t="s">
        <v>32</v>
      </c>
      <c r="B31" s="37">
        <f>IF( ISERROR(IND_ander_ele_kWh/1000),0,IND_ander_ele_kWh/1000)</f>
        <v>1361.1717703036099</v>
      </c>
      <c r="C31" s="39">
        <f>IF(ISERROR(B31*3.6/1000000/'E Balans VL '!Z19*100),0,B31*3.6/1000000/'E Balans VL '!Z19*100)</f>
        <v>5.9277944800696834E-2</v>
      </c>
      <c r="D31" s="239" t="s">
        <v>689</v>
      </c>
    </row>
    <row r="32" spans="1:18">
      <c r="A32" s="173" t="s">
        <v>40</v>
      </c>
      <c r="B32" s="37">
        <f>IF( ISERROR(IND_voed_ele_kWh/1000),0,IND_voed_ele_kWh/1000)</f>
        <v>2932.4968696963001</v>
      </c>
      <c r="C32" s="39">
        <f>IF(ISERROR(B32*3.6/1000000/'E Balans VL '!Z20*100),0,B32*3.6/1000000/'E Balans VL '!Z20*100)</f>
        <v>0.55639898981927849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15.0684260350498</v>
      </c>
      <c r="C35" s="39">
        <f>IF(ISERROR(B35*3.6/1000000/'E Balans VL '!Z22*100),0,B35*3.6/1000000/'E Balans VL '!Z22*100)</f>
        <v>2.1187720129458936E-3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2025.09282670628</v>
      </c>
      <c r="C37" s="39">
        <f>IF(ISERROR(B37*3.6/1000000/'E Balans VL '!Z15*100),0,B37*3.6/1000000/'E Balans VL '!Z15*100)</f>
        <v>1.5605827556472121E-2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677.49188086806703</v>
      </c>
      <c r="C5" s="17">
        <f>'Eigen informatie GS &amp; warmtenet'!B60</f>
        <v>0</v>
      </c>
      <c r="D5" s="30">
        <f>IF(ISERROR(SUM(LB_lb_gas_kWh,LB_rest_gas_kWh)/1000),0,SUM(LB_lb_gas_kWh,LB_rest_gas_kWh)/1000)*0.902</f>
        <v>83.836373716296194</v>
      </c>
      <c r="E5" s="17">
        <f>B17*'E Balans VL '!I25/3.6*1000000/100</f>
        <v>8.5372704859357569</v>
      </c>
      <c r="F5" s="17">
        <f>B17*('E Balans VL '!L25/3.6*1000000+'E Balans VL '!N25/3.6*1000000)/100</f>
        <v>2337.5167108522855</v>
      </c>
      <c r="G5" s="18"/>
      <c r="H5" s="17"/>
      <c r="I5" s="17"/>
      <c r="J5" s="17">
        <f>('E Balans VL '!D25+'E Balans VL '!E25)/3.6*1000000*landbouw!B17/100</f>
        <v>101.88707742666524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677.49188086806703</v>
      </c>
      <c r="C8" s="21">
        <f>C5+C6</f>
        <v>0</v>
      </c>
      <c r="D8" s="21">
        <f>MAX((D5+D6),0)</f>
        <v>83.836373716296194</v>
      </c>
      <c r="E8" s="21">
        <f>MAX((E5+E6),0)</f>
        <v>8.5372704859357569</v>
      </c>
      <c r="F8" s="21">
        <f>MAX((F5+F6),0)</f>
        <v>2337.5167108522855</v>
      </c>
      <c r="G8" s="21"/>
      <c r="H8" s="21"/>
      <c r="I8" s="21"/>
      <c r="J8" s="21">
        <f>MAX((J5+J6),0)</f>
        <v>101.88707742666524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0.21054800050994218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142.64456087849146</v>
      </c>
      <c r="C12" s="23">
        <f ca="1">C8*C10</f>
        <v>0</v>
      </c>
      <c r="D12" s="23">
        <f>D8*D10</f>
        <v>16.934947490691833</v>
      </c>
      <c r="E12" s="23">
        <f>E8*E10</f>
        <v>1.9379604003074169</v>
      </c>
      <c r="F12" s="23">
        <f>F8*F10</f>
        <v>624.11696179756029</v>
      </c>
      <c r="G12" s="23"/>
      <c r="H12" s="23"/>
      <c r="I12" s="23"/>
      <c r="J12" s="23">
        <f>J8*J10</f>
        <v>36.068025409039493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9.4488764076490706E-2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16.455392681719424</v>
      </c>
      <c r="C26" s="249">
        <f>B26*'GWP N2O_CH4'!B5</f>
        <v>345.56324631610789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1.1569563434193282</v>
      </c>
      <c r="C27" s="249">
        <f>B27*'GWP N2O_CH4'!B5</f>
        <v>24.296083211805893</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0.2463979689486343</v>
      </c>
      <c r="C28" s="249">
        <f>B28*'GWP N2O_CH4'!B4</f>
        <v>76.383370374076634</v>
      </c>
      <c r="D28" s="50"/>
    </row>
    <row r="29" spans="1:4">
      <c r="A29" s="41" t="s">
        <v>276</v>
      </c>
      <c r="B29" s="249">
        <f>B34*'ha_N2O bodem landbouw'!B4</f>
        <v>5.5694435855593865</v>
      </c>
      <c r="C29" s="249">
        <f>B29*'GWP N2O_CH4'!B4</f>
        <v>1726.5275115234099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1.3906344118806285E-3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2.9771731351273599E-5</v>
      </c>
      <c r="C5" s="444" t="s">
        <v>210</v>
      </c>
      <c r="D5" s="429">
        <f>SUM(D6:D11)</f>
        <v>4.7817423962468397E-5</v>
      </c>
      <c r="E5" s="429">
        <f>SUM(E6:E11)</f>
        <v>1.8696908745650304E-3</v>
      </c>
      <c r="F5" s="442" t="s">
        <v>210</v>
      </c>
      <c r="G5" s="429">
        <f>SUM(G6:G11)</f>
        <v>0.49059251211256982</v>
      </c>
      <c r="H5" s="429">
        <f>SUM(H6:H11)</f>
        <v>8.9125102495948891E-2</v>
      </c>
      <c r="I5" s="444" t="s">
        <v>210</v>
      </c>
      <c r="J5" s="444" t="s">
        <v>210</v>
      </c>
      <c r="K5" s="444" t="s">
        <v>210</v>
      </c>
      <c r="L5" s="444" t="s">
        <v>210</v>
      </c>
      <c r="M5" s="429">
        <f>SUM(M6:M11)</f>
        <v>2.6213499365193415E-2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1.2878417840924202E-5</v>
      </c>
      <c r="C6" s="883"/>
      <c r="D6" s="883">
        <f>vkm_GW_PW*SUMIFS(TableVerdeelsleutelVkm[CNG],TableVerdeelsleutelVkm[Voertuigtype],"Lichte voertuigen")*SUMIFS(TableECFTransport[EnergieConsumptieFactor (PJ per km)],TableECFTransport[Index],CONCATENATE($A6,"_CNG_CNG"))</f>
        <v>1.9085431648539382E-5</v>
      </c>
      <c r="E6" s="883">
        <f>vkm_GW_PW*SUMIFS(TableVerdeelsleutelVkm[LPG],TableVerdeelsleutelVkm[Voertuigtype],"Lichte voertuigen")*SUMIFS(TableECFTransport[EnergieConsumptieFactor (PJ per km)],TableECFTransport[Index],CONCATENATE($A6,"_LPG_LPG"))</f>
        <v>6.8357042275920242E-4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0.13757060395013054</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3.5144377138364345E-2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7.8135303023471811E-3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4.9268384450528682E-2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1.1447186541922946E-6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2.22454445952149E-3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3.6133232060152499E-6</v>
      </c>
      <c r="C8" s="883"/>
      <c r="D8" s="432">
        <f>vkm_NGW_PW*SUMIFS(TableVerdeelsleutelVkm[CNG],TableVerdeelsleutelVkm[Voertuigtype],"Lichte voertuigen")*SUMIFS(TableECFTransport[EnergieConsumptieFactor (PJ per km)],TableECFTransport[Index],CONCATENATE($A8,"_CNG_CNG"))</f>
        <v>9.0872936172419357E-6</v>
      </c>
      <c r="E8" s="432">
        <f>vkm_NGW_PW*SUMIFS(TableVerdeelsleutelVkm[LPG],TableVerdeelsleutelVkm[Voertuigtype],"Lichte voertuigen")*SUMIFS(TableECFTransport[EnergieConsumptieFactor (PJ per km)],TableECFTransport[Index],CONCATENATE($A8,"_LPG_LPG"))</f>
        <v>3.077559472978568E-4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5.8834955471426337E-2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1.6079471082493267E-2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3.3894525768090392E-3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2.8083542140801203E-3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7.5630997149905535E-8</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1.2680204947624561E-4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1.327999030433415E-5</v>
      </c>
      <c r="C10" s="883"/>
      <c r="D10" s="432">
        <f>vkm_SW_PW*SUMIFS(TableVerdeelsleutelVkm[CNG],TableVerdeelsleutelVkm[Voertuigtype],"Lichte voertuigen")*SUMIFS(TableECFTransport[EnergieConsumptieFactor (PJ per km)],TableECFTransport[Index],CONCATENATE($A10,"_CNG_CNG"))</f>
        <v>1.9644698696687079E-5</v>
      </c>
      <c r="E10" s="432">
        <f>vkm_SW_PW*SUMIFS(TableVerdeelsleutelVkm[LPG],TableVerdeelsleutelVkm[Voertuigtype],"Lichte voertuigen")*SUMIFS(TableECFTransport[EnergieConsumptieFactor (PJ per km)],TableECFTransport[Index],CONCATENATE($A10,"_LPG_LPG"))</f>
        <v>8.7836450450797128E-4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0.16025080456848226</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3.7898005161452766E-2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8.9630840868986997E-3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8.1859409457921917E-2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2.0287639871712077E-6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3.6960858901407571E-3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8.2699253753537771</v>
      </c>
      <c r="C14" s="21"/>
      <c r="D14" s="21">
        <f t="shared" ref="D14:M14" si="0">((D5)*10^9/3600)+D12</f>
        <v>13.282617767352333</v>
      </c>
      <c r="E14" s="21">
        <f t="shared" si="0"/>
        <v>519.35857626806398</v>
      </c>
      <c r="F14" s="21"/>
      <c r="G14" s="21">
        <f t="shared" si="0"/>
        <v>136275.69780904718</v>
      </c>
      <c r="H14" s="21">
        <f t="shared" si="0"/>
        <v>24756.972915541359</v>
      </c>
      <c r="I14" s="21"/>
      <c r="J14" s="21"/>
      <c r="K14" s="21"/>
      <c r="L14" s="21"/>
      <c r="M14" s="21">
        <f t="shared" si="0"/>
        <v>7281.5276014426154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0.21054800050994218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1.7412162521471708</v>
      </c>
      <c r="C18" s="23"/>
      <c r="D18" s="23">
        <f t="shared" ref="D18:M18" si="1">D14*D16</f>
        <v>2.6830887890051716</v>
      </c>
      <c r="E18" s="23">
        <f t="shared" si="1"/>
        <v>117.89439681285053</v>
      </c>
      <c r="F18" s="23"/>
      <c r="G18" s="23">
        <f t="shared" si="1"/>
        <v>36385.611315015602</v>
      </c>
      <c r="H18" s="23">
        <f t="shared" si="1"/>
        <v>6164.4862559697985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6.0706634940385874E-3</v>
      </c>
      <c r="H50" s="321">
        <f t="shared" si="2"/>
        <v>0</v>
      </c>
      <c r="I50" s="321">
        <f t="shared" si="2"/>
        <v>0</v>
      </c>
      <c r="J50" s="321">
        <f t="shared" si="2"/>
        <v>0</v>
      </c>
      <c r="K50" s="321">
        <f t="shared" si="2"/>
        <v>0</v>
      </c>
      <c r="L50" s="321">
        <f t="shared" si="2"/>
        <v>0</v>
      </c>
      <c r="M50" s="321">
        <f t="shared" si="2"/>
        <v>2.7021025433211798E-4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6.0706634940385874E-3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2.7021025433211798E-4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1686.2954150107187</v>
      </c>
      <c r="H54" s="21">
        <f t="shared" si="3"/>
        <v>0</v>
      </c>
      <c r="I54" s="21">
        <f t="shared" si="3"/>
        <v>0</v>
      </c>
      <c r="J54" s="21">
        <f t="shared" si="3"/>
        <v>0</v>
      </c>
      <c r="K54" s="21">
        <f t="shared" si="3"/>
        <v>0</v>
      </c>
      <c r="L54" s="21">
        <f t="shared" si="3"/>
        <v>0</v>
      </c>
      <c r="M54" s="21">
        <f t="shared" si="3"/>
        <v>75.058403981143883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0.21054800050994218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450.24087580786193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49572.928272658355</v>
      </c>
      <c r="D10" s="686">
        <f ca="1">tertiair!C16</f>
        <v>50.625</v>
      </c>
      <c r="E10" s="686">
        <f ca="1">tertiair!D16</f>
        <v>12138.513655119674</v>
      </c>
      <c r="F10" s="686">
        <f>tertiair!E16</f>
        <v>644.36425357103769</v>
      </c>
      <c r="G10" s="686">
        <f ca="1">tertiair!F16</f>
        <v>9845.9902929801046</v>
      </c>
      <c r="H10" s="686">
        <f>tertiair!G16</f>
        <v>0</v>
      </c>
      <c r="I10" s="686">
        <f>tertiair!H16</f>
        <v>0</v>
      </c>
      <c r="J10" s="686">
        <f>tertiair!I16</f>
        <v>0</v>
      </c>
      <c r="K10" s="686">
        <f>tertiair!J16</f>
        <v>0</v>
      </c>
      <c r="L10" s="686">
        <f>tertiair!K16</f>
        <v>0</v>
      </c>
      <c r="M10" s="686">
        <f ca="1">tertiair!L16</f>
        <v>0</v>
      </c>
      <c r="N10" s="686">
        <f>tertiair!M16</f>
        <v>0</v>
      </c>
      <c r="O10" s="686">
        <f ca="1">tertiair!N16</f>
        <v>4539.1068549161719</v>
      </c>
      <c r="P10" s="686">
        <f>tertiair!O16</f>
        <v>1.5633333333333335</v>
      </c>
      <c r="Q10" s="687">
        <f>tertiair!P16</f>
        <v>19.066666666666666</v>
      </c>
      <c r="R10" s="689">
        <f ca="1">SUM(C10:Q10)</f>
        <v>76812.158329245343</v>
      </c>
      <c r="S10" s="67"/>
    </row>
    <row r="11" spans="1:19" s="454" customFormat="1">
      <c r="A11" s="801" t="s">
        <v>224</v>
      </c>
      <c r="B11" s="806"/>
      <c r="C11" s="686">
        <f>huishoudens!B8</f>
        <v>31095.350294606054</v>
      </c>
      <c r="D11" s="686">
        <f>huishoudens!C8</f>
        <v>0</v>
      </c>
      <c r="E11" s="686">
        <f>huishoudens!D8</f>
        <v>45006.275876558131</v>
      </c>
      <c r="F11" s="686">
        <f>huishoudens!E8</f>
        <v>11057.847550744857</v>
      </c>
      <c r="G11" s="686">
        <f>huishoudens!F8</f>
        <v>50634.532299503495</v>
      </c>
      <c r="H11" s="686">
        <f>huishoudens!G8</f>
        <v>0</v>
      </c>
      <c r="I11" s="686">
        <f>huishoudens!H8</f>
        <v>0</v>
      </c>
      <c r="J11" s="686">
        <f>huishoudens!I8</f>
        <v>0</v>
      </c>
      <c r="K11" s="686">
        <f>huishoudens!J8</f>
        <v>0</v>
      </c>
      <c r="L11" s="686">
        <f>huishoudens!K8</f>
        <v>0</v>
      </c>
      <c r="M11" s="686">
        <f>huishoudens!L8</f>
        <v>0</v>
      </c>
      <c r="N11" s="686">
        <f>huishoudens!M8</f>
        <v>0</v>
      </c>
      <c r="O11" s="686">
        <f>huishoudens!N8</f>
        <v>10964.699004655582</v>
      </c>
      <c r="P11" s="686">
        <f>huishoudens!O8</f>
        <v>282.96333333333337</v>
      </c>
      <c r="Q11" s="687">
        <f>huishoudens!P8</f>
        <v>800.8</v>
      </c>
      <c r="R11" s="689">
        <f>SUM(C11:Q11)</f>
        <v>149842.46835940148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6359.2708657216153</v>
      </c>
      <c r="D13" s="686">
        <f>industrie!C18</f>
        <v>0</v>
      </c>
      <c r="E13" s="686">
        <f>industrie!D18</f>
        <v>33809.437745902185</v>
      </c>
      <c r="F13" s="686">
        <f>industrie!E18</f>
        <v>721.48175536376311</v>
      </c>
      <c r="G13" s="686">
        <f>industrie!F18</f>
        <v>5763.0109203657657</v>
      </c>
      <c r="H13" s="686">
        <f>industrie!G18</f>
        <v>0</v>
      </c>
      <c r="I13" s="686">
        <f>industrie!H18</f>
        <v>0</v>
      </c>
      <c r="J13" s="686">
        <f>industrie!I18</f>
        <v>0</v>
      </c>
      <c r="K13" s="686">
        <f>industrie!J18</f>
        <v>5.2292336393107055</v>
      </c>
      <c r="L13" s="686">
        <f>industrie!K18</f>
        <v>0</v>
      </c>
      <c r="M13" s="686">
        <f>industrie!L18</f>
        <v>0</v>
      </c>
      <c r="N13" s="686">
        <f>industrie!M18</f>
        <v>0</v>
      </c>
      <c r="O13" s="686">
        <f>industrie!N18</f>
        <v>1073.9968863373372</v>
      </c>
      <c r="P13" s="686">
        <f>industrie!O18</f>
        <v>0</v>
      </c>
      <c r="Q13" s="687">
        <f>industrie!P18</f>
        <v>0</v>
      </c>
      <c r="R13" s="689">
        <f>SUM(C13:Q13)</f>
        <v>47732.427407329968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87027.549432986023</v>
      </c>
      <c r="D16" s="721">
        <f t="shared" ref="D16:R16" ca="1" si="0">SUM(D9:D15)</f>
        <v>50.625</v>
      </c>
      <c r="E16" s="721">
        <f t="shared" ca="1" si="0"/>
        <v>90954.227277579979</v>
      </c>
      <c r="F16" s="721">
        <f t="shared" si="0"/>
        <v>12423.693559679657</v>
      </c>
      <c r="G16" s="721">
        <f t="shared" ca="1" si="0"/>
        <v>66243.533512849361</v>
      </c>
      <c r="H16" s="721">
        <f t="shared" si="0"/>
        <v>0</v>
      </c>
      <c r="I16" s="721">
        <f t="shared" si="0"/>
        <v>0</v>
      </c>
      <c r="J16" s="721">
        <f t="shared" si="0"/>
        <v>0</v>
      </c>
      <c r="K16" s="721">
        <f t="shared" si="0"/>
        <v>5.2292336393107055</v>
      </c>
      <c r="L16" s="721">
        <f t="shared" si="0"/>
        <v>0</v>
      </c>
      <c r="M16" s="721">
        <f t="shared" ca="1" si="0"/>
        <v>0</v>
      </c>
      <c r="N16" s="721">
        <f t="shared" si="0"/>
        <v>0</v>
      </c>
      <c r="O16" s="721">
        <f t="shared" ca="1" si="0"/>
        <v>16577.802745909092</v>
      </c>
      <c r="P16" s="721">
        <f t="shared" si="0"/>
        <v>284.5266666666667</v>
      </c>
      <c r="Q16" s="721">
        <f t="shared" si="0"/>
        <v>819.86666666666667</v>
      </c>
      <c r="R16" s="721">
        <f t="shared" ca="1" si="0"/>
        <v>274387.05409597681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1686.2954150107187</v>
      </c>
      <c r="I19" s="686">
        <f>transport!H54</f>
        <v>0</v>
      </c>
      <c r="J19" s="686">
        <f>transport!I54</f>
        <v>0</v>
      </c>
      <c r="K19" s="686">
        <f>transport!J54</f>
        <v>0</v>
      </c>
      <c r="L19" s="686">
        <f>transport!K54</f>
        <v>0</v>
      </c>
      <c r="M19" s="686">
        <f>transport!L54</f>
        <v>0</v>
      </c>
      <c r="N19" s="686">
        <f>transport!M54</f>
        <v>75.058403981143883</v>
      </c>
      <c r="O19" s="686">
        <f>transport!N54</f>
        <v>0</v>
      </c>
      <c r="P19" s="686">
        <f>transport!O54</f>
        <v>0</v>
      </c>
      <c r="Q19" s="687">
        <f>transport!P54</f>
        <v>0</v>
      </c>
      <c r="R19" s="689">
        <f>SUM(C19:Q19)</f>
        <v>1761.3538189918625</v>
      </c>
      <c r="S19" s="67"/>
    </row>
    <row r="20" spans="1:19" s="454" customFormat="1">
      <c r="A20" s="801" t="s">
        <v>306</v>
      </c>
      <c r="B20" s="806"/>
      <c r="C20" s="686">
        <f>transport!B14</f>
        <v>8.2699253753537771</v>
      </c>
      <c r="D20" s="686">
        <f>transport!C14</f>
        <v>0</v>
      </c>
      <c r="E20" s="686">
        <f>transport!D14</f>
        <v>13.282617767352333</v>
      </c>
      <c r="F20" s="686">
        <f>transport!E14</f>
        <v>519.35857626806398</v>
      </c>
      <c r="G20" s="686">
        <f>transport!F14</f>
        <v>0</v>
      </c>
      <c r="H20" s="686">
        <f>transport!G14</f>
        <v>136275.69780904718</v>
      </c>
      <c r="I20" s="686">
        <f>transport!H14</f>
        <v>24756.972915541359</v>
      </c>
      <c r="J20" s="686">
        <f>transport!I14</f>
        <v>0</v>
      </c>
      <c r="K20" s="686">
        <f>transport!J14</f>
        <v>0</v>
      </c>
      <c r="L20" s="686">
        <f>transport!K14</f>
        <v>0</v>
      </c>
      <c r="M20" s="686">
        <f>transport!L14</f>
        <v>0</v>
      </c>
      <c r="N20" s="686">
        <f>transport!M14</f>
        <v>7281.5276014426154</v>
      </c>
      <c r="O20" s="686">
        <f>transport!N14</f>
        <v>0</v>
      </c>
      <c r="P20" s="686">
        <f>transport!O14</f>
        <v>0</v>
      </c>
      <c r="Q20" s="687">
        <f>transport!P14</f>
        <v>0</v>
      </c>
      <c r="R20" s="689">
        <f>SUM(C20:Q20)</f>
        <v>168855.10944544192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8.2699253753537771</v>
      </c>
      <c r="D22" s="804">
        <f t="shared" ref="D22:R22" si="1">SUM(D18:D21)</f>
        <v>0</v>
      </c>
      <c r="E22" s="804">
        <f t="shared" si="1"/>
        <v>13.282617767352333</v>
      </c>
      <c r="F22" s="804">
        <f t="shared" si="1"/>
        <v>519.35857626806398</v>
      </c>
      <c r="G22" s="804">
        <f t="shared" si="1"/>
        <v>0</v>
      </c>
      <c r="H22" s="804">
        <f t="shared" si="1"/>
        <v>137961.99322405789</v>
      </c>
      <c r="I22" s="804">
        <f t="shared" si="1"/>
        <v>24756.972915541359</v>
      </c>
      <c r="J22" s="804">
        <f t="shared" si="1"/>
        <v>0</v>
      </c>
      <c r="K22" s="804">
        <f t="shared" si="1"/>
        <v>0</v>
      </c>
      <c r="L22" s="804">
        <f t="shared" si="1"/>
        <v>0</v>
      </c>
      <c r="M22" s="804">
        <f t="shared" si="1"/>
        <v>0</v>
      </c>
      <c r="N22" s="804">
        <f t="shared" si="1"/>
        <v>7356.5860054237592</v>
      </c>
      <c r="O22" s="804">
        <f t="shared" si="1"/>
        <v>0</v>
      </c>
      <c r="P22" s="804">
        <f t="shared" si="1"/>
        <v>0</v>
      </c>
      <c r="Q22" s="804">
        <f t="shared" si="1"/>
        <v>0</v>
      </c>
      <c r="R22" s="804">
        <f t="shared" si="1"/>
        <v>170616.46326443378</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677.49188086806703</v>
      </c>
      <c r="D24" s="686">
        <f>+landbouw!C8</f>
        <v>0</v>
      </c>
      <c r="E24" s="686">
        <f>+landbouw!D8</f>
        <v>83.836373716296194</v>
      </c>
      <c r="F24" s="686">
        <f>+landbouw!E8</f>
        <v>8.5372704859357569</v>
      </c>
      <c r="G24" s="686">
        <f>+landbouw!F8</f>
        <v>2337.5167108522855</v>
      </c>
      <c r="H24" s="686">
        <f>+landbouw!G8</f>
        <v>0</v>
      </c>
      <c r="I24" s="686">
        <f>+landbouw!H8</f>
        <v>0</v>
      </c>
      <c r="J24" s="686">
        <f>+landbouw!I8</f>
        <v>0</v>
      </c>
      <c r="K24" s="686">
        <f>+landbouw!J8</f>
        <v>101.88707742666524</v>
      </c>
      <c r="L24" s="686">
        <f>+landbouw!K8</f>
        <v>0</v>
      </c>
      <c r="M24" s="686">
        <f>+landbouw!L8</f>
        <v>0</v>
      </c>
      <c r="N24" s="686">
        <f>+landbouw!M8</f>
        <v>0</v>
      </c>
      <c r="O24" s="686">
        <f>+landbouw!N8</f>
        <v>0</v>
      </c>
      <c r="P24" s="686">
        <f>+landbouw!O8</f>
        <v>0</v>
      </c>
      <c r="Q24" s="687">
        <f>+landbouw!P8</f>
        <v>0</v>
      </c>
      <c r="R24" s="689">
        <f>SUM(C24:Q24)</f>
        <v>3209.2693133492498</v>
      </c>
      <c r="S24" s="67"/>
    </row>
    <row r="25" spans="1:19" s="454" customFormat="1" ht="15" thickBot="1">
      <c r="A25" s="823" t="s">
        <v>856</v>
      </c>
      <c r="B25" s="991"/>
      <c r="C25" s="992">
        <f>IF(Onbekend_ele_kWh="---",0,Onbekend_ele_kWh)/1000+IF(REST_rest_ele_kWh="---",0,REST_rest_ele_kWh)/1000</f>
        <v>997.42657652037997</v>
      </c>
      <c r="D25" s="992"/>
      <c r="E25" s="992">
        <f>IF(onbekend_gas_kWh="---",0,onbekend_gas_kWh)/1000+IF(REST_rest_gas_kWh="---",0,REST_rest_gas_kWh)/1000</f>
        <v>1535.2080831815501</v>
      </c>
      <c r="F25" s="992"/>
      <c r="G25" s="992"/>
      <c r="H25" s="992"/>
      <c r="I25" s="992"/>
      <c r="J25" s="992"/>
      <c r="K25" s="992"/>
      <c r="L25" s="992"/>
      <c r="M25" s="992"/>
      <c r="N25" s="992"/>
      <c r="O25" s="992"/>
      <c r="P25" s="992"/>
      <c r="Q25" s="993"/>
      <c r="R25" s="689">
        <f>SUM(C25:Q25)</f>
        <v>2532.6346597019301</v>
      </c>
      <c r="S25" s="67"/>
    </row>
    <row r="26" spans="1:19" s="454" customFormat="1" ht="15.75" thickBot="1">
      <c r="A26" s="694" t="s">
        <v>857</v>
      </c>
      <c r="B26" s="809"/>
      <c r="C26" s="804">
        <f>SUM(C24:C25)</f>
        <v>1674.918457388447</v>
      </c>
      <c r="D26" s="804">
        <f t="shared" ref="D26:R26" si="2">SUM(D24:D25)</f>
        <v>0</v>
      </c>
      <c r="E26" s="804">
        <f t="shared" si="2"/>
        <v>1619.0444568978464</v>
      </c>
      <c r="F26" s="804">
        <f t="shared" si="2"/>
        <v>8.5372704859357569</v>
      </c>
      <c r="G26" s="804">
        <f t="shared" si="2"/>
        <v>2337.5167108522855</v>
      </c>
      <c r="H26" s="804">
        <f t="shared" si="2"/>
        <v>0</v>
      </c>
      <c r="I26" s="804">
        <f t="shared" si="2"/>
        <v>0</v>
      </c>
      <c r="J26" s="804">
        <f t="shared" si="2"/>
        <v>0</v>
      </c>
      <c r="K26" s="804">
        <f t="shared" si="2"/>
        <v>101.88707742666524</v>
      </c>
      <c r="L26" s="804">
        <f t="shared" si="2"/>
        <v>0</v>
      </c>
      <c r="M26" s="804">
        <f t="shared" si="2"/>
        <v>0</v>
      </c>
      <c r="N26" s="804">
        <f t="shared" si="2"/>
        <v>0</v>
      </c>
      <c r="O26" s="804">
        <f t="shared" si="2"/>
        <v>0</v>
      </c>
      <c r="P26" s="804">
        <f t="shared" si="2"/>
        <v>0</v>
      </c>
      <c r="Q26" s="804">
        <f t="shared" si="2"/>
        <v>0</v>
      </c>
      <c r="R26" s="804">
        <f t="shared" si="2"/>
        <v>5741.9039730511795</v>
      </c>
      <c r="S26" s="67"/>
    </row>
    <row r="27" spans="1:19" s="454" customFormat="1" ht="17.25" thickTop="1" thickBot="1">
      <c r="A27" s="695" t="s">
        <v>115</v>
      </c>
      <c r="B27" s="796"/>
      <c r="C27" s="696">
        <f ca="1">C22+C16+C26</f>
        <v>88710.737815749817</v>
      </c>
      <c r="D27" s="696">
        <f t="shared" ref="D27:R27" ca="1" si="3">D22+D16+D26</f>
        <v>50.625</v>
      </c>
      <c r="E27" s="696">
        <f t="shared" ca="1" si="3"/>
        <v>92586.554352245177</v>
      </c>
      <c r="F27" s="696">
        <f t="shared" si="3"/>
        <v>12951.589406433657</v>
      </c>
      <c r="G27" s="696">
        <f t="shared" ca="1" si="3"/>
        <v>68581.050223701648</v>
      </c>
      <c r="H27" s="696">
        <f t="shared" si="3"/>
        <v>137961.99322405789</v>
      </c>
      <c r="I27" s="696">
        <f t="shared" si="3"/>
        <v>24756.972915541359</v>
      </c>
      <c r="J27" s="696">
        <f t="shared" si="3"/>
        <v>0</v>
      </c>
      <c r="K27" s="696">
        <f t="shared" si="3"/>
        <v>107.11631106597595</v>
      </c>
      <c r="L27" s="696">
        <f t="shared" si="3"/>
        <v>0</v>
      </c>
      <c r="M27" s="696">
        <f t="shared" ca="1" si="3"/>
        <v>0</v>
      </c>
      <c r="N27" s="696">
        <f t="shared" si="3"/>
        <v>7356.5860054237592</v>
      </c>
      <c r="O27" s="696">
        <f t="shared" ca="1" si="3"/>
        <v>16577.802745909092</v>
      </c>
      <c r="P27" s="696">
        <f t="shared" si="3"/>
        <v>284.5266666666667</v>
      </c>
      <c r="Q27" s="696">
        <f t="shared" si="3"/>
        <v>819.86666666666667</v>
      </c>
      <c r="R27" s="696">
        <f t="shared" ca="1" si="3"/>
        <v>450745.42133346177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10437.480927230998</v>
      </c>
      <c r="D40" s="686">
        <f ca="1">tertiair!C20</f>
        <v>0</v>
      </c>
      <c r="E40" s="686">
        <f ca="1">tertiair!D20</f>
        <v>2451.9797583341742</v>
      </c>
      <c r="F40" s="686">
        <f>tertiair!E20</f>
        <v>146.27068556062557</v>
      </c>
      <c r="G40" s="686">
        <f ca="1">tertiair!F20</f>
        <v>2628.8794082256882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15664.610779351486</v>
      </c>
    </row>
    <row r="41" spans="1:18">
      <c r="A41" s="814" t="s">
        <v>224</v>
      </c>
      <c r="B41" s="821"/>
      <c r="C41" s="686">
        <f ca="1">huishoudens!B12</f>
        <v>6547.0638296855468</v>
      </c>
      <c r="D41" s="686">
        <f ca="1">huishoudens!C12</f>
        <v>0</v>
      </c>
      <c r="E41" s="686">
        <f>huishoudens!D12</f>
        <v>9091.2677270647437</v>
      </c>
      <c r="F41" s="686">
        <f>huishoudens!E12</f>
        <v>2510.1313940190826</v>
      </c>
      <c r="G41" s="686">
        <f>huishoudens!F12</f>
        <v>13519.420123967433</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31667.883074736805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1338.9317654788151</v>
      </c>
      <c r="D43" s="686">
        <f ca="1">industrie!C22</f>
        <v>0</v>
      </c>
      <c r="E43" s="686">
        <f>industrie!D22</f>
        <v>6829.5064246722422</v>
      </c>
      <c r="F43" s="686">
        <f>industrie!E22</f>
        <v>163.77635846757423</v>
      </c>
      <c r="G43" s="686">
        <f>industrie!F22</f>
        <v>1538.7239157376596</v>
      </c>
      <c r="H43" s="686">
        <f>industrie!G22</f>
        <v>0</v>
      </c>
      <c r="I43" s="686">
        <f>industrie!H22</f>
        <v>0</v>
      </c>
      <c r="J43" s="686">
        <f>industrie!I22</f>
        <v>0</v>
      </c>
      <c r="K43" s="686">
        <f>industrie!J22</f>
        <v>1.8511487083159897</v>
      </c>
      <c r="L43" s="686">
        <f>industrie!K22</f>
        <v>0</v>
      </c>
      <c r="M43" s="686">
        <f>industrie!L22</f>
        <v>0</v>
      </c>
      <c r="N43" s="686">
        <f>industrie!M22</f>
        <v>0</v>
      </c>
      <c r="O43" s="686">
        <f>industrie!N22</f>
        <v>0</v>
      </c>
      <c r="P43" s="686">
        <f>industrie!O22</f>
        <v>0</v>
      </c>
      <c r="Q43" s="763">
        <f>industrie!P22</f>
        <v>0</v>
      </c>
      <c r="R43" s="841">
        <f t="shared" ca="1" si="4"/>
        <v>9872.7896130646059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18323.476522395358</v>
      </c>
      <c r="D46" s="721">
        <f t="shared" ref="D46:Q46" ca="1" si="5">SUM(D39:D45)</f>
        <v>0</v>
      </c>
      <c r="E46" s="721">
        <f t="shared" ca="1" si="5"/>
        <v>18372.753910071162</v>
      </c>
      <c r="F46" s="721">
        <f t="shared" si="5"/>
        <v>2820.1784380472823</v>
      </c>
      <c r="G46" s="721">
        <f t="shared" ca="1" si="5"/>
        <v>17687.02344793078</v>
      </c>
      <c r="H46" s="721">
        <f t="shared" si="5"/>
        <v>0</v>
      </c>
      <c r="I46" s="721">
        <f t="shared" si="5"/>
        <v>0</v>
      </c>
      <c r="J46" s="721">
        <f t="shared" si="5"/>
        <v>0</v>
      </c>
      <c r="K46" s="721">
        <f t="shared" si="5"/>
        <v>1.8511487083159897</v>
      </c>
      <c r="L46" s="721">
        <f t="shared" si="5"/>
        <v>0</v>
      </c>
      <c r="M46" s="721">
        <f t="shared" ca="1" si="5"/>
        <v>0</v>
      </c>
      <c r="N46" s="721">
        <f t="shared" si="5"/>
        <v>0</v>
      </c>
      <c r="O46" s="721">
        <f t="shared" ca="1" si="5"/>
        <v>0</v>
      </c>
      <c r="P46" s="721">
        <f t="shared" si="5"/>
        <v>0</v>
      </c>
      <c r="Q46" s="721">
        <f t="shared" si="5"/>
        <v>0</v>
      </c>
      <c r="R46" s="721">
        <f ca="1">SUM(R39:R45)</f>
        <v>57205.283467152891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450.24087580786193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450.24087580786193</v>
      </c>
    </row>
    <row r="50" spans="1:18">
      <c r="A50" s="817" t="s">
        <v>306</v>
      </c>
      <c r="B50" s="827"/>
      <c r="C50" s="692">
        <f ca="1">transport!B18</f>
        <v>1.7412162521471708</v>
      </c>
      <c r="D50" s="692">
        <f>transport!C18</f>
        <v>0</v>
      </c>
      <c r="E50" s="692">
        <f>transport!D18</f>
        <v>2.6830887890051716</v>
      </c>
      <c r="F50" s="692">
        <f>transport!E18</f>
        <v>117.89439681285053</v>
      </c>
      <c r="G50" s="692">
        <f>transport!F18</f>
        <v>0</v>
      </c>
      <c r="H50" s="692">
        <f>transport!G18</f>
        <v>36385.611315015602</v>
      </c>
      <c r="I50" s="692">
        <f>transport!H18</f>
        <v>6164.4862559697985</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42672.416272839408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1.7412162521471708</v>
      </c>
      <c r="D52" s="721">
        <f t="shared" ref="D52:Q52" ca="1" si="6">SUM(D48:D51)</f>
        <v>0</v>
      </c>
      <c r="E52" s="721">
        <f t="shared" si="6"/>
        <v>2.6830887890051716</v>
      </c>
      <c r="F52" s="721">
        <f t="shared" si="6"/>
        <v>117.89439681285053</v>
      </c>
      <c r="G52" s="721">
        <f t="shared" si="6"/>
        <v>0</v>
      </c>
      <c r="H52" s="721">
        <f t="shared" si="6"/>
        <v>36835.852190823462</v>
      </c>
      <c r="I52" s="721">
        <f t="shared" si="6"/>
        <v>6164.4862559697985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43122.657148647268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142.64456087849146</v>
      </c>
      <c r="D54" s="692">
        <f ca="1">+landbouw!C12</f>
        <v>0</v>
      </c>
      <c r="E54" s="692">
        <f>+landbouw!D12</f>
        <v>16.934947490691833</v>
      </c>
      <c r="F54" s="692">
        <f>+landbouw!E12</f>
        <v>1.9379604003074169</v>
      </c>
      <c r="G54" s="692">
        <f>+landbouw!F12</f>
        <v>624.11696179756029</v>
      </c>
      <c r="H54" s="692">
        <f>+landbouw!G12</f>
        <v>0</v>
      </c>
      <c r="I54" s="692">
        <f>+landbouw!H12</f>
        <v>0</v>
      </c>
      <c r="J54" s="692">
        <f>+landbouw!I12</f>
        <v>0</v>
      </c>
      <c r="K54" s="692">
        <f>+landbouw!J12</f>
        <v>36.068025409039493</v>
      </c>
      <c r="L54" s="692">
        <f>+landbouw!K12</f>
        <v>0</v>
      </c>
      <c r="M54" s="692">
        <f>+landbouw!L12</f>
        <v>0</v>
      </c>
      <c r="N54" s="692">
        <f>+landbouw!M12</f>
        <v>0</v>
      </c>
      <c r="O54" s="692">
        <f>+landbouw!N12</f>
        <v>0</v>
      </c>
      <c r="P54" s="692">
        <f>+landbouw!O12</f>
        <v>0</v>
      </c>
      <c r="Q54" s="693">
        <f>+landbouw!P12</f>
        <v>0</v>
      </c>
      <c r="R54" s="720">
        <f ca="1">SUM(C54:Q54)</f>
        <v>821.7024559760905</v>
      </c>
    </row>
    <row r="55" spans="1:18" ht="15" thickBot="1">
      <c r="A55" s="817" t="s">
        <v>856</v>
      </c>
      <c r="B55" s="827"/>
      <c r="C55" s="692">
        <f ca="1">C25*'EF ele_warmte'!B12</f>
        <v>210.00617134184284</v>
      </c>
      <c r="D55" s="692"/>
      <c r="E55" s="692">
        <f>E25*EF_CO2_aardgas</f>
        <v>310.11203280267313</v>
      </c>
      <c r="F55" s="692"/>
      <c r="G55" s="692"/>
      <c r="H55" s="692"/>
      <c r="I55" s="692"/>
      <c r="J55" s="692"/>
      <c r="K55" s="692"/>
      <c r="L55" s="692"/>
      <c r="M55" s="692"/>
      <c r="N55" s="692"/>
      <c r="O55" s="692"/>
      <c r="P55" s="692"/>
      <c r="Q55" s="693"/>
      <c r="R55" s="720">
        <f ca="1">SUM(C55:Q55)</f>
        <v>520.11820414451597</v>
      </c>
    </row>
    <row r="56" spans="1:18" ht="15.75" thickBot="1">
      <c r="A56" s="815" t="s">
        <v>857</v>
      </c>
      <c r="B56" s="828"/>
      <c r="C56" s="721">
        <f ca="1">SUM(C54:C55)</f>
        <v>352.65073222033431</v>
      </c>
      <c r="D56" s="721">
        <f t="shared" ref="D56:Q56" ca="1" si="7">SUM(D54:D55)</f>
        <v>0</v>
      </c>
      <c r="E56" s="721">
        <f t="shared" si="7"/>
        <v>327.04698029336498</v>
      </c>
      <c r="F56" s="721">
        <f t="shared" si="7"/>
        <v>1.9379604003074169</v>
      </c>
      <c r="G56" s="721">
        <f t="shared" si="7"/>
        <v>624.11696179756029</v>
      </c>
      <c r="H56" s="721">
        <f t="shared" si="7"/>
        <v>0</v>
      </c>
      <c r="I56" s="721">
        <f t="shared" si="7"/>
        <v>0</v>
      </c>
      <c r="J56" s="721">
        <f t="shared" si="7"/>
        <v>0</v>
      </c>
      <c r="K56" s="721">
        <f t="shared" si="7"/>
        <v>36.068025409039493</v>
      </c>
      <c r="L56" s="721">
        <f t="shared" si="7"/>
        <v>0</v>
      </c>
      <c r="M56" s="721">
        <f t="shared" si="7"/>
        <v>0</v>
      </c>
      <c r="N56" s="721">
        <f t="shared" si="7"/>
        <v>0</v>
      </c>
      <c r="O56" s="721">
        <f t="shared" si="7"/>
        <v>0</v>
      </c>
      <c r="P56" s="721">
        <f t="shared" si="7"/>
        <v>0</v>
      </c>
      <c r="Q56" s="722">
        <f t="shared" si="7"/>
        <v>0</v>
      </c>
      <c r="R56" s="723">
        <f ca="1">SUM(R54:R55)</f>
        <v>1341.8206601206066</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18677.868470867841</v>
      </c>
      <c r="D61" s="729">
        <f t="shared" ref="D61:Q61" ca="1" si="8">D46+D52+D56</f>
        <v>0</v>
      </c>
      <c r="E61" s="729">
        <f t="shared" ca="1" si="8"/>
        <v>18702.483979153534</v>
      </c>
      <c r="F61" s="729">
        <f t="shared" si="8"/>
        <v>2940.0107952604403</v>
      </c>
      <c r="G61" s="729">
        <f t="shared" ca="1" si="8"/>
        <v>18311.140409728341</v>
      </c>
      <c r="H61" s="729">
        <f t="shared" si="8"/>
        <v>36835.852190823462</v>
      </c>
      <c r="I61" s="729">
        <f t="shared" si="8"/>
        <v>6164.4862559697985</v>
      </c>
      <c r="J61" s="729">
        <f t="shared" si="8"/>
        <v>0</v>
      </c>
      <c r="K61" s="729">
        <f t="shared" si="8"/>
        <v>37.919174117355482</v>
      </c>
      <c r="L61" s="729">
        <f t="shared" si="8"/>
        <v>0</v>
      </c>
      <c r="M61" s="729">
        <f t="shared" ca="1" si="8"/>
        <v>0</v>
      </c>
      <c r="N61" s="729">
        <f t="shared" si="8"/>
        <v>0</v>
      </c>
      <c r="O61" s="729">
        <f t="shared" ca="1" si="8"/>
        <v>0</v>
      </c>
      <c r="P61" s="729">
        <f t="shared" si="8"/>
        <v>0</v>
      </c>
      <c r="Q61" s="729">
        <f t="shared" si="8"/>
        <v>0</v>
      </c>
      <c r="R61" s="729">
        <f ca="1">R46+R52+R56</f>
        <v>101669.76127592075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0.21054800050994218</v>
      </c>
      <c r="D63" s="772">
        <f t="shared" ca="1" si="9"/>
        <v>0</v>
      </c>
      <c r="E63" s="998">
        <f t="shared" ca="1" si="9"/>
        <v>0.2020000000000001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170.3964125560538</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3980.0994535655259</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52.941176470588232</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4195.4958661215796</v>
      </c>
      <c r="C78" s="744">
        <f>SUM(C72:C77)</f>
        <v>0</v>
      </c>
      <c r="D78" s="745">
        <f t="shared" ref="D78:H78" si="10">SUM(D76:D77)</f>
        <v>0</v>
      </c>
      <c r="E78" s="745">
        <f t="shared" si="10"/>
        <v>0</v>
      </c>
      <c r="F78" s="745">
        <f t="shared" si="10"/>
        <v>0</v>
      </c>
      <c r="G78" s="745">
        <f t="shared" si="10"/>
        <v>0</v>
      </c>
      <c r="H78" s="745">
        <f t="shared" si="10"/>
        <v>0</v>
      </c>
      <c r="I78" s="745">
        <f>SUM(I76:I77)</f>
        <v>52.941176470588232</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50.625</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59.558823529411768</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50.625</v>
      </c>
      <c r="C90" s="744">
        <f>SUM(C87:C89)</f>
        <v>0</v>
      </c>
      <c r="D90" s="744">
        <f t="shared" ref="D90:H90" si="12">SUM(D87:D89)</f>
        <v>0</v>
      </c>
      <c r="E90" s="744">
        <f t="shared" si="12"/>
        <v>0</v>
      </c>
      <c r="F90" s="744">
        <f t="shared" si="12"/>
        <v>0</v>
      </c>
      <c r="G90" s="744">
        <f t="shared" si="12"/>
        <v>0</v>
      </c>
      <c r="H90" s="744">
        <f t="shared" si="12"/>
        <v>0</v>
      </c>
      <c r="I90" s="744">
        <f>SUM(I87:I89)</f>
        <v>59.558823529411768</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170.3964125560538</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3980.0994535655259</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0</v>
      </c>
      <c r="D8" s="1015"/>
      <c r="E8" s="1015">
        <f>E48</f>
        <v>0</v>
      </c>
      <c r="F8" s="1016"/>
      <c r="G8" s="557"/>
      <c r="H8" s="1015">
        <f>I48</f>
        <v>0</v>
      </c>
      <c r="I8" s="1015">
        <f>G48+F48</f>
        <v>52.941176470588232</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4195.4958661215796</v>
      </c>
      <c r="C10" s="569">
        <f t="shared" ref="C10:L10" si="0">SUM(C8:C9)</f>
        <v>0</v>
      </c>
      <c r="D10" s="569">
        <f t="shared" si="0"/>
        <v>0</v>
      </c>
      <c r="E10" s="569">
        <f t="shared" si="0"/>
        <v>0</v>
      </c>
      <c r="F10" s="569">
        <f t="shared" si="0"/>
        <v>0</v>
      </c>
      <c r="G10" s="569">
        <f t="shared" si="0"/>
        <v>0</v>
      </c>
      <c r="H10" s="569">
        <f t="shared" si="0"/>
        <v>0</v>
      </c>
      <c r="I10" s="569">
        <f t="shared" si="0"/>
        <v>52.941176470588232</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50.625</v>
      </c>
      <c r="C17" s="581">
        <f>B49</f>
        <v>0</v>
      </c>
      <c r="D17" s="582"/>
      <c r="E17" s="582">
        <f>E49</f>
        <v>0</v>
      </c>
      <c r="F17" s="1021"/>
      <c r="G17" s="583"/>
      <c r="H17" s="581">
        <f>I49</f>
        <v>0</v>
      </c>
      <c r="I17" s="582">
        <f>G49+F49</f>
        <v>59.558823529411768</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50.625</v>
      </c>
      <c r="C20" s="568">
        <f>SUM(C17:C19)</f>
        <v>0</v>
      </c>
      <c r="D20" s="568">
        <f t="shared" ref="D20:L20" si="1">SUM(D17:D19)</f>
        <v>0</v>
      </c>
      <c r="E20" s="568">
        <f t="shared" si="1"/>
        <v>0</v>
      </c>
      <c r="F20" s="568">
        <f t="shared" si="1"/>
        <v>0</v>
      </c>
      <c r="G20" s="568">
        <f t="shared" si="1"/>
        <v>0</v>
      </c>
      <c r="H20" s="568">
        <f t="shared" si="1"/>
        <v>0</v>
      </c>
      <c r="I20" s="568">
        <f t="shared" si="1"/>
        <v>59.558823529411768</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24094</v>
      </c>
      <c r="C28" s="787">
        <v>3118</v>
      </c>
      <c r="D28" s="640" t="s">
        <v>920</v>
      </c>
      <c r="E28" s="639" t="s">
        <v>921</v>
      </c>
      <c r="F28" s="639" t="s">
        <v>922</v>
      </c>
      <c r="G28" s="639" t="s">
        <v>923</v>
      </c>
      <c r="H28" s="639" t="s">
        <v>924</v>
      </c>
      <c r="I28" s="639" t="s">
        <v>921</v>
      </c>
      <c r="J28" s="786">
        <v>38718</v>
      </c>
      <c r="K28" s="786">
        <v>38991</v>
      </c>
      <c r="L28" s="639" t="s">
        <v>925</v>
      </c>
      <c r="M28" s="639">
        <v>10</v>
      </c>
      <c r="N28" s="639">
        <v>45</v>
      </c>
      <c r="O28" s="639">
        <v>50.625</v>
      </c>
      <c r="P28" s="639">
        <v>0</v>
      </c>
      <c r="Q28" s="639">
        <v>0</v>
      </c>
      <c r="R28" s="639">
        <v>0</v>
      </c>
      <c r="S28" s="639">
        <v>0</v>
      </c>
      <c r="T28" s="639">
        <v>112.5</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10</v>
      </c>
      <c r="N29" s="597">
        <f>SUM(N28:N28)</f>
        <v>45</v>
      </c>
      <c r="O29" s="597">
        <f>SUM(O28:O28)</f>
        <v>50.625</v>
      </c>
      <c r="P29" s="597">
        <f>SUM(P28:P28)</f>
        <v>0</v>
      </c>
      <c r="Q29" s="597">
        <f>SUM(Q28:Q28)</f>
        <v>0</v>
      </c>
      <c r="R29" s="597">
        <f>SUM(R28:R28)</f>
        <v>0</v>
      </c>
      <c r="S29" s="597">
        <f>SUM(S28:S28)</f>
        <v>0</v>
      </c>
      <c r="T29" s="597">
        <f>SUM(T28:T28)</f>
        <v>112.5</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10</v>
      </c>
      <c r="N31" s="597">
        <f ca="1">SUMIF($Z$28:AD28,"tertiair",N28:N28)</f>
        <v>45</v>
      </c>
      <c r="O31" s="597">
        <f ca="1">SUMIF($Z$28:AE28,"tertiair",O28:O28)</f>
        <v>50.625</v>
      </c>
      <c r="P31" s="597">
        <f ca="1">SUMIF($Z$28:AF28,"tertiair",P28:P28)</f>
        <v>0</v>
      </c>
      <c r="Q31" s="597">
        <f ca="1">SUMIF($Z$28:AG28,"tertiair",Q28:Q28)</f>
        <v>0</v>
      </c>
      <c r="R31" s="597">
        <f ca="1">SUMIF($Z$28:AH28,"tertiair",R28:R28)</f>
        <v>0</v>
      </c>
      <c r="S31" s="597">
        <f ca="1">SUMIF($Z$28:AI28,"tertiair",S28:S28)</f>
        <v>0</v>
      </c>
      <c r="T31" s="597">
        <f ca="1">SUMIF($Z$28:AJ28,"tertiair",T28:T28)</f>
        <v>112.5</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0.52941176470588236</v>
      </c>
      <c r="C45" s="622">
        <f>IF(ISERROR(N29/(O29+N29)),0,N29/(N29+O29))</f>
        <v>0.47058823529411764</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52.941176470588232</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59.558823529411768</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31095.350294606054</v>
      </c>
      <c r="C4" s="458">
        <f>huishoudens!C8</f>
        <v>0</v>
      </c>
      <c r="D4" s="458">
        <f>huishoudens!D8</f>
        <v>45006.275876558131</v>
      </c>
      <c r="E4" s="458">
        <f>huishoudens!E8</f>
        <v>11057.847550744857</v>
      </c>
      <c r="F4" s="458">
        <f>huishoudens!F8</f>
        <v>50634.532299503495</v>
      </c>
      <c r="G4" s="458">
        <f>huishoudens!G8</f>
        <v>0</v>
      </c>
      <c r="H4" s="458">
        <f>huishoudens!H8</f>
        <v>0</v>
      </c>
      <c r="I4" s="458">
        <f>huishoudens!I8</f>
        <v>0</v>
      </c>
      <c r="J4" s="458">
        <f>huishoudens!J8</f>
        <v>0</v>
      </c>
      <c r="K4" s="458">
        <f>huishoudens!K8</f>
        <v>0</v>
      </c>
      <c r="L4" s="458">
        <f>huishoudens!L8</f>
        <v>0</v>
      </c>
      <c r="M4" s="458">
        <f>huishoudens!M8</f>
        <v>0</v>
      </c>
      <c r="N4" s="458">
        <f>huishoudens!N8</f>
        <v>10964.699004655582</v>
      </c>
      <c r="O4" s="458">
        <f>huishoudens!O8</f>
        <v>282.96333333333337</v>
      </c>
      <c r="P4" s="459">
        <f>huishoudens!P8</f>
        <v>800.8</v>
      </c>
      <c r="Q4" s="460">
        <f>SUM(B4:P4)</f>
        <v>149842.46835940148</v>
      </c>
    </row>
    <row r="5" spans="1:17">
      <c r="A5" s="457" t="s">
        <v>155</v>
      </c>
      <c r="B5" s="458">
        <f ca="1">tertiair!B16</f>
        <v>48650.753272658352</v>
      </c>
      <c r="C5" s="458">
        <f ca="1">tertiair!C16</f>
        <v>50.625</v>
      </c>
      <c r="D5" s="458">
        <f ca="1">tertiair!D16</f>
        <v>12138.513655119674</v>
      </c>
      <c r="E5" s="458">
        <f>tertiair!E16</f>
        <v>644.36425357103769</v>
      </c>
      <c r="F5" s="458">
        <f ca="1">tertiair!F16</f>
        <v>9845.9902929801046</v>
      </c>
      <c r="G5" s="458">
        <f>tertiair!G16</f>
        <v>0</v>
      </c>
      <c r="H5" s="458">
        <f>tertiair!H16</f>
        <v>0</v>
      </c>
      <c r="I5" s="458">
        <f>tertiair!I16</f>
        <v>0</v>
      </c>
      <c r="J5" s="458">
        <f>tertiair!J16</f>
        <v>0</v>
      </c>
      <c r="K5" s="458">
        <f>tertiair!K16</f>
        <v>0</v>
      </c>
      <c r="L5" s="458">
        <f ca="1">tertiair!L16</f>
        <v>0</v>
      </c>
      <c r="M5" s="458">
        <f>tertiair!M16</f>
        <v>0</v>
      </c>
      <c r="N5" s="458">
        <f ca="1">tertiair!N16</f>
        <v>4539.1068549161719</v>
      </c>
      <c r="O5" s="458">
        <f>tertiair!O16</f>
        <v>1.5633333333333335</v>
      </c>
      <c r="P5" s="459">
        <f>tertiair!P16</f>
        <v>19.066666666666666</v>
      </c>
      <c r="Q5" s="457">
        <f t="shared" ref="Q5:Q14" ca="1" si="0">SUM(B5:P5)</f>
        <v>75889.98332924534</v>
      </c>
    </row>
    <row r="6" spans="1:17">
      <c r="A6" s="457" t="s">
        <v>193</v>
      </c>
      <c r="B6" s="458">
        <f>'openbare verlichting'!B8</f>
        <v>922.17499999999995</v>
      </c>
      <c r="C6" s="458"/>
      <c r="D6" s="458"/>
      <c r="E6" s="458"/>
      <c r="F6" s="458"/>
      <c r="G6" s="458"/>
      <c r="H6" s="458"/>
      <c r="I6" s="458"/>
      <c r="J6" s="458"/>
      <c r="K6" s="458"/>
      <c r="L6" s="458"/>
      <c r="M6" s="458"/>
      <c r="N6" s="458"/>
      <c r="O6" s="458"/>
      <c r="P6" s="459"/>
      <c r="Q6" s="457">
        <f t="shared" si="0"/>
        <v>922.17499999999995</v>
      </c>
    </row>
    <row r="7" spans="1:17">
      <c r="A7" s="457" t="s">
        <v>111</v>
      </c>
      <c r="B7" s="458">
        <f>landbouw!B8</f>
        <v>677.49188086806703</v>
      </c>
      <c r="C7" s="458">
        <f>landbouw!C8</f>
        <v>0</v>
      </c>
      <c r="D7" s="458">
        <f>landbouw!D8</f>
        <v>83.836373716296194</v>
      </c>
      <c r="E7" s="458">
        <f>landbouw!E8</f>
        <v>8.5372704859357569</v>
      </c>
      <c r="F7" s="458">
        <f>landbouw!F8</f>
        <v>2337.5167108522855</v>
      </c>
      <c r="G7" s="458">
        <f>landbouw!G8</f>
        <v>0</v>
      </c>
      <c r="H7" s="458">
        <f>landbouw!H8</f>
        <v>0</v>
      </c>
      <c r="I7" s="458">
        <f>landbouw!I8</f>
        <v>0</v>
      </c>
      <c r="J7" s="458">
        <f>landbouw!J8</f>
        <v>101.88707742666524</v>
      </c>
      <c r="K7" s="458">
        <f>landbouw!K8</f>
        <v>0</v>
      </c>
      <c r="L7" s="458">
        <f>landbouw!L8</f>
        <v>0</v>
      </c>
      <c r="M7" s="458">
        <f>landbouw!M8</f>
        <v>0</v>
      </c>
      <c r="N7" s="458">
        <f>landbouw!N8</f>
        <v>0</v>
      </c>
      <c r="O7" s="458">
        <f>landbouw!O8</f>
        <v>0</v>
      </c>
      <c r="P7" s="459">
        <f>landbouw!P8</f>
        <v>0</v>
      </c>
      <c r="Q7" s="457">
        <f t="shared" si="0"/>
        <v>3209.2693133492498</v>
      </c>
    </row>
    <row r="8" spans="1:17">
      <c r="A8" s="457" t="s">
        <v>655</v>
      </c>
      <c r="B8" s="458">
        <f>industrie!B18</f>
        <v>6359.2708657216153</v>
      </c>
      <c r="C8" s="458">
        <f>industrie!C18</f>
        <v>0</v>
      </c>
      <c r="D8" s="458">
        <f>industrie!D18</f>
        <v>33809.437745902185</v>
      </c>
      <c r="E8" s="458">
        <f>industrie!E18</f>
        <v>721.48175536376311</v>
      </c>
      <c r="F8" s="458">
        <f>industrie!F18</f>
        <v>5763.0109203657657</v>
      </c>
      <c r="G8" s="458">
        <f>industrie!G18</f>
        <v>0</v>
      </c>
      <c r="H8" s="458">
        <f>industrie!H18</f>
        <v>0</v>
      </c>
      <c r="I8" s="458">
        <f>industrie!I18</f>
        <v>0</v>
      </c>
      <c r="J8" s="458">
        <f>industrie!J18</f>
        <v>5.2292336393107055</v>
      </c>
      <c r="K8" s="458">
        <f>industrie!K18</f>
        <v>0</v>
      </c>
      <c r="L8" s="458">
        <f>industrie!L18</f>
        <v>0</v>
      </c>
      <c r="M8" s="458">
        <f>industrie!M18</f>
        <v>0</v>
      </c>
      <c r="N8" s="458">
        <f>industrie!N18</f>
        <v>1073.9968863373372</v>
      </c>
      <c r="O8" s="458">
        <f>industrie!O18</f>
        <v>0</v>
      </c>
      <c r="P8" s="459">
        <f>industrie!P18</f>
        <v>0</v>
      </c>
      <c r="Q8" s="457">
        <f t="shared" si="0"/>
        <v>47732.427407329968</v>
      </c>
    </row>
    <row r="9" spans="1:17" s="463" customFormat="1">
      <c r="A9" s="461" t="s">
        <v>573</v>
      </c>
      <c r="B9" s="462">
        <f>transport!B14</f>
        <v>8.2699253753537771</v>
      </c>
      <c r="C9" s="462">
        <f>transport!C14</f>
        <v>0</v>
      </c>
      <c r="D9" s="462">
        <f>transport!D14</f>
        <v>13.282617767352333</v>
      </c>
      <c r="E9" s="462">
        <f>transport!E14</f>
        <v>519.35857626806398</v>
      </c>
      <c r="F9" s="462">
        <f>transport!F14</f>
        <v>0</v>
      </c>
      <c r="G9" s="462">
        <f>transport!G14</f>
        <v>136275.69780904718</v>
      </c>
      <c r="H9" s="462">
        <f>transport!H14</f>
        <v>24756.972915541359</v>
      </c>
      <c r="I9" s="462">
        <f>transport!I14</f>
        <v>0</v>
      </c>
      <c r="J9" s="462">
        <f>transport!J14</f>
        <v>0</v>
      </c>
      <c r="K9" s="462">
        <f>transport!K14</f>
        <v>0</v>
      </c>
      <c r="L9" s="462">
        <f>transport!L14</f>
        <v>0</v>
      </c>
      <c r="M9" s="462">
        <f>transport!M14</f>
        <v>7281.5276014426154</v>
      </c>
      <c r="N9" s="462">
        <f>transport!N14</f>
        <v>0</v>
      </c>
      <c r="O9" s="462">
        <f>transport!O14</f>
        <v>0</v>
      </c>
      <c r="P9" s="462">
        <f>transport!P14</f>
        <v>0</v>
      </c>
      <c r="Q9" s="461">
        <f>SUM(B9:P9)</f>
        <v>168855.10944544192</v>
      </c>
    </row>
    <row r="10" spans="1:17">
      <c r="A10" s="457" t="s">
        <v>563</v>
      </c>
      <c r="B10" s="458">
        <f>transport!B54</f>
        <v>0</v>
      </c>
      <c r="C10" s="458">
        <f>transport!C54</f>
        <v>0</v>
      </c>
      <c r="D10" s="458">
        <f>transport!D54</f>
        <v>0</v>
      </c>
      <c r="E10" s="458">
        <f>transport!E54</f>
        <v>0</v>
      </c>
      <c r="F10" s="458">
        <f>transport!F54</f>
        <v>0</v>
      </c>
      <c r="G10" s="458">
        <f>transport!G54</f>
        <v>1686.2954150107187</v>
      </c>
      <c r="H10" s="458">
        <f>transport!H54</f>
        <v>0</v>
      </c>
      <c r="I10" s="458">
        <f>transport!I54</f>
        <v>0</v>
      </c>
      <c r="J10" s="458">
        <f>transport!J54</f>
        <v>0</v>
      </c>
      <c r="K10" s="458">
        <f>transport!K54</f>
        <v>0</v>
      </c>
      <c r="L10" s="458">
        <f>transport!L54</f>
        <v>0</v>
      </c>
      <c r="M10" s="458">
        <f>transport!M54</f>
        <v>75.058403981143883</v>
      </c>
      <c r="N10" s="458">
        <f>transport!N54</f>
        <v>0</v>
      </c>
      <c r="O10" s="458">
        <f>transport!O54</f>
        <v>0</v>
      </c>
      <c r="P10" s="459">
        <f>transport!P54</f>
        <v>0</v>
      </c>
      <c r="Q10" s="457">
        <f t="shared" si="0"/>
        <v>1761.3538189918625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997.42657652037997</v>
      </c>
      <c r="C14" s="465"/>
      <c r="D14" s="465">
        <f>'SEAP template'!E25</f>
        <v>1535.2080831815501</v>
      </c>
      <c r="E14" s="465"/>
      <c r="F14" s="465"/>
      <c r="G14" s="465"/>
      <c r="H14" s="465"/>
      <c r="I14" s="465"/>
      <c r="J14" s="465"/>
      <c r="K14" s="465"/>
      <c r="L14" s="465"/>
      <c r="M14" s="465"/>
      <c r="N14" s="465"/>
      <c r="O14" s="465"/>
      <c r="P14" s="466"/>
      <c r="Q14" s="457">
        <f t="shared" si="0"/>
        <v>2532.6346597019301</v>
      </c>
    </row>
    <row r="15" spans="1:17" s="470" customFormat="1">
      <c r="A15" s="467" t="s">
        <v>567</v>
      </c>
      <c r="B15" s="468">
        <f ca="1">SUM(B4:B14)</f>
        <v>88710.737815749817</v>
      </c>
      <c r="C15" s="468">
        <f t="shared" ref="C15:Q15" ca="1" si="1">SUM(C4:C14)</f>
        <v>50.625</v>
      </c>
      <c r="D15" s="468">
        <f t="shared" ca="1" si="1"/>
        <v>92586.554352245192</v>
      </c>
      <c r="E15" s="468">
        <f t="shared" si="1"/>
        <v>12951.589406433657</v>
      </c>
      <c r="F15" s="468">
        <f t="shared" ca="1" si="1"/>
        <v>68581.050223701648</v>
      </c>
      <c r="G15" s="468">
        <f t="shared" si="1"/>
        <v>137961.99322405789</v>
      </c>
      <c r="H15" s="468">
        <f t="shared" si="1"/>
        <v>24756.972915541359</v>
      </c>
      <c r="I15" s="468">
        <f t="shared" si="1"/>
        <v>0</v>
      </c>
      <c r="J15" s="468">
        <f t="shared" si="1"/>
        <v>107.11631106597595</v>
      </c>
      <c r="K15" s="468">
        <f t="shared" si="1"/>
        <v>0</v>
      </c>
      <c r="L15" s="468">
        <f t="shared" ca="1" si="1"/>
        <v>0</v>
      </c>
      <c r="M15" s="468">
        <f t="shared" si="1"/>
        <v>7356.5860054237592</v>
      </c>
      <c r="N15" s="468">
        <f t="shared" ca="1" si="1"/>
        <v>16577.802745909092</v>
      </c>
      <c r="O15" s="468">
        <f t="shared" si="1"/>
        <v>284.5266666666667</v>
      </c>
      <c r="P15" s="468">
        <f t="shared" si="1"/>
        <v>819.86666666666667</v>
      </c>
      <c r="Q15" s="468">
        <f t="shared" ca="1" si="1"/>
        <v>450745.42133346177</v>
      </c>
    </row>
    <row r="17" spans="1:17">
      <c r="A17" s="471" t="s">
        <v>568</v>
      </c>
      <c r="B17" s="777">
        <f ca="1">huishoudens!B10</f>
        <v>0.21054800050994218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6547.0638296855468</v>
      </c>
      <c r="C22" s="458">
        <f t="shared" ref="C22:C32" ca="1" si="3">C4*$C$17</f>
        <v>0</v>
      </c>
      <c r="D22" s="458">
        <f t="shared" ref="D22:D32" si="4">D4*$D$17</f>
        <v>9091.2677270647437</v>
      </c>
      <c r="E22" s="458">
        <f t="shared" ref="E22:E32" si="5">E4*$E$17</f>
        <v>2510.1313940190826</v>
      </c>
      <c r="F22" s="458">
        <f t="shared" ref="F22:F32" si="6">F4*$F$17</f>
        <v>13519.420123967433</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31667.883074736805</v>
      </c>
    </row>
    <row r="23" spans="1:17">
      <c r="A23" s="457" t="s">
        <v>155</v>
      </c>
      <c r="B23" s="458">
        <f t="shared" ca="1" si="2"/>
        <v>10243.318824860742</v>
      </c>
      <c r="C23" s="458">
        <f t="shared" ca="1" si="3"/>
        <v>0</v>
      </c>
      <c r="D23" s="458">
        <f t="shared" ca="1" si="4"/>
        <v>2451.9797583341742</v>
      </c>
      <c r="E23" s="458">
        <f t="shared" si="5"/>
        <v>146.27068556062557</v>
      </c>
      <c r="F23" s="458">
        <f t="shared" ca="1" si="6"/>
        <v>2628.8794082256882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15470.448676981228</v>
      </c>
    </row>
    <row r="24" spans="1:17">
      <c r="A24" s="457" t="s">
        <v>193</v>
      </c>
      <c r="B24" s="458">
        <f t="shared" ca="1" si="2"/>
        <v>194.16210237025592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194.16210237025592</v>
      </c>
    </row>
    <row r="25" spans="1:17">
      <c r="A25" s="457" t="s">
        <v>111</v>
      </c>
      <c r="B25" s="458">
        <f t="shared" ca="1" si="2"/>
        <v>142.64456087849146</v>
      </c>
      <c r="C25" s="458">
        <f t="shared" ca="1" si="3"/>
        <v>0</v>
      </c>
      <c r="D25" s="458">
        <f t="shared" si="4"/>
        <v>16.934947490691833</v>
      </c>
      <c r="E25" s="458">
        <f t="shared" si="5"/>
        <v>1.9379604003074169</v>
      </c>
      <c r="F25" s="458">
        <f t="shared" si="6"/>
        <v>624.11696179756029</v>
      </c>
      <c r="G25" s="458">
        <f t="shared" si="7"/>
        <v>0</v>
      </c>
      <c r="H25" s="458">
        <f t="shared" si="8"/>
        <v>0</v>
      </c>
      <c r="I25" s="458">
        <f t="shared" si="9"/>
        <v>0</v>
      </c>
      <c r="J25" s="458">
        <f t="shared" si="10"/>
        <v>36.068025409039493</v>
      </c>
      <c r="K25" s="458">
        <f t="shared" si="11"/>
        <v>0</v>
      </c>
      <c r="L25" s="458">
        <f t="shared" si="12"/>
        <v>0</v>
      </c>
      <c r="M25" s="458">
        <f t="shared" si="13"/>
        <v>0</v>
      </c>
      <c r="N25" s="458">
        <f t="shared" si="14"/>
        <v>0</v>
      </c>
      <c r="O25" s="458">
        <f t="shared" si="15"/>
        <v>0</v>
      </c>
      <c r="P25" s="459">
        <f t="shared" si="16"/>
        <v>0</v>
      </c>
      <c r="Q25" s="457">
        <f t="shared" ca="1" si="17"/>
        <v>821.7024559760905</v>
      </c>
    </row>
    <row r="26" spans="1:17">
      <c r="A26" s="457" t="s">
        <v>655</v>
      </c>
      <c r="B26" s="458">
        <f t="shared" ca="1" si="2"/>
        <v>1338.9317654788151</v>
      </c>
      <c r="C26" s="458">
        <f t="shared" ca="1" si="3"/>
        <v>0</v>
      </c>
      <c r="D26" s="458">
        <f t="shared" si="4"/>
        <v>6829.5064246722422</v>
      </c>
      <c r="E26" s="458">
        <f t="shared" si="5"/>
        <v>163.77635846757423</v>
      </c>
      <c r="F26" s="458">
        <f t="shared" si="6"/>
        <v>1538.7239157376596</v>
      </c>
      <c r="G26" s="458">
        <f t="shared" si="7"/>
        <v>0</v>
      </c>
      <c r="H26" s="458">
        <f t="shared" si="8"/>
        <v>0</v>
      </c>
      <c r="I26" s="458">
        <f t="shared" si="9"/>
        <v>0</v>
      </c>
      <c r="J26" s="458">
        <f t="shared" si="10"/>
        <v>1.8511487083159897</v>
      </c>
      <c r="K26" s="458">
        <f t="shared" si="11"/>
        <v>0</v>
      </c>
      <c r="L26" s="458">
        <f t="shared" si="12"/>
        <v>0</v>
      </c>
      <c r="M26" s="458">
        <f t="shared" si="13"/>
        <v>0</v>
      </c>
      <c r="N26" s="458">
        <f t="shared" si="14"/>
        <v>0</v>
      </c>
      <c r="O26" s="458">
        <f t="shared" si="15"/>
        <v>0</v>
      </c>
      <c r="P26" s="459">
        <f t="shared" si="16"/>
        <v>0</v>
      </c>
      <c r="Q26" s="457">
        <f t="shared" ca="1" si="17"/>
        <v>9872.7896130646059</v>
      </c>
    </row>
    <row r="27" spans="1:17" s="463" customFormat="1">
      <c r="A27" s="461" t="s">
        <v>573</v>
      </c>
      <c r="B27" s="771">
        <f t="shared" ca="1" si="2"/>
        <v>1.7412162521471708</v>
      </c>
      <c r="C27" s="462">
        <f t="shared" ca="1" si="3"/>
        <v>0</v>
      </c>
      <c r="D27" s="462">
        <f t="shared" si="4"/>
        <v>2.6830887890051716</v>
      </c>
      <c r="E27" s="462">
        <f t="shared" si="5"/>
        <v>117.89439681285053</v>
      </c>
      <c r="F27" s="462">
        <f t="shared" si="6"/>
        <v>0</v>
      </c>
      <c r="G27" s="462">
        <f t="shared" si="7"/>
        <v>36385.611315015602</v>
      </c>
      <c r="H27" s="462">
        <f t="shared" si="8"/>
        <v>6164.4862559697985</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42672.416272839408</v>
      </c>
    </row>
    <row r="28" spans="1:17">
      <c r="A28" s="457" t="s">
        <v>563</v>
      </c>
      <c r="B28" s="458">
        <f t="shared" ca="1" si="2"/>
        <v>0</v>
      </c>
      <c r="C28" s="458">
        <f t="shared" ca="1" si="3"/>
        <v>0</v>
      </c>
      <c r="D28" s="458">
        <f t="shared" si="4"/>
        <v>0</v>
      </c>
      <c r="E28" s="458">
        <f t="shared" si="5"/>
        <v>0</v>
      </c>
      <c r="F28" s="458">
        <f t="shared" si="6"/>
        <v>0</v>
      </c>
      <c r="G28" s="458">
        <f t="shared" si="7"/>
        <v>450.24087580786193</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450.24087580786193</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210.00617134184284</v>
      </c>
      <c r="C32" s="458">
        <f t="shared" ca="1" si="3"/>
        <v>0</v>
      </c>
      <c r="D32" s="458">
        <f t="shared" si="4"/>
        <v>310.11203280267313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520.11820414451597</v>
      </c>
    </row>
    <row r="33" spans="1:17" s="470" customFormat="1">
      <c r="A33" s="467" t="s">
        <v>567</v>
      </c>
      <c r="B33" s="468">
        <f ca="1">SUM(B22:B32)</f>
        <v>18677.868470867841</v>
      </c>
      <c r="C33" s="468">
        <f t="shared" ref="C33:Q33" ca="1" si="18">SUM(C22:C32)</f>
        <v>0</v>
      </c>
      <c r="D33" s="468">
        <f t="shared" ca="1" si="18"/>
        <v>18702.483979153534</v>
      </c>
      <c r="E33" s="468">
        <f t="shared" si="18"/>
        <v>2940.0107952604403</v>
      </c>
      <c r="F33" s="468">
        <f t="shared" ca="1" si="18"/>
        <v>18311.140409728341</v>
      </c>
      <c r="G33" s="468">
        <f t="shared" si="18"/>
        <v>36835.852190823462</v>
      </c>
      <c r="H33" s="468">
        <f t="shared" si="18"/>
        <v>6164.4862559697985</v>
      </c>
      <c r="I33" s="468">
        <f t="shared" si="18"/>
        <v>0</v>
      </c>
      <c r="J33" s="468">
        <f t="shared" si="18"/>
        <v>37.919174117355482</v>
      </c>
      <c r="K33" s="468">
        <f t="shared" si="18"/>
        <v>0</v>
      </c>
      <c r="L33" s="468">
        <f t="shared" ca="1" si="18"/>
        <v>0</v>
      </c>
      <c r="M33" s="468">
        <f t="shared" si="18"/>
        <v>0</v>
      </c>
      <c r="N33" s="468">
        <f t="shared" ca="1" si="18"/>
        <v>0</v>
      </c>
      <c r="O33" s="468">
        <f t="shared" si="18"/>
        <v>0</v>
      </c>
      <c r="P33" s="468">
        <f t="shared" si="18"/>
        <v>0</v>
      </c>
      <c r="Q33" s="468">
        <f t="shared" ca="1" si="18"/>
        <v>101669.76127592077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170.3964125560538</v>
      </c>
      <c r="C5" s="1034"/>
      <c r="D5" s="1034"/>
      <c r="E5" s="1034"/>
      <c r="F5" s="1034"/>
      <c r="G5" s="1034"/>
      <c r="H5" s="1034"/>
      <c r="I5" s="1034"/>
      <c r="J5" s="1034"/>
      <c r="K5" s="1034"/>
      <c r="L5" s="1034"/>
      <c r="M5" s="1034"/>
      <c r="N5" s="1034"/>
      <c r="O5" s="1034"/>
      <c r="P5" s="1035">
        <f>'SEAP template'!Q73</f>
        <v>0</v>
      </c>
    </row>
    <row r="6" spans="1:16">
      <c r="A6" s="1036" t="s">
        <v>250</v>
      </c>
      <c r="B6" s="1034">
        <f>'SEAP template'!B74</f>
        <v>3980.0994535655259</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45</v>
      </c>
      <c r="C8" s="1034">
        <f>'SEAP template'!C76</f>
        <v>0</v>
      </c>
      <c r="D8" s="1034">
        <f>'SEAP template'!D76</f>
        <v>0</v>
      </c>
      <c r="E8" s="1034">
        <f>'SEAP template'!E76</f>
        <v>0</v>
      </c>
      <c r="F8" s="1034">
        <f>'SEAP template'!F76</f>
        <v>0</v>
      </c>
      <c r="G8" s="1034">
        <f>'SEAP template'!G76</f>
        <v>0</v>
      </c>
      <c r="H8" s="1034">
        <f>'SEAP template'!H76</f>
        <v>0</v>
      </c>
      <c r="I8" s="1034">
        <f>'SEAP template'!I76</f>
        <v>52.941176470588232</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4195.4958661215796</v>
      </c>
      <c r="C10" s="1038">
        <f>SUM(C4:C9)</f>
        <v>0</v>
      </c>
      <c r="D10" s="1038">
        <f t="shared" ref="D10:H10" si="0">SUM(D8:D9)</f>
        <v>0</v>
      </c>
      <c r="E10" s="1038">
        <f t="shared" si="0"/>
        <v>0</v>
      </c>
      <c r="F10" s="1038">
        <f t="shared" si="0"/>
        <v>0</v>
      </c>
      <c r="G10" s="1038">
        <f t="shared" si="0"/>
        <v>0</v>
      </c>
      <c r="H10" s="1038">
        <f t="shared" si="0"/>
        <v>0</v>
      </c>
      <c r="I10" s="1038">
        <f>SUM(I8:I9)</f>
        <v>52.941176470588232</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0.21054800050994218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50.625</v>
      </c>
      <c r="C17" s="1040">
        <f>'SEAP template'!C87</f>
        <v>0</v>
      </c>
      <c r="D17" s="1035">
        <f>'SEAP template'!D87</f>
        <v>0</v>
      </c>
      <c r="E17" s="1035">
        <f>'SEAP template'!E87</f>
        <v>0</v>
      </c>
      <c r="F17" s="1035">
        <f>'SEAP template'!F87</f>
        <v>0</v>
      </c>
      <c r="G17" s="1035">
        <f>'SEAP template'!G87</f>
        <v>0</v>
      </c>
      <c r="H17" s="1035">
        <f>'SEAP template'!H87</f>
        <v>0</v>
      </c>
      <c r="I17" s="1035">
        <f>'SEAP template'!I87</f>
        <v>59.558823529411768</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50.625</v>
      </c>
      <c r="C20" s="1038">
        <f>SUM(C17:C19)</f>
        <v>0</v>
      </c>
      <c r="D20" s="1038">
        <f t="shared" ref="D20:H20" si="2">SUM(D17:D19)</f>
        <v>0</v>
      </c>
      <c r="E20" s="1038">
        <f t="shared" si="2"/>
        <v>0</v>
      </c>
      <c r="F20" s="1038">
        <f t="shared" si="2"/>
        <v>0</v>
      </c>
      <c r="G20" s="1038">
        <f t="shared" si="2"/>
        <v>0</v>
      </c>
      <c r="H20" s="1038">
        <f t="shared" si="2"/>
        <v>0</v>
      </c>
      <c r="I20" s="1038">
        <f>SUM(I17:I19)</f>
        <v>59.558823529411768</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0.21054800050994218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2020-06-20T16:17:41Z</dcterms:modified>
</cp:coreProperties>
</file>