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B45" i="18"/>
  <c r="I49" i="18" s="1"/>
  <c r="H17" i="18" s="1"/>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L20" i="18"/>
  <c r="D20" i="18"/>
  <c r="B17" i="18"/>
  <c r="G12" i="18"/>
  <c r="F12" i="18"/>
  <c r="E12" i="18"/>
  <c r="D12" i="18"/>
  <c r="C12" i="18"/>
  <c r="L10" i="18"/>
  <c r="K10" i="18"/>
  <c r="G10" i="18"/>
  <c r="D10" i="18"/>
  <c r="B8" i="18"/>
  <c r="B6" i="18"/>
  <c r="B5" i="18"/>
  <c r="B4" i="18"/>
  <c r="I48" i="18" l="1"/>
  <c r="H8" i="18" s="1"/>
  <c r="H10" i="18" s="1"/>
  <c r="G48" i="18"/>
  <c r="F48" i="18"/>
  <c r="D48" i="18"/>
  <c r="H48" i="18"/>
  <c r="C48" i="18"/>
  <c r="B48" i="18"/>
  <c r="C8" i="18" s="1"/>
  <c r="C10" i="18" s="1"/>
  <c r="C49" i="18"/>
  <c r="B20" i="18"/>
  <c r="F49" i="18"/>
  <c r="G49" i="18"/>
  <c r="I17" i="18" s="1"/>
  <c r="F20" i="18"/>
  <c r="B49" i="18"/>
  <c r="C17" i="18" s="1"/>
  <c r="O18" i="18"/>
  <c r="H20" i="18"/>
  <c r="G20" i="18"/>
  <c r="K20" i="18"/>
  <c r="B10" i="18"/>
  <c r="O19" i="18"/>
  <c r="O9" i="18"/>
  <c r="I20" i="18"/>
  <c r="C20" i="18"/>
  <c r="D49" i="18"/>
  <c r="H49" i="18"/>
  <c r="E48" i="18"/>
  <c r="E8" i="18" s="1"/>
  <c r="E10" i="18" s="1"/>
  <c r="E49" i="18"/>
  <c r="E17" i="18" s="1"/>
  <c r="E20" i="18" s="1"/>
  <c r="N6" i="17"/>
  <c r="J8" i="18" l="1"/>
  <c r="J10" i="18" s="1"/>
  <c r="I8" i="18"/>
  <c r="I10" i="18" s="1"/>
  <c r="O8" i="18"/>
  <c r="O10" i="18" s="1"/>
  <c r="J17" i="18"/>
  <c r="J20" i="18" s="1"/>
  <c r="L6" i="17"/>
  <c r="F6" i="17"/>
  <c r="D6" i="17"/>
  <c r="C6" i="17"/>
  <c r="N16" i="16"/>
  <c r="L16" i="16"/>
  <c r="F16" i="16"/>
  <c r="D16" i="16"/>
  <c r="C16" i="16"/>
  <c r="B16" i="16"/>
  <c r="B13" i="15"/>
  <c r="O17" i="18" l="1"/>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L20" i="59" l="1"/>
  <c r="D14" i="48"/>
  <c r="D32" i="4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Q14" i="48" l="1"/>
  <c r="C89" i="14"/>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P4" i="48" l="1"/>
  <c r="P22" i="48" s="1"/>
  <c r="Q11" i="14"/>
  <c r="C24" i="14"/>
  <c r="C26" i="14" s="1"/>
  <c r="B7" i="48"/>
  <c r="O4" i="48"/>
  <c r="O22" i="48" s="1"/>
  <c r="P11" i="14"/>
  <c r="D4" i="48"/>
  <c r="D22" i="48" s="1"/>
  <c r="E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s="1"/>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B47" i="13"/>
  <c r="N12" i="16"/>
  <c r="J12" i="16"/>
  <c r="F12" i="16"/>
  <c r="E12" i="16"/>
  <c r="B46" i="13"/>
  <c r="E5" i="13" s="1"/>
  <c r="E8" i="13" s="1"/>
  <c r="B48" i="13"/>
  <c r="C48" i="13" s="1"/>
  <c r="N5" i="13" s="1"/>
  <c r="N8" i="13" s="1"/>
  <c r="C50" i="13"/>
  <c r="J5" i="13" s="1"/>
  <c r="J8" i="13" s="1"/>
  <c r="Q63" i="14" l="1"/>
  <c r="F24" i="14"/>
  <c r="F26" i="14" s="1"/>
  <c r="E7" i="48"/>
  <c r="E25" i="48" s="1"/>
  <c r="O8" i="48"/>
  <c r="O26" i="48" s="1"/>
  <c r="P13" i="14"/>
  <c r="P16" i="14"/>
  <c r="P27" i="14" s="1"/>
  <c r="O23" i="48"/>
  <c r="O33" i="48" s="1"/>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52" i="14" s="1"/>
  <c r="N61" i="14" s="1"/>
  <c r="J20" i="15"/>
  <c r="K40" i="14" s="1"/>
  <c r="N20" i="15"/>
  <c r="O40" i="14" s="1"/>
  <c r="F20" i="15"/>
  <c r="G40" i="14" s="1"/>
  <c r="N5" i="16"/>
  <c r="E5" i="16"/>
  <c r="J5" i="16"/>
  <c r="C35" i="13"/>
  <c r="F5" i="16"/>
  <c r="C36" i="13"/>
  <c r="N12" i="13"/>
  <c r="O41" i="14" s="1"/>
  <c r="C38" i="13"/>
  <c r="C39" i="13"/>
  <c r="C32" i="13"/>
  <c r="C34" i="13"/>
  <c r="J12" i="13"/>
  <c r="K41" i="14" s="1"/>
  <c r="L20" i="15"/>
  <c r="M40" i="14" s="1"/>
  <c r="M46" i="14" s="1"/>
  <c r="K10" i="14" l="1"/>
  <c r="J5" i="48"/>
  <c r="J23" i="48" s="1"/>
  <c r="H22" i="14"/>
  <c r="H27" i="14" s="1"/>
  <c r="E20" i="15"/>
  <c r="F40" i="14" s="1"/>
  <c r="F10" i="14"/>
  <c r="E5" i="48"/>
  <c r="E23" i="48" s="1"/>
  <c r="E46" i="14"/>
  <c r="O15" i="48"/>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Q5"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33" i="48" l="1"/>
  <c r="E8" i="48"/>
  <c r="E26" i="48" s="1"/>
  <c r="F13" i="14"/>
  <c r="F16" i="14" s="1"/>
  <c r="F27" i="14" s="1"/>
  <c r="E22" i="16"/>
  <c r="F43" i="14" s="1"/>
  <c r="F46" i="14" s="1"/>
  <c r="F61" i="14" s="1"/>
  <c r="H63" i="14"/>
  <c r="E63" i="14"/>
  <c r="J22" i="16"/>
  <c r="K43" i="14" s="1"/>
  <c r="K46" i="14" s="1"/>
  <c r="K61" i="14" s="1"/>
  <c r="K13" i="14"/>
  <c r="K16" i="14" s="1"/>
  <c r="K27" i="14" s="1"/>
  <c r="J8" i="48"/>
  <c r="E15" i="48"/>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J26" i="48" l="1"/>
  <c r="J33" i="48" s="1"/>
  <c r="J15" i="48"/>
  <c r="F63" i="14"/>
  <c r="K63" i="14"/>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<sst xmlns="http://schemas.openxmlformats.org/spreadsheetml/2006/main" count="2456" uniqueCount="925">
  <si>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</si>
  <si>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</si>
  <si>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</si>
  <si>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</si>
  <si>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</si>
  <si>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</si>
  <si>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</si>
  <si>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</si>
  <si>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</si>
  <si>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</si>
  <si>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</si>
  <si>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</si>
  <si>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</si>
  <si>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</si>
  <si>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</si>
  <si>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</si>
  <si>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</si>
  <si>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</si>
  <si>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</si>
  <si>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</si>
  <si>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</si>
  <si>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</si>
  <si>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</si>
  <si>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</si>
  <si>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</si>
  <si>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</si>
  <si>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</si>
  <si>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</si>
  <si>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</si>
  <si>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</si>
  <si>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</si>
  <si>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</si>
  <si>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</si>
  <si>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</si>
  <si>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</si>
  <si>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</si>
  <si>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</si>
  <si>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</si>
  <si>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</si>
  <si>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</si>
  <si>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</si>
  <si>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</si>
  <si>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</si>
  <si>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</si>
  <si>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</si>
  <si>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</si>
  <si>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</si>
  <si>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</si>
  <si>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</si>
  <si>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</si>
  <si>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</si>
  <si>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</si>
  <si>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</si>
  <si>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</si>
  <si>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</si>
  <si>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</si>
  <si>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</si>
  <si>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</si>
  <si>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</si>
  <si>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</si>
  <si>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</si>
  <si>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</si>
  <si>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</si>
  <si>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</si>
  <si>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</si>
  <si>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</si>
  <si>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</si>
  <si>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</si>
  <si>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</si>
  <si>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</si>
  <si>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</si>
  <si>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</si>
  <si>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</si>
  <si>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</si>
  <si>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</si>
  <si>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</si>
  <si>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</si>
  <si>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</si>
  <si>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</si>
  <si>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</si>
  <si>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</si>
  <si>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</si>
  <si>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</si>
  <si>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</si>
  <si>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</si>
  <si>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</si>
  <si>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</si>
  <si>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</si>
  <si>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</si>
  <si>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</si>
  <si>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</si>
  <si>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</si>
  <si>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</si>
  <si>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</si>
  <si>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</si>
  <si>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</si>
  <si>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</si>
  <si>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</si>
  <si>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</si>
  <si>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</si>
  <si>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</si>
  <si>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</si>
  <si>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</si>
  <si>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</si>
  <si>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</si>
  <si>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</si>
  <si>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</si>
  <si>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</si>
  <si>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</si>
  <si>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</si>
  <si>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</si>
  <si>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</si>
  <si>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</si>
  <si>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</si>
  <si>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</si>
  <si>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</si>
  <si>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</si>
  <si>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</si>
  <si>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</si>
  <si>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</si>
  <si>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</si>
  <si>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</si>
  <si>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</si>
  <si>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</si>
  <si>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</si>
  <si>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</si>
  <si>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</si>
  <si>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</si>
  <si>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</si>
  <si>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</si>
  <si>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</si>
  <si>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</si>
  <si>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</si>
  <si>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</si>
  <si>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</si>
  <si>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</si>
  <si>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</si>
  <si>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</si>
  <si>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</si>
  <si>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</si>
  <si>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</si>
  <si>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</si>
  <si>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</si>
  <si>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</si>
  <si>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</si>
  <si>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</si>
  <si>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</si>
  <si>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</si>
  <si>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</si>
  <si>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</si>
  <si>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</si>
  <si>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</si>
  <si>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</si>
  <si>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</si>
  <si>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</si>
  <si>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</si>
  <si>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</si>
  <si>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</si>
  <si>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</si>
  <si>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</si>
  <si>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</si>
  <si>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</si>
  <si>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</si>
  <si>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</si>
  <si>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</si>
  <si>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</si>
  <si>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</si>
  <si>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</si>
  <si>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</si>
  <si>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</si>
  <si>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</si>
  <si>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</si>
  <si>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</si>
  <si>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</si>
  <si>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</si>
  <si>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</si>
  <si>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</si>
  <si>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</si>
  <si>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</si>
  <si>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</si>
  <si>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</si>
  <si>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</si>
  <si>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</si>
  <si>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</si>
  <si>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</si>
  <si>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</si>
  <si>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</si>
  <si>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</si>
  <si>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</si>
  <si>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</si>
  <si>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</si>
  <si>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</si>
  <si>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</si>
  <si>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</si>
  <si>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</si>
  <si>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</si>
  <si>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</si>
  <si>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</si>
  <si>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</si>
  <si>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</si>
  <si>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</si>
  <si>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</si>
  <si>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</si>
  <si>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</si>
  <si>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</si>
  <si>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</si>
  <si>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</si>
  <si>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</si>
  <si>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</si>
  <si>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</si>
  <si>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</si>
  <si>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</si>
  <si>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</si>
  <si>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</si>
  <si>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</si>
  <si>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</si>
  <si>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</si>
  <si>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</si>
  <si>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</si>
  <si>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</si>
  <si>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</si>
  <si>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</si>
  <si>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</si>
  <si>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</si>
  <si>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</si>
  <si>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</si>
  <si>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</si>
  <si>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</si>
  <si>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</si>
  <si>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</si>
  <si>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</si>
  <si>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</si>
  <si>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</si>
  <si>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</si>
  <si>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</si>
  <si>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</si>
  <si>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</si>
  <si>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</si>
  <si>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</si>
  <si>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</si>
  <si>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</si>
  <si>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</si>
  <si>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</si>
  <si>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</si>
  <si>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</si>
  <si>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</si>
  <si>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</si>
  <si>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</si>
  <si>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</si>
  <si>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</si>
  <si>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</si>
  <si>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</si>
  <si>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</si>
  <si>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</si>
  <si>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</si>
  <si>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</si>
  <si>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</si>
  <si>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</si>
  <si>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</si>
  <si>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</si>
  <si>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</si>
  <si>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</si>
  <si>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</si>
  <si>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</si>
  <si>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</si>
  <si>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</si>
  <si>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</si>
  <si>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</si>
  <si>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</si>
  <si>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</si>
  <si>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</si>
  <si>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</si>
  <si>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</si>
  <si>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</si>
  <si>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</si>
  <si>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</si>
  <si>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</si>
  <si>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</si>
  <si>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</si>
  <si>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</si>
  <si>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</si>
  <si>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</si>
  <si>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</si>
  <si>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</si>
  <si>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</si>
  <si>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</si>
  <si>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</si>
  <si>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</si>
  <si>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</si>
  <si>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</si>
  <si>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</si>
  <si>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</si>
  <si>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</si>
  <si>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</si>
  <si>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</si>
  <si>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</si>
  <si>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</si>
  <si>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</si>
  <si>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</si>
  <si>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</si>
  <si>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</si>
  <si>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</si>
  <si>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</si>
  <si>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</si>
  <si>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</si>
  <si>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</si>
  <si>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</si>
  <si>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</si>
  <si>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</si>
  <si>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</si>
  <si>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</si>
  <si>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</si>
  <si>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</si>
  <si>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</si>
  <si>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</si>
  <si>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</si>
  <si>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</si>
  <si>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</si>
  <si>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</si>
  <si>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</si>
  <si>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</si>
  <si>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</si>
  <si>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</si>
  <si>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</si>
  <si>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</si>
  <si>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</si>
  <si>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</si>
  <si>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</si>
  <si>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</si>
  <si>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</si>
  <si>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</si>
  <si>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</si>
  <si>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</si>
  <si>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</si>
  <si>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</si>
  <si>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</si>
  <si>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</si>
  <si>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</si>
  <si>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</si>
  <si>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</si>
  <si>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</si>
  <si>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</si>
  <si>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</si>
  <si>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</si>
  <si>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</si>
  <si>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</si>
  <si>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</si>
  <si>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</si>
  <si>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</si>
  <si>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</si>
  <si>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</si>
  <si>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</si>
  <si>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</si>
  <si>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</si>
  <si>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</si>
  <si>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</si>
  <si>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</si>
  <si>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</si>
  <si>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</si>
  <si>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</si>
  <si>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</si>
  <si>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</si>
  <si>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</si>
  <si>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</si>
  <si>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</si>
  <si>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</si>
  <si>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</si>
  <si>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</si>
  <si>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</si>
  <si>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</si>
  <si>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</si>
  <si>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</si>
  <si>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</si>
  <si>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</si>
  <si>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</si>
  <si>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</si>
  <si>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</si>
  <si>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</si>
  <si>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</si>
  <si>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</si>
  <si>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</si>
  <si>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</si>
  <si>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</si>
  <si>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</si>
  <si>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</si>
  <si>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</si>
  <si>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</si>
  <si>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</si>
  <si>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</si>
  <si>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</si>
  <si>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</si>
  <si>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</si>
  <si>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</si>
  <si>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</si>
  <si>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</si>
  <si>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</si>
  <si>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</si>
  <si>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</si>
  <si>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</si>
  <si>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</si>
  <si>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</si>
  <si>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</si>
  <si>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</si>
  <si>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</si>
  <si>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</si>
  <si>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</si>
  <si>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</si>
  <si>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</si>
  <si>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</si>
  <si>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</si>
  <si>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</si>
  <si>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</si>
  <si>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</si>
  <si>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</si>
  <si>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</si>
  <si>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</si>
  <si>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</si>
  <si>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</si>
  <si>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</si>
  <si>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</si>
  <si>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</si>
  <si>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</si>
  <si>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</si>
  <si>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</si>
  <si>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</si>
  <si>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</si>
  <si>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</si>
  <si>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</si>
  <si>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</si>
  <si>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</si>
  <si>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</si>
  <si>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</si>
  <si>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</si>
  <si>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</si>
  <si>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</si>
  <si>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</si>
  <si>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</si>
  <si>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</si>
  <si>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</si>
  <si>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</si>
  <si>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</si>
  <si>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</si>
  <si>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</si>
  <si>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</si>
  <si>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</si>
  <si>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</si>
  <si>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</si>
  <si>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</si>
  <si>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</si>
  <si>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</si>
  <si>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</si>
  <si>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</si>
  <si>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</si>
  <si>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</si>
  <si>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</si>
  <si>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</si>
  <si>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</si>
  <si>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</si>
  <si>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</si>
  <si>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</si>
  <si>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</si>
  <si>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</si>
  <si>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</si>
  <si>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</si>
  <si>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</si>
  <si>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</si>
  <si>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</si>
  <si>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</si>
  <si>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</si>
  <si>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</si>
  <si>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</si>
  <si>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</si>
  <si>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</si>
  <si>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</si>
  <si>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</si>
  <si>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</si>
  <si>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</si>
  <si>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</si>
  <si>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</si>
  <si>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</si>
  <si>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</si>
  <si>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</si>
  <si>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</si>
  <si>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</si>
  <si>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</si>
  <si>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</si>
  <si>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</si>
  <si>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</si>
  <si>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</si>
  <si>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</si>
  <si>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</si>
  <si>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</si>
  <si>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</si>
  <si>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</si>
  <si>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</si>
  <si>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</si>
  <si>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</si>
  <si>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</si>
  <si>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</si>
  <si>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</si>
  <si>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</si>
  <si>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</si>
  <si>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</si>
  <si>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</si>
  <si>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</si>
  <si>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</si>
  <si>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</si>
  <si>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</si>
  <si>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</si>
  <si>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</si>
  <si>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</si>
  <si>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</si>
  <si>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</si>
  <si>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</si>
  <si>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</si>
  <si>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</si>
  <si>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</si>
  <si>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</si>
  <si>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</si>
  <si>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</si>
  <si>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</si>
  <si>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</si>
  <si>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</si>
  <si>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</si>
  <si>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</si>
  <si>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</si>
  <si>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</si>
  <si>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</si>
  <si>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</si>
  <si>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</si>
  <si>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</si>
  <si>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</si>
  <si>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</si>
  <si>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</si>
  <si>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</si>
  <si>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</si>
  <si>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</si>
  <si>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</si>
  <si>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</si>
  <si>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</si>
  <si>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</si>
  <si>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</si>
  <si>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</si>
  <si>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</si>
  <si>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</si>
  <si>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</si>
  <si>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</si>
  <si>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</si>
  <si>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</si>
  <si>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</si>
  <si>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</si>
  <si>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</si>
  <si>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</si>
  <si>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</si>
  <si>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</si>
  <si>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</si>
  <si>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</si>
  <si>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</si>
  <si>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</si>
  <si>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</si>
  <si>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</si>
  <si>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</si>
  <si>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</si>
  <si>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</si>
  <si>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</si>
  <si>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</si>
  <si>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</si>
  <si>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</si>
  <si>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</si>
  <si>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</si>
  <si>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</si>
  <si>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</si>
  <si>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</si>
  <si>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</si>
  <si>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</si>
  <si>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</si>
  <si>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</si>
  <si>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</si>
  <si>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</si>
  <si>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</si>
  <si>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</si>
  <si>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</si>
  <si>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</si>
  <si>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</si>
  <si>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</si>
  <si>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</si>
  <si>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</si>
  <si>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</si>
  <si>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</si>
  <si>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</si>
  <si>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</si>
  <si>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</si>
  <si>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</si>
  <si>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</si>
  <si>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</si>
  <si>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</si>
  <si>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</si>
  <si>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</si>
  <si>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</si>
  <si>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</si>
  <si>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</si>
  <si>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</si>
  <si>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</si>
  <si>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</si>
  <si>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</si>
  <si>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</si>
  <si>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</si>
  <si>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</si>
  <si>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</si>
  <si>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</si>
  <si>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</si>
  <si>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</si>
  <si>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</si>
  <si>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</si>
  <si>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</si>
  <si>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</si>
  <si>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</si>
  <si>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</si>
  <si>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</si>
  <si>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</si>
  <si>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</si>
  <si>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</si>
  <si>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</si>
  <si>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</si>
  <si>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</si>
  <si>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</si>
  <si>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</si>
  <si>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</si>
  <si>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</si>
  <si>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</si>
  <si>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</si>
  <si>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</si>
  <si>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</si>
  <si>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</si>
  <si>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</si>
  <si>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</si>
  <si>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</si>
  <si>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</si>
  <si>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</si>
  <si>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</si>
  <si>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</si>
  <si>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</si>
  <si>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</si>
  <si>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</si>
  <si>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</si>
  <si>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</si>
  <si>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</si>
  <si>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</si>
  <si>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</si>
  <si>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</si>
  <si>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</si>
  <si>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</si>
  <si>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</si>
  <si>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</si>
  <si>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</si>
  <si>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</si>
  <si>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</si>
  <si>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</si>
  <si>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</si>
  <si>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</si>
  <si>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</si>
  <si>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</si>
  <si>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</si>
  <si>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</si>
  <si>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</si>
  <si>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</si>
  <si>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</si>
  <si>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</si>
  <si>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</si>
  <si>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</si>
  <si>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</si>
  <si>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</si>
  <si>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</si>
  <si>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</si>
  <si>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</si>
  <si>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</si>
  <si>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</si>
  <si>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</si>
  <si>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</si>
  <si>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</si>
  <si>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</si>
  <si>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</si>
  <si>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</si>
  <si>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</si>
  <si>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</si>
  <si>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</si>
  <si>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</si>
  <si>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</si>
  <si>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</si>
  <si>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</si>
  <si>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</si>
  <si>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</si>
  <si>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</si>
  <si>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</si>
  <si>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</si>
  <si>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</si>
  <si>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</si>
  <si>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</si>
  <si>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</si>
  <si>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</si>
  <si>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</si>
  <si>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</si>
  <si>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</si>
  <si>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</si>
  <si>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</si>
  <si>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</si>
  <si>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</si>
  <si>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</si>
  <si>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</si>
  <si>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</si>
  <si>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</si>
  <si>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</si>
  <si>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</si>
  <si>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</si>
  <si>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</si>
  <si>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</si>
  <si>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</si>
  <si>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</si>
  <si>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</si>
  <si>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</si>
  <si>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</si>
  <si>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</si>
  <si>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</si>
  <si>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</si>
  <si>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</si>
  <si>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</si>
  <si>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</si>
  <si>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</si>
  <si>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</si>
  <si>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</si>
  <si>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</si>
  <si>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</si>
  <si>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</si>
  <si>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</si>
  <si>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</si>
  <si>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</si>
  <si>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</si>
  <si>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</si>
  <si>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</si>
  <si>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</si>
  <si>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</si>
  <si>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</si>
  <si>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</si>
  <si>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</si>
  <si>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</si>
  <si>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</si>
  <si>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</si>
  <si>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</si>
  <si>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</si>
  <si>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</si>
  <si>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</si>
  <si>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</si>
  <si>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</si>
  <si>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</si>
  <si>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</si>
  <si>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</si>
  <si>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</si>
  <si>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</si>
  <si>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</si>
  <si>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</si>
  <si>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</si>
  <si>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</si>
  <si>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</si>
  <si>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</si>
  <si>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</si>
  <si>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</si>
  <si>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</si>
  <si>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</si>
  <si>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</si>
  <si>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</si>
  <si>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</si>
  <si>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</si>
  <si>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</si>
  <si>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</si>
  <si>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</si>
  <si>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</si>
  <si>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</si>
  <si>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</si>
  <si>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</si>
  <si>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</si>
  <si>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</si>
  <si>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</si>
  <si>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</si>
  <si>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</si>
  <si>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</si>
  <si>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</si>
  <si>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</si>
  <si>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</si>
  <si>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</si>
  <si>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</si>
  <si>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</si>
  <si>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</si>
  <si>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</si>
  <si>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</si>
  <si>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</si>
  <si>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</si>
  <si>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</si>
  <si>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</si>
  <si>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</si>
  <si>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</si>
  <si>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</si>
  <si>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</si>
  <si>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</si>
  <si>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</si>
  <si>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</si>
  <si>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</si>
  <si>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</si>
  <si>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</si>
  <si>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</si>
  <si>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</si>
  <si>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</si>
  <si>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</si>
  <si>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</si>
  <si>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</si>
  <si>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</si>
  <si>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</si>
  <si>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</si>
  <si>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</si>
  <si>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</si>
  <si>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</si>
  <si>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</si>
  <si>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</si>
  <si>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</si>
  <si>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</si>
  <si>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</si>
  <si>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</si>
  <si>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</si>
  <si>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</si>
  <si>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</si>
  <si>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</si>
  <si>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</si>
  <si>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</si>
  <si>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</si>
  <si>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</si>
  <si>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</si>
  <si>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</si>
  <si>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</si>
  <si>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</si>
  <si>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</si>
  <si>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</si>
  <si>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</si>
  <si>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</si>
  <si>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</si>
  <si>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</si>
  <si>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</si>
  <si>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</si>
  <si>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</si>
  <si>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</si>
  <si>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</si>
  <si>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</si>
  <si>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</si>
  <si>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</si>
  <si>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</si>
  <si>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</si>
  <si>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</si>
  <si>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</si>
  <si>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</si>
  <si>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</si>
  <si>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</si>
  <si>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</si>
  <si>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</si>
  <si>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</si>
  <si>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</si>
  <si>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</si>
  <si>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</si>
  <si>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</si>
  <si>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</si>
  <si>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</si>
  <si>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</si>
  <si>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</si>
  <si>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</si>
  <si>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</si>
  <si>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</si>
  <si>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</si>
  <si>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</si>
  <si>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</si>
  <si>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</si>
  <si>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</si>
  <si>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</si>
  <si>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</si>
  <si>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</si>
  <si>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</si>
  <si>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</si>
  <si>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</si>
  <si>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</si>
  <si>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</si>
  <si>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</si>
  <si>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</si>
  <si>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</si>
  <si>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</si>
  <si>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</si>
  <si>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</si>
  <si>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</si>
  <si>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</si>
  <si>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</si>
  <si>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</si>
  <si>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</si>
  <si>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</si>
  <si>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</si>
  <si>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</si>
  <si>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</si>
  <si>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</si>
  <si>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</si>
  <si>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</si>
  <si>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</si>
  <si>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</si>
  <si>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</si>
  <si>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</si>
  <si>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</si>
  <si>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</si>
  <si>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</si>
  <si>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</si>
  <si>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</si>
  <si>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24011</t>
  </si>
  <si>
    <t>BIERBEEK</t>
  </si>
  <si>
    <t>Cultuurgrond (ha)</t>
  </si>
  <si>
    <t>Paarden&amp;pony's 200 - 600 kg</t>
  </si>
  <si>
    <t>Paarden&amp;pony's &lt; 200 kg</t>
  </si>
  <si>
    <t>Fluvius</t>
  </si>
  <si>
    <t>referentietaak LNE (2017); Jaarverslag De Lijn</t>
  </si>
  <si>
    <t>Luc Nuyens</t>
  </si>
  <si>
    <t>Panoramalaan 20 , 3360 Korbeek-Lo</t>
  </si>
  <si>
    <t>WKK-0392 Luc Nuyens</t>
  </si>
  <si>
    <t>stirlingmotor</t>
  </si>
  <si>
    <t>IVERLEK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</si>
</sst>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86814.852474142142</c:v>
                </c:pt>
                <c:pt idx="1">
                  <c:v>35046.14286794269</c:v>
                </c:pt>
                <c:pt idx="2">
                  <c:v>491.88</c:v>
                </c:pt>
                <c:pt idx="3">
                  <c:v>2967.0795740207518</c:v>
                </c:pt>
                <c:pt idx="4">
                  <c:v>3331.9785189513318</c:v>
                </c:pt>
                <c:pt idx="5">
                  <c:v>121873.11691973175</c:v>
                </c:pt>
                <c:pt idx="6">
                  <c:v>2454.9141926643879</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86814.852474142142</c:v>
                </c:pt>
                <c:pt idx="1">
                  <c:v>35046.14286794269</c:v>
                </c:pt>
                <c:pt idx="2">
                  <c:v>491.88</c:v>
                </c:pt>
                <c:pt idx="3">
                  <c:v>2967.0795740207518</c:v>
                </c:pt>
                <c:pt idx="4">
                  <c:v>3331.9785189513318</c:v>
                </c:pt>
                <c:pt idx="5">
                  <c:v>121873.11691973175</c:v>
                </c:pt>
                <c:pt idx="6">
                  <c:v>2454.9141926643879</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17355.667311881691</c:v>
                </c:pt>
                <c:pt idx="2">
                  <c:v>7128.7455637000903</c:v>
                </c:pt>
                <c:pt idx="3">
                  <c:v>101.11920612084646</c:v>
                </c:pt>
                <c:pt idx="4">
                  <c:v>756.14086686320957</c:v>
                </c:pt>
                <c:pt idx="5">
                  <c:v>710.78966508053031</c:v>
                </c:pt>
                <c:pt idx="6">
                  <c:v>30803.16854166417</c:v>
                </c:pt>
                <c:pt idx="7">
                  <c:v>627.53020104217387</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17355.667311881691</c:v>
                </c:pt>
                <c:pt idx="2">
                  <c:v>7128.7455637000903</c:v>
                </c:pt>
                <c:pt idx="3">
                  <c:v>101.11920612084646</c:v>
                </c:pt>
                <c:pt idx="4">
                  <c:v>756.14086686320957</c:v>
                </c:pt>
                <c:pt idx="5">
                  <c:v>710.78966508053031</c:v>
                </c:pt>
                <c:pt idx="6">
                  <c:v>30803.16854166417</c:v>
                </c:pt>
                <c:pt idx="7">
                  <c:v>627.53020104217387</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24011</v>
      </c>
      <c r="B6" s="395"/>
      <c r="C6" s="396"/>
    </row>
    <row r="7" spans="1:7" s="393" customFormat="1" ht="15.75" customHeight="1">
      <c r="A7" s="397" t="str">
        <f>txtMunicipality</f>
        <v>BIERBEEK</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0.20557698243646105</v>
      </c>
      <c r="C17" s="508">
        <f ca="1">'EF ele_warmte'!B22</f>
        <v>0.22444444444444447</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0.20557698243646105</v>
      </c>
      <c r="C29" s="509">
        <f ca="1">'EF ele_warmte'!B22</f>
        <v>0.22444444444444447</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3716</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2047</v>
      </c>
      <c r="C14" s="332"/>
      <c r="D14" s="332"/>
      <c r="E14" s="332"/>
      <c r="F14" s="332"/>
    </row>
    <row r="15" spans="1:6">
      <c r="A15" s="1306" t="s">
        <v>183</v>
      </c>
      <c r="B15" s="1307">
        <v>4</v>
      </c>
      <c r="C15" s="332"/>
      <c r="D15" s="332"/>
      <c r="E15" s="332"/>
      <c r="F15" s="332"/>
    </row>
    <row r="16" spans="1:6">
      <c r="A16" s="1306" t="s">
        <v>6</v>
      </c>
      <c r="B16" s="1307">
        <v>74</v>
      </c>
      <c r="C16" s="332"/>
      <c r="D16" s="332"/>
      <c r="E16" s="332"/>
      <c r="F16" s="332"/>
    </row>
    <row r="17" spans="1:6">
      <c r="A17" s="1306" t="s">
        <v>7</v>
      </c>
      <c r="B17" s="1307">
        <v>149</v>
      </c>
      <c r="C17" s="332"/>
      <c r="D17" s="332"/>
      <c r="E17" s="332"/>
      <c r="F17" s="332"/>
    </row>
    <row r="18" spans="1:6">
      <c r="A18" s="1306" t="s">
        <v>8</v>
      </c>
      <c r="B18" s="1307">
        <v>180</v>
      </c>
      <c r="C18" s="332"/>
      <c r="D18" s="332"/>
      <c r="E18" s="332"/>
      <c r="F18" s="332"/>
    </row>
    <row r="19" spans="1:6">
      <c r="A19" s="1306" t="s">
        <v>9</v>
      </c>
      <c r="B19" s="1307">
        <v>261</v>
      </c>
      <c r="C19" s="332"/>
      <c r="D19" s="332"/>
      <c r="E19" s="332"/>
      <c r="F19" s="332"/>
    </row>
    <row r="20" spans="1:6">
      <c r="A20" s="1306" t="s">
        <v>10</v>
      </c>
      <c r="B20" s="1307">
        <v>103</v>
      </c>
      <c r="C20" s="332"/>
      <c r="D20" s="332"/>
      <c r="E20" s="332"/>
      <c r="F20" s="332"/>
    </row>
    <row r="21" spans="1:6">
      <c r="A21" s="1306" t="s">
        <v>11</v>
      </c>
      <c r="B21" s="1307">
        <v>1193</v>
      </c>
      <c r="C21" s="332"/>
      <c r="D21" s="332"/>
      <c r="E21" s="332"/>
      <c r="F21" s="332"/>
    </row>
    <row r="22" spans="1:6">
      <c r="A22" s="1306" t="s">
        <v>12</v>
      </c>
      <c r="B22" s="1307">
        <v>2960</v>
      </c>
      <c r="C22" s="332"/>
      <c r="D22" s="332"/>
      <c r="E22" s="332"/>
      <c r="F22" s="332"/>
    </row>
    <row r="23" spans="1:6">
      <c r="A23" s="1306" t="s">
        <v>13</v>
      </c>
      <c r="B23" s="1307">
        <v>15</v>
      </c>
      <c r="C23" s="332"/>
      <c r="D23" s="332"/>
      <c r="E23" s="332"/>
      <c r="F23" s="332"/>
    </row>
    <row r="24" spans="1:6">
      <c r="A24" s="1306" t="s">
        <v>14</v>
      </c>
      <c r="B24" s="1307">
        <v>3</v>
      </c>
      <c r="C24" s="332"/>
      <c r="D24" s="332"/>
      <c r="E24" s="332"/>
      <c r="F24" s="332"/>
    </row>
    <row r="25" spans="1:6">
      <c r="A25" s="1306" t="s">
        <v>15</v>
      </c>
      <c r="B25" s="1307">
        <v>339</v>
      </c>
      <c r="C25" s="332"/>
      <c r="D25" s="332"/>
      <c r="E25" s="332"/>
      <c r="F25" s="332"/>
    </row>
    <row r="26" spans="1:6">
      <c r="A26" s="1306" t="s">
        <v>16</v>
      </c>
      <c r="B26" s="1307">
        <v>914</v>
      </c>
      <c r="C26" s="332"/>
      <c r="D26" s="332"/>
      <c r="E26" s="332"/>
      <c r="F26" s="332"/>
    </row>
    <row r="27" spans="1:6">
      <c r="A27" s="1306" t="s">
        <v>17</v>
      </c>
      <c r="B27" s="1307">
        <v>22</v>
      </c>
      <c r="C27" s="332"/>
      <c r="D27" s="332"/>
      <c r="E27" s="332"/>
      <c r="F27" s="332"/>
    </row>
    <row r="28" spans="1:6" s="43" customFormat="1">
      <c r="A28" s="1308" t="s">
        <v>18</v>
      </c>
      <c r="B28" s="1309">
        <v>12487</v>
      </c>
      <c r="C28" s="338"/>
      <c r="D28" s="338"/>
      <c r="E28" s="338"/>
      <c r="F28" s="338"/>
    </row>
    <row r="29" spans="1:6">
      <c r="A29" s="1308" t="s">
        <v>916</v>
      </c>
      <c r="B29" s="1309">
        <v>104</v>
      </c>
      <c r="C29" s="338"/>
      <c r="D29" s="338"/>
      <c r="E29" s="338"/>
      <c r="F29" s="338"/>
    </row>
    <row r="30" spans="1:6">
      <c r="A30" s="1301" t="s">
        <v>917</v>
      </c>
      <c r="B30" s="1310">
        <v>35</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0</v>
      </c>
      <c r="D38" s="1307">
        <v>0</v>
      </c>
      <c r="E38" s="1307">
        <v>1</v>
      </c>
      <c r="F38" s="1307">
        <v>12784.2001811666</v>
      </c>
    </row>
    <row r="39" spans="1:6">
      <c r="A39" s="1306" t="s">
        <v>29</v>
      </c>
      <c r="B39" s="1306" t="s">
        <v>30</v>
      </c>
      <c r="C39" s="1307">
        <v>1695</v>
      </c>
      <c r="D39" s="1307">
        <v>34438365.463940501</v>
      </c>
      <c r="E39" s="1307">
        <v>3461</v>
      </c>
      <c r="F39" s="1307">
        <v>15878438.125925001</v>
      </c>
    </row>
    <row r="40" spans="1:6">
      <c r="A40" s="1306" t="s">
        <v>29</v>
      </c>
      <c r="B40" s="1306" t="s">
        <v>28</v>
      </c>
      <c r="C40" s="1307">
        <v>0</v>
      </c>
      <c r="D40" s="1307">
        <v>0</v>
      </c>
      <c r="E40" s="1307">
        <v>0</v>
      </c>
      <c r="F40" s="1307">
        <v>0</v>
      </c>
    </row>
    <row r="41" spans="1:6">
      <c r="A41" s="1306" t="s">
        <v>31</v>
      </c>
      <c r="B41" s="1306" t="s">
        <v>32</v>
      </c>
      <c r="C41" s="1307">
        <v>14</v>
      </c>
      <c r="D41" s="1307">
        <v>433468.00722155801</v>
      </c>
      <c r="E41" s="1307">
        <v>62</v>
      </c>
      <c r="F41" s="1307">
        <v>679536.28197854303</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4</v>
      </c>
      <c r="F44" s="1307">
        <v>45035.554287182</v>
      </c>
    </row>
    <row r="45" spans="1:6">
      <c r="A45" s="1306" t="s">
        <v>31</v>
      </c>
      <c r="B45" s="1306" t="s">
        <v>36</v>
      </c>
      <c r="C45" s="1307">
        <v>0</v>
      </c>
      <c r="D45" s="1307">
        <v>0</v>
      </c>
      <c r="E45" s="1307">
        <v>3</v>
      </c>
      <c r="F45" s="1307">
        <v>14675.838349920101</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17</v>
      </c>
      <c r="D48" s="1307">
        <v>729902.03758758504</v>
      </c>
      <c r="E48" s="1307">
        <v>15</v>
      </c>
      <c r="F48" s="1307">
        <v>83150.070567553499</v>
      </c>
    </row>
    <row r="49" spans="1:6">
      <c r="A49" s="1306" t="s">
        <v>31</v>
      </c>
      <c r="B49" s="1306" t="s">
        <v>39</v>
      </c>
      <c r="C49" s="1307">
        <v>0</v>
      </c>
      <c r="D49" s="1307">
        <v>0</v>
      </c>
      <c r="E49" s="1307">
        <v>0</v>
      </c>
      <c r="F49" s="1307">
        <v>0</v>
      </c>
    </row>
    <row r="50" spans="1:6">
      <c r="A50" s="1306" t="s">
        <v>31</v>
      </c>
      <c r="B50" s="1306" t="s">
        <v>40</v>
      </c>
      <c r="C50" s="1307">
        <v>0</v>
      </c>
      <c r="D50" s="1307">
        <v>0</v>
      </c>
      <c r="E50" s="1307">
        <v>3</v>
      </c>
      <c r="F50" s="1307">
        <v>250534.23084077801</v>
      </c>
    </row>
    <row r="51" spans="1:6">
      <c r="A51" s="1306" t="s">
        <v>41</v>
      </c>
      <c r="B51" s="1306" t="s">
        <v>42</v>
      </c>
      <c r="C51" s="1307">
        <v>0</v>
      </c>
      <c r="D51" s="1307">
        <v>0</v>
      </c>
      <c r="E51" s="1307">
        <v>45</v>
      </c>
      <c r="F51" s="1307">
        <v>594862.21462075098</v>
      </c>
    </row>
    <row r="52" spans="1:6">
      <c r="A52" s="1306" t="s">
        <v>41</v>
      </c>
      <c r="B52" s="1306" t="s">
        <v>28</v>
      </c>
      <c r="C52" s="1307">
        <v>5</v>
      </c>
      <c r="D52" s="1307">
        <v>113450.523110732</v>
      </c>
      <c r="E52" s="1307">
        <v>4</v>
      </c>
      <c r="F52" s="1307">
        <v>27747.259619967699</v>
      </c>
    </row>
    <row r="53" spans="1:6">
      <c r="A53" s="1306" t="s">
        <v>43</v>
      </c>
      <c r="B53" s="1306" t="s">
        <v>44</v>
      </c>
      <c r="C53" s="1307">
        <v>35</v>
      </c>
      <c r="D53" s="1307">
        <v>879808.20819621801</v>
      </c>
      <c r="E53" s="1307">
        <v>83</v>
      </c>
      <c r="F53" s="1307">
        <v>385028.43364066002</v>
      </c>
    </row>
    <row r="54" spans="1:6">
      <c r="A54" s="1306" t="s">
        <v>45</v>
      </c>
      <c r="B54" s="1306" t="s">
        <v>46</v>
      </c>
      <c r="C54" s="1307">
        <v>0</v>
      </c>
      <c r="D54" s="1307">
        <v>0</v>
      </c>
      <c r="E54" s="1307">
        <v>1</v>
      </c>
      <c r="F54" s="1307">
        <v>491880</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13</v>
      </c>
      <c r="D57" s="1307">
        <v>463967.21546853101</v>
      </c>
      <c r="E57" s="1307">
        <v>34</v>
      </c>
      <c r="F57" s="1307">
        <v>1089867.3799386199</v>
      </c>
    </row>
    <row r="58" spans="1:6">
      <c r="A58" s="1306" t="s">
        <v>48</v>
      </c>
      <c r="B58" s="1306" t="s">
        <v>50</v>
      </c>
      <c r="C58" s="1307">
        <v>15</v>
      </c>
      <c r="D58" s="1307">
        <v>3182299.8052899302</v>
      </c>
      <c r="E58" s="1307">
        <v>31</v>
      </c>
      <c r="F58" s="1307">
        <v>779985.05156089505</v>
      </c>
    </row>
    <row r="59" spans="1:6">
      <c r="A59" s="1306" t="s">
        <v>48</v>
      </c>
      <c r="B59" s="1306" t="s">
        <v>51</v>
      </c>
      <c r="C59" s="1307">
        <v>13</v>
      </c>
      <c r="D59" s="1307">
        <v>2078358.95695972</v>
      </c>
      <c r="E59" s="1307">
        <v>84</v>
      </c>
      <c r="F59" s="1307">
        <v>6160121.2382039903</v>
      </c>
    </row>
    <row r="60" spans="1:6">
      <c r="A60" s="1306" t="s">
        <v>48</v>
      </c>
      <c r="B60" s="1306" t="s">
        <v>52</v>
      </c>
      <c r="C60" s="1307">
        <v>9</v>
      </c>
      <c r="D60" s="1307">
        <v>760291.696751412</v>
      </c>
      <c r="E60" s="1307">
        <v>35</v>
      </c>
      <c r="F60" s="1307">
        <v>2369549.0959465699</v>
      </c>
    </row>
    <row r="61" spans="1:6">
      <c r="A61" s="1306" t="s">
        <v>48</v>
      </c>
      <c r="B61" s="1306" t="s">
        <v>53</v>
      </c>
      <c r="C61" s="1307">
        <v>50</v>
      </c>
      <c r="D61" s="1307">
        <v>3313121.1024565101</v>
      </c>
      <c r="E61" s="1307">
        <v>175</v>
      </c>
      <c r="F61" s="1307">
        <v>2381127.4616366802</v>
      </c>
    </row>
    <row r="62" spans="1:6">
      <c r="A62" s="1306" t="s">
        <v>48</v>
      </c>
      <c r="B62" s="1306" t="s">
        <v>54</v>
      </c>
      <c r="C62" s="1307">
        <v>0</v>
      </c>
      <c r="D62" s="1307">
        <v>0</v>
      </c>
      <c r="E62" s="1307">
        <v>8</v>
      </c>
      <c r="F62" s="1307">
        <v>70374.1961049612</v>
      </c>
    </row>
    <row r="63" spans="1:6">
      <c r="A63" s="1306" t="s">
        <v>48</v>
      </c>
      <c r="B63" s="1306" t="s">
        <v>28</v>
      </c>
      <c r="C63" s="1307">
        <v>68</v>
      </c>
      <c r="D63" s="1307">
        <v>9939241.9615094103</v>
      </c>
      <c r="E63" s="1307">
        <v>61</v>
      </c>
      <c r="F63" s="1307">
        <v>551836.89918836101</v>
      </c>
    </row>
    <row r="64" spans="1:6">
      <c r="A64" s="1306" t="s">
        <v>55</v>
      </c>
      <c r="B64" s="1306" t="s">
        <v>56</v>
      </c>
      <c r="C64" s="1307">
        <v>0</v>
      </c>
      <c r="D64" s="1307">
        <v>0</v>
      </c>
      <c r="E64" s="1307">
        <v>0</v>
      </c>
      <c r="F64" s="1307">
        <v>0</v>
      </c>
    </row>
    <row r="65" spans="1:6">
      <c r="A65" s="1306" t="s">
        <v>55</v>
      </c>
      <c r="B65" s="1306" t="s">
        <v>28</v>
      </c>
      <c r="C65" s="1307">
        <v>1</v>
      </c>
      <c r="D65" s="1307">
        <v>24387.821882886001</v>
      </c>
      <c r="E65" s="1307">
        <v>1</v>
      </c>
      <c r="F65" s="1307">
        <v>3326.6575463720001</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3</v>
      </c>
      <c r="F68" s="1310">
        <v>32964.076755297603</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18436104</v>
      </c>
      <c r="E73" s="456"/>
      <c r="F73" s="332"/>
    </row>
    <row r="74" spans="1:6">
      <c r="A74" s="1306" t="s">
        <v>63</v>
      </c>
      <c r="B74" s="1306" t="s">
        <v>724</v>
      </c>
      <c r="C74" s="1320" t="s">
        <v>725</v>
      </c>
      <c r="D74" s="1321">
        <v>1037038.5174426392</v>
      </c>
      <c r="E74" s="456"/>
      <c r="F74" s="332"/>
    </row>
    <row r="75" spans="1:6">
      <c r="A75" s="1306" t="s">
        <v>64</v>
      </c>
      <c r="B75" s="1306" t="s">
        <v>722</v>
      </c>
      <c r="C75" s="1320" t="s">
        <v>726</v>
      </c>
      <c r="D75" s="1321">
        <v>21000061</v>
      </c>
      <c r="E75" s="456"/>
      <c r="F75" s="332"/>
    </row>
    <row r="76" spans="1:6">
      <c r="A76" s="1306" t="s">
        <v>64</v>
      </c>
      <c r="B76" s="1306" t="s">
        <v>724</v>
      </c>
      <c r="C76" s="1320" t="s">
        <v>727</v>
      </c>
      <c r="D76" s="1321">
        <v>715393.51744263922</v>
      </c>
      <c r="E76" s="456"/>
      <c r="F76" s="332"/>
    </row>
    <row r="77" spans="1:6">
      <c r="A77" s="1306" t="s">
        <v>65</v>
      </c>
      <c r="B77" s="1306" t="s">
        <v>722</v>
      </c>
      <c r="C77" s="1320" t="s">
        <v>728</v>
      </c>
      <c r="D77" s="1321">
        <v>92804094</v>
      </c>
      <c r="E77" s="456"/>
      <c r="F77" s="332"/>
    </row>
    <row r="78" spans="1:6">
      <c r="A78" s="1301" t="s">
        <v>65</v>
      </c>
      <c r="B78" s="1301" t="s">
        <v>724</v>
      </c>
      <c r="C78" s="1301" t="s">
        <v>729</v>
      </c>
      <c r="D78" s="1322">
        <v>8689042</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649586.96511472156</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2118.676866092947</v>
      </c>
      <c r="C91" s="332"/>
      <c r="D91" s="332"/>
      <c r="E91" s="332"/>
      <c r="F91" s="332"/>
    </row>
    <row r="92" spans="1:6">
      <c r="A92" s="1301" t="s">
        <v>68</v>
      </c>
      <c r="B92" s="1302">
        <v>252.63930011249471</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688</v>
      </c>
      <c r="C97" s="332"/>
      <c r="D97" s="332"/>
      <c r="E97" s="332"/>
      <c r="F97" s="332"/>
    </row>
    <row r="98" spans="1:6">
      <c r="A98" s="1306" t="s">
        <v>71</v>
      </c>
      <c r="B98" s="1307">
        <v>2</v>
      </c>
      <c r="C98" s="332"/>
      <c r="D98" s="332"/>
      <c r="E98" s="332"/>
      <c r="F98" s="332"/>
    </row>
    <row r="99" spans="1:6">
      <c r="A99" s="1306" t="s">
        <v>72</v>
      </c>
      <c r="B99" s="1307">
        <v>64</v>
      </c>
      <c r="C99" s="332"/>
      <c r="D99" s="332"/>
      <c r="E99" s="332"/>
      <c r="F99" s="332"/>
    </row>
    <row r="100" spans="1:6">
      <c r="A100" s="1306" t="s">
        <v>73</v>
      </c>
      <c r="B100" s="1307">
        <v>270</v>
      </c>
      <c r="C100" s="332"/>
      <c r="D100" s="332"/>
      <c r="E100" s="332"/>
      <c r="F100" s="332"/>
    </row>
    <row r="101" spans="1:6">
      <c r="A101" s="1306" t="s">
        <v>74</v>
      </c>
      <c r="B101" s="1307">
        <v>46</v>
      </c>
      <c r="C101" s="332"/>
      <c r="D101" s="332"/>
      <c r="E101" s="332"/>
      <c r="F101" s="332"/>
    </row>
    <row r="102" spans="1:6">
      <c r="A102" s="1306" t="s">
        <v>75</v>
      </c>
      <c r="B102" s="1307">
        <v>38</v>
      </c>
      <c r="C102" s="332"/>
      <c r="D102" s="332"/>
      <c r="E102" s="332"/>
      <c r="F102" s="332"/>
    </row>
    <row r="103" spans="1:6">
      <c r="A103" s="1306" t="s">
        <v>76</v>
      </c>
      <c r="B103" s="1307">
        <v>76</v>
      </c>
      <c r="C103" s="332"/>
      <c r="D103" s="332"/>
      <c r="E103" s="332"/>
      <c r="F103" s="332"/>
    </row>
    <row r="104" spans="1:6">
      <c r="A104" s="1306" t="s">
        <v>77</v>
      </c>
      <c r="B104" s="1307">
        <v>1945</v>
      </c>
      <c r="C104" s="332"/>
      <c r="D104" s="332"/>
      <c r="E104" s="332"/>
      <c r="F104" s="332"/>
    </row>
    <row r="105" spans="1:6">
      <c r="A105" s="1301" t="s">
        <v>78</v>
      </c>
      <c r="B105" s="1310">
        <v>5</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1</v>
      </c>
      <c r="C121" s="1307">
        <v>0</v>
      </c>
      <c r="D121" s="332"/>
      <c r="E121" s="332"/>
      <c r="F121" s="332"/>
    </row>
    <row r="122" spans="1:6">
      <c r="A122" s="1306" t="s">
        <v>86</v>
      </c>
      <c r="B122" s="1307">
        <v>0</v>
      </c>
      <c r="C122" s="1307">
        <v>0</v>
      </c>
      <c r="D122" s="332"/>
      <c r="E122" s="332"/>
      <c r="F122" s="332"/>
    </row>
    <row r="123" spans="1:6">
      <c r="A123" s="1306" t="s">
        <v>87</v>
      </c>
      <c r="B123" s="1307">
        <v>2</v>
      </c>
      <c r="C123" s="1307">
        <v>8</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79</v>
      </c>
      <c r="C129" s="332"/>
      <c r="D129" s="332"/>
      <c r="E129" s="332"/>
      <c r="F129" s="332"/>
    </row>
    <row r="130" spans="1:6">
      <c r="A130" s="1306" t="s">
        <v>294</v>
      </c>
      <c r="B130" s="1307">
        <v>3</v>
      </c>
      <c r="C130" s="332"/>
      <c r="D130" s="332"/>
      <c r="E130" s="332"/>
      <c r="F130" s="332"/>
    </row>
    <row r="131" spans="1:6">
      <c r="A131" s="1306" t="s">
        <v>295</v>
      </c>
      <c r="B131" s="1307">
        <v>2</v>
      </c>
      <c r="C131" s="332"/>
      <c r="D131" s="332"/>
      <c r="E131" s="332"/>
      <c r="F131" s="332"/>
    </row>
    <row r="132" spans="1:6">
      <c r="A132" s="1301" t="s">
        <v>296</v>
      </c>
      <c r="B132" s="1302">
        <v>6</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33978.13499028104</v>
      </c>
      <c r="C3" s="43" t="s">
        <v>169</v>
      </c>
      <c r="D3" s="43"/>
      <c r="E3" s="156"/>
      <c r="F3" s="43"/>
      <c r="G3" s="43"/>
      <c r="H3" s="43"/>
      <c r="I3" s="43"/>
      <c r="J3" s="43"/>
      <c r="K3" s="96"/>
    </row>
    <row r="4" spans="1:11">
      <c r="A4" s="363" t="s">
        <v>170</v>
      </c>
      <c r="B4" s="49">
        <f>IF(ISERROR('SEAP template'!B78+'SEAP template'!C78),0,'SEAP template'!B78+'SEAP template'!C78)</f>
        <v>2375.8161662054417</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1.01</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0.20557698243646105</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5.0500000000000007</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22.5</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0.22444444444444447</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491.88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491.88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0.20557698243646105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101.11920612084646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15878.438125925</v>
      </c>
      <c r="C5" s="17">
        <f>IF(ISERROR('Eigen informatie GS &amp; warmtenet'!B57),0,'Eigen informatie GS &amp; warmtenet'!B57)</f>
        <v>0</v>
      </c>
      <c r="D5" s="30">
        <f>(SUM(HH_hh_gas_kWh,HH_rest_gas_kWh)/1000)*0.902</f>
        <v>31063.405648474331</v>
      </c>
      <c r="E5" s="17">
        <f>B46*B57</f>
        <v>3762.8567522923154</v>
      </c>
      <c r="F5" s="17">
        <f>B51*B62</f>
        <v>24445.311968159087</v>
      </c>
      <c r="G5" s="18"/>
      <c r="H5" s="17"/>
      <c r="I5" s="17"/>
      <c r="J5" s="17">
        <f>B50*B61+C50*C61</f>
        <v>0</v>
      </c>
      <c r="K5" s="17"/>
      <c r="L5" s="17"/>
      <c r="M5" s="17"/>
      <c r="N5" s="17">
        <f>B48*B59+C48*C59</f>
        <v>9257.619779865121</v>
      </c>
      <c r="O5" s="17">
        <f>B69*B70*B71</f>
        <v>136.01000000000002</v>
      </c>
      <c r="P5" s="17">
        <f>B77*B78*B79/1000-B77*B78*B79/1000/B80</f>
        <v>152.53333333333333</v>
      </c>
    </row>
    <row r="6" spans="1:16">
      <c r="A6" s="16" t="s">
        <v>633</v>
      </c>
      <c r="B6" s="779">
        <f>kWh_PV_kleiner_dan_10kW</f>
        <v>2118.676866092947</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17997.114992017949</v>
      </c>
      <c r="C8" s="21">
        <f>C5</f>
        <v>0</v>
      </c>
      <c r="D8" s="21">
        <f>D5</f>
        <v>31063.405648474331</v>
      </c>
      <c r="E8" s="21">
        <f>E5</f>
        <v>3762.8567522923154</v>
      </c>
      <c r="F8" s="21">
        <f>F5</f>
        <v>24445.311968159087</v>
      </c>
      <c r="G8" s="21"/>
      <c r="H8" s="21"/>
      <c r="I8" s="21"/>
      <c r="J8" s="21">
        <f>J5</f>
        <v>0</v>
      </c>
      <c r="K8" s="21"/>
      <c r="L8" s="21">
        <f>L5</f>
        <v>0</v>
      </c>
      <c r="M8" s="21">
        <f>M5</f>
        <v>0</v>
      </c>
      <c r="N8" s="21">
        <f>N5</f>
        <v>9257.619779865121</v>
      </c>
      <c r="O8" s="21">
        <f>O5</f>
        <v>136.01000000000002</v>
      </c>
      <c r="P8" s="21">
        <f>P5</f>
        <v>152.53333333333333</v>
      </c>
    </row>
    <row r="9" spans="1:16">
      <c r="B9" s="19"/>
      <c r="C9" s="19"/>
      <c r="D9" s="261"/>
      <c r="E9" s="19"/>
      <c r="F9" s="19"/>
      <c r="G9" s="19"/>
      <c r="H9" s="19"/>
      <c r="I9" s="19"/>
      <c r="J9" s="19"/>
      <c r="K9" s="19"/>
      <c r="L9" s="19"/>
      <c r="M9" s="19"/>
      <c r="N9" s="19"/>
      <c r="O9" s="19"/>
      <c r="P9" s="19"/>
    </row>
    <row r="10" spans="1:16">
      <c r="A10" s="24" t="s">
        <v>213</v>
      </c>
      <c r="B10" s="25">
        <f ca="1">'EF ele_warmte'!B12</f>
        <v>0.20557698243646105</v>
      </c>
      <c r="C10" s="25">
        <f ca="1">'EF ele_warmte'!B22</f>
        <v>0.22444444444444447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3699.7925926210437</v>
      </c>
      <c r="C12" s="23">
        <f ca="1">C10*C8</f>
        <v>0</v>
      </c>
      <c r="D12" s="23">
        <f>D8*D10</f>
        <v>6274.8079409918155</v>
      </c>
      <c r="E12" s="23">
        <f>E10*E8</f>
        <v>854.16848277035558</v>
      </c>
      <c r="F12" s="23">
        <f>F10*F8</f>
        <v>6526.8982954984767</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688</v>
      </c>
      <c r="C18" s="168" t="s">
        <v>110</v>
      </c>
      <c r="D18" s="230"/>
      <c r="E18" s="15"/>
    </row>
    <row r="19" spans="1:7">
      <c r="A19" s="173" t="s">
        <v>71</v>
      </c>
      <c r="B19" s="37">
        <f>aantalw2001_ander</f>
        <v>2</v>
      </c>
      <c r="C19" s="168" t="s">
        <v>110</v>
      </c>
      <c r="D19" s="231"/>
      <c r="E19" s="15"/>
    </row>
    <row r="20" spans="1:7">
      <c r="A20" s="173" t="s">
        <v>72</v>
      </c>
      <c r="B20" s="37">
        <f>aantalw2001_propaan</f>
        <v>64</v>
      </c>
      <c r="C20" s="169">
        <f>IF(ISERROR(B20/SUM($B$20,$B$21,$B$22)*100),0,B20/SUM($B$20,$B$21,$B$22)*100)</f>
        <v>16.842105263157894</v>
      </c>
      <c r="D20" s="231"/>
      <c r="E20" s="15"/>
    </row>
    <row r="21" spans="1:7">
      <c r="A21" s="173" t="s">
        <v>73</v>
      </c>
      <c r="B21" s="37">
        <f>aantalw2001_elektriciteit</f>
        <v>270</v>
      </c>
      <c r="C21" s="169">
        <f>IF(ISERROR(B21/SUM($B$20,$B$21,$B$22)*100),0,B21/SUM($B$20,$B$21,$B$22)*100)</f>
        <v>71.05263157894737</v>
      </c>
      <c r="D21" s="231"/>
      <c r="E21" s="15"/>
    </row>
    <row r="22" spans="1:7">
      <c r="A22" s="173" t="s">
        <v>74</v>
      </c>
      <c r="B22" s="37">
        <f>aantalw2001_hout</f>
        <v>46</v>
      </c>
      <c r="C22" s="169">
        <f>IF(ISERROR(B22/SUM($B$20,$B$21,$B$22)*100),0,B22/SUM($B$20,$B$21,$B$22)*100)</f>
        <v>12.105263157894736</v>
      </c>
      <c r="D22" s="231"/>
      <c r="E22" s="15"/>
    </row>
    <row r="23" spans="1:7">
      <c r="A23" s="173" t="s">
        <v>75</v>
      </c>
      <c r="B23" s="37">
        <f>aantalw2001_niet_gespec</f>
        <v>38</v>
      </c>
      <c r="C23" s="168" t="s">
        <v>110</v>
      </c>
      <c r="D23" s="230"/>
      <c r="E23" s="15"/>
    </row>
    <row r="24" spans="1:7">
      <c r="A24" s="173" t="s">
        <v>76</v>
      </c>
      <c r="B24" s="37">
        <f>aantalw2001_steenkool</f>
        <v>76</v>
      </c>
      <c r="C24" s="168" t="s">
        <v>110</v>
      </c>
      <c r="D24" s="231"/>
      <c r="E24" s="15"/>
    </row>
    <row r="25" spans="1:7">
      <c r="A25" s="173" t="s">
        <v>77</v>
      </c>
      <c r="B25" s="37">
        <f>aantalw2001_stookolie</f>
        <v>1945</v>
      </c>
      <c r="C25" s="168" t="s">
        <v>110</v>
      </c>
      <c r="D25" s="230"/>
      <c r="E25" s="52"/>
    </row>
    <row r="26" spans="1:7">
      <c r="A26" s="173" t="s">
        <v>78</v>
      </c>
      <c r="B26" s="37">
        <f>aantalw2001_WP</f>
        <v>5</v>
      </c>
      <c r="C26" s="168" t="s">
        <v>110</v>
      </c>
      <c r="D26" s="230"/>
      <c r="E26" s="15"/>
    </row>
    <row r="27" spans="1:7" s="15" customFormat="1">
      <c r="A27" s="173"/>
      <c r="B27" s="29"/>
      <c r="C27" s="36"/>
      <c r="D27" s="230"/>
    </row>
    <row r="28" spans="1:7" s="15" customFormat="1">
      <c r="A28" s="232" t="s">
        <v>742</v>
      </c>
      <c r="B28" s="37">
        <f>aantalHuishoudens</f>
        <v>3716</v>
      </c>
      <c r="C28" s="36"/>
      <c r="D28" s="230"/>
    </row>
    <row r="29" spans="1:7" s="15" customFormat="1">
      <c r="A29" s="232" t="s">
        <v>743</v>
      </c>
      <c r="B29" s="37">
        <f>SUM(HH_hh_gas_aantal,HH_rest_gas_aantal)</f>
        <v>1695</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1695</v>
      </c>
      <c r="C32" s="169">
        <f>IF(ISERROR(B32/SUM($B$32,$B$34,$B$35,$B$36,$B$38,$B$39)*100),0,B32/SUM($B$32,$B$34,$B$35,$B$36,$B$38,$B$39)*100)</f>
        <v>45.711974110032358</v>
      </c>
      <c r="D32" s="235"/>
      <c r="G32" s="15"/>
    </row>
    <row r="33" spans="1:7">
      <c r="A33" s="173" t="s">
        <v>71</v>
      </c>
      <c r="B33" s="34" t="s">
        <v>110</v>
      </c>
      <c r="C33" s="169"/>
      <c r="D33" s="235"/>
      <c r="G33" s="15"/>
    </row>
    <row r="34" spans="1:7">
      <c r="A34" s="173" t="s">
        <v>72</v>
      </c>
      <c r="B34" s="33">
        <f>IF((($B$28-$B$32-$B$39-$B$77-$B$38)*C20/100)&lt;0,0,($B$28-$B$32-$B$39-$B$77-$B$38)*C20/100)</f>
        <v>164.09263157894739</v>
      </c>
      <c r="C34" s="169">
        <f>IF(ISERROR(B34/SUM($B$32,$B$34,$B$35,$B$36,$B$38,$B$39)*100),0,B34/SUM($B$32,$B$34,$B$35,$B$36,$B$38,$B$39)*100)</f>
        <v>4.4253676261852046</v>
      </c>
      <c r="D34" s="235"/>
      <c r="G34" s="15"/>
    </row>
    <row r="35" spans="1:7">
      <c r="A35" s="173" t="s">
        <v>73</v>
      </c>
      <c r="B35" s="33">
        <f>IF((($B$28-$B$32-$B$39-$B$77-$B$38)*C21/100)&lt;0,0,($B$28-$B$32-$B$39-$B$77-$B$38)*C21/100)</f>
        <v>692.26578947368444</v>
      </c>
      <c r="C35" s="169">
        <f>IF(ISERROR(B35/SUM($B$32,$B$34,$B$35,$B$36,$B$38,$B$39)*100),0,B35/SUM($B$32,$B$34,$B$35,$B$36,$B$38,$B$39)*100)</f>
        <v>18.669519672968836</v>
      </c>
      <c r="D35" s="235"/>
      <c r="G35" s="15"/>
    </row>
    <row r="36" spans="1:7">
      <c r="A36" s="173" t="s">
        <v>74</v>
      </c>
      <c r="B36" s="33">
        <f>IF((($B$28-$B$32-$B$39-$B$77-$B$38)*C22/100)&lt;0,0,($B$28-$B$32-$B$39-$B$77-$B$38)*C22/100)</f>
        <v>117.94157894736844</v>
      </c>
      <c r="C36" s="169">
        <f>IF(ISERROR(B36/SUM($B$32,$B$34,$B$35,$B$36,$B$38,$B$39)*100),0,B36/SUM($B$32,$B$34,$B$35,$B$36,$B$38,$B$39)*100)</f>
        <v>3.1807329813206158</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1038.6999999999998</v>
      </c>
      <c r="C39" s="169">
        <f>IF(ISERROR(B39/SUM($B$32,$B$34,$B$35,$B$36,$B$38,$B$39)*100),0,B39/SUM($B$32,$B$34,$B$35,$B$36,$B$38,$B$39)*100)</f>
        <v>28.012405609492987</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1695</v>
      </c>
      <c r="C44" s="34" t="s">
        <v>110</v>
      </c>
      <c r="D44" s="176"/>
    </row>
    <row r="45" spans="1:7">
      <c r="A45" s="173" t="s">
        <v>71</v>
      </c>
      <c r="B45" s="33" t="str">
        <f t="shared" si="0"/>
        <v>-</v>
      </c>
      <c r="C45" s="34" t="s">
        <v>110</v>
      </c>
      <c r="D45" s="176"/>
    </row>
    <row r="46" spans="1:7">
      <c r="A46" s="173" t="s">
        <v>72</v>
      </c>
      <c r="B46" s="33">
        <f t="shared" si="0"/>
        <v>164.09263157894739</v>
      </c>
      <c r="C46" s="34" t="s">
        <v>110</v>
      </c>
      <c r="D46" s="176"/>
    </row>
    <row r="47" spans="1:7">
      <c r="A47" s="173" t="s">
        <v>73</v>
      </c>
      <c r="B47" s="33">
        <f t="shared" si="0"/>
        <v>692.26578947368444</v>
      </c>
      <c r="C47" s="34" t="s">
        <v>110</v>
      </c>
      <c r="D47" s="176"/>
    </row>
    <row r="48" spans="1:7">
      <c r="A48" s="173" t="s">
        <v>74</v>
      </c>
      <c r="B48" s="33">
        <f t="shared" si="0"/>
        <v>117.94157894736844</v>
      </c>
      <c r="C48" s="33">
        <f>B48*10</f>
        <v>1179.4157894736845</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1038.6999999999998</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87</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8</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13402.861322580078</v>
      </c>
      <c r="C5" s="17">
        <f>IF(ISERROR('Eigen informatie GS &amp; warmtenet'!B58),0,'Eigen informatie GS &amp; warmtenet'!B58)</f>
        <v>0</v>
      </c>
      <c r="D5" s="30">
        <f>SUM(D6:D12)</f>
        <v>17803.027226068836</v>
      </c>
      <c r="E5" s="17">
        <f>SUM(E6:E12)</f>
        <v>244.12091370934584</v>
      </c>
      <c r="F5" s="17">
        <f>SUM(F6:F12)</f>
        <v>2703.3664041640286</v>
      </c>
      <c r="G5" s="18"/>
      <c r="H5" s="17"/>
      <c r="I5" s="17"/>
      <c r="J5" s="17">
        <f>SUM(J6:J12)</f>
        <v>0</v>
      </c>
      <c r="K5" s="17"/>
      <c r="L5" s="17"/>
      <c r="M5" s="17"/>
      <c r="N5" s="17">
        <f>SUM(N6:N12)</f>
        <v>830.87700142039864</v>
      </c>
      <c r="O5" s="17">
        <f>B38*B39*B40</f>
        <v>4.6900000000000004</v>
      </c>
      <c r="P5" s="17">
        <f>B46*B47*B48/1000-B46*B47*B48/1000/B49</f>
        <v>57.2</v>
      </c>
      <c r="R5" s="32"/>
    </row>
    <row r="6" spans="1:18">
      <c r="A6" s="32" t="s">
        <v>53</v>
      </c>
      <c r="B6" s="37">
        <f>B26</f>
        <v>2381.12746163668</v>
      </c>
      <c r="C6" s="33"/>
      <c r="D6" s="37">
        <f>IF(ISERROR(TER_kantoor_gas_kWh/1000),0,TER_kantoor_gas_kWh/1000)*0.902</f>
        <v>2988.4352344157719</v>
      </c>
      <c r="E6" s="33">
        <f>$C$26*'E Balans VL '!I12/100/3.6*1000000</f>
        <v>9.2511843025142557</v>
      </c>
      <c r="F6" s="33">
        <f>$C$26*('E Balans VL '!L12+'E Balans VL '!N12)/100/3.6*1000000</f>
        <v>362.14782038244397</v>
      </c>
      <c r="G6" s="34"/>
      <c r="H6" s="33"/>
      <c r="I6" s="33"/>
      <c r="J6" s="33">
        <f>$C$26*('E Balans VL '!D12+'E Balans VL '!E12)/100/3.6*1000000</f>
        <v>0</v>
      </c>
      <c r="K6" s="33"/>
      <c r="L6" s="33"/>
      <c r="M6" s="33"/>
      <c r="N6" s="33">
        <f>$C$26*'E Balans VL '!Y12/100/3.6*1000000</f>
        <v>1.3122864834068289</v>
      </c>
      <c r="O6" s="33"/>
      <c r="P6" s="33"/>
      <c r="R6" s="32"/>
    </row>
    <row r="7" spans="1:18">
      <c r="A7" s="32" t="s">
        <v>52</v>
      </c>
      <c r="B7" s="37">
        <f t="shared" ref="B7:B12" si="0">B27</f>
        <v>2369.5490959465701</v>
      </c>
      <c r="C7" s="33"/>
      <c r="D7" s="37">
        <f>IF(ISERROR(TER_horeca_gas_kWh/1000),0,TER_horeca_gas_kWh/1000)*0.902</f>
        <v>685.78311046977365</v>
      </c>
      <c r="E7" s="33">
        <f>$C$27*'E Balans VL '!I9/100/3.6*1000000</f>
        <v>133.47733408713663</v>
      </c>
      <c r="F7" s="33">
        <f>$C$27*('E Balans VL '!L9+'E Balans VL '!N9)/100/3.6*1000000</f>
        <v>683.23609726258724</v>
      </c>
      <c r="G7" s="34"/>
      <c r="H7" s="33"/>
      <c r="I7" s="33"/>
      <c r="J7" s="33">
        <f>$C$27*('E Balans VL '!D9+'E Balans VL '!E9)/100/3.6*1000000</f>
        <v>0</v>
      </c>
      <c r="K7" s="33"/>
      <c r="L7" s="33"/>
      <c r="M7" s="33"/>
      <c r="N7" s="33">
        <f>$C$27*'E Balans VL '!Y9/100/3.6*1000000</f>
        <v>0.65422019205522164</v>
      </c>
      <c r="O7" s="33"/>
      <c r="P7" s="33"/>
      <c r="R7" s="32"/>
    </row>
    <row r="8" spans="1:18">
      <c r="A8" s="6" t="s">
        <v>51</v>
      </c>
      <c r="B8" s="37">
        <f t="shared" si="0"/>
        <v>6160.1212382039903</v>
      </c>
      <c r="C8" s="33"/>
      <c r="D8" s="37">
        <f>IF(ISERROR(TER_handel_gas_kWh/1000),0,TER_handel_gas_kWh/1000)*0.902</f>
        <v>1874.6797791776678</v>
      </c>
      <c r="E8" s="33">
        <f>$C$28*'E Balans VL '!I13/100/3.6*1000000</f>
        <v>88.788246254917453</v>
      </c>
      <c r="F8" s="33">
        <f>$C$28*('E Balans VL '!L13+'E Balans VL '!N13)/100/3.6*1000000</f>
        <v>1070.1565186191856</v>
      </c>
      <c r="G8" s="34"/>
      <c r="H8" s="33"/>
      <c r="I8" s="33"/>
      <c r="J8" s="33">
        <f>$C$28*('E Balans VL '!D13+'E Balans VL '!E13)/100/3.6*1000000</f>
        <v>0</v>
      </c>
      <c r="K8" s="33"/>
      <c r="L8" s="33"/>
      <c r="M8" s="33"/>
      <c r="N8" s="33">
        <f>$C$28*'E Balans VL '!Y13/100/3.6*1000000</f>
        <v>18.456408988482131</v>
      </c>
      <c r="O8" s="33"/>
      <c r="P8" s="33"/>
      <c r="R8" s="32"/>
    </row>
    <row r="9" spans="1:18">
      <c r="A9" s="32" t="s">
        <v>50</v>
      </c>
      <c r="B9" s="37">
        <f t="shared" si="0"/>
        <v>779.98505156089504</v>
      </c>
      <c r="C9" s="33"/>
      <c r="D9" s="37">
        <f>IF(ISERROR(TER_gezond_gas_kWh/1000),0,TER_gezond_gas_kWh/1000)*0.902</f>
        <v>2870.4344243715173</v>
      </c>
      <c r="E9" s="33">
        <f>$C$29*'E Balans VL '!I10/100/3.6*1000000</f>
        <v>0.83322619976813728</v>
      </c>
      <c r="F9" s="33">
        <f>$C$29*('E Balans VL '!L10+'E Balans VL '!N10)/100/3.6*1000000</f>
        <v>127.23926654482104</v>
      </c>
      <c r="G9" s="34"/>
      <c r="H9" s="33"/>
      <c r="I9" s="33"/>
      <c r="J9" s="33">
        <f>$C$29*('E Balans VL '!D10+'E Balans VL '!E10)/100/3.6*1000000</f>
        <v>0</v>
      </c>
      <c r="K9" s="33"/>
      <c r="L9" s="33"/>
      <c r="M9" s="33"/>
      <c r="N9" s="33">
        <f>$C$29*'E Balans VL '!Y10/100/3.6*1000000</f>
        <v>8.0295010552278914</v>
      </c>
      <c r="O9" s="33"/>
      <c r="P9" s="33"/>
      <c r="R9" s="32"/>
    </row>
    <row r="10" spans="1:18">
      <c r="A10" s="32" t="s">
        <v>49</v>
      </c>
      <c r="B10" s="37">
        <f t="shared" si="0"/>
        <v>1089.8673799386199</v>
      </c>
      <c r="C10" s="33"/>
      <c r="D10" s="37">
        <f>IF(ISERROR(TER_ander_gas_kWh/1000),0,TER_ander_gas_kWh/1000)*0.902</f>
        <v>418.49842835261495</v>
      </c>
      <c r="E10" s="33">
        <f>$C$30*'E Balans VL '!I14/100/3.6*1000000</f>
        <v>5.012134299202688</v>
      </c>
      <c r="F10" s="33">
        <f>$C$30*('E Balans VL '!L14+'E Balans VL '!N14)/100/3.6*1000000</f>
        <v>326.66763127455948</v>
      </c>
      <c r="G10" s="34"/>
      <c r="H10" s="33"/>
      <c r="I10" s="33"/>
      <c r="J10" s="33">
        <f>$C$30*('E Balans VL '!D14+'E Balans VL '!E14)/100/3.6*1000000</f>
        <v>0</v>
      </c>
      <c r="K10" s="33"/>
      <c r="L10" s="33"/>
      <c r="M10" s="33"/>
      <c r="N10" s="33">
        <f>$C$30*'E Balans VL '!Y14/100/3.6*1000000</f>
        <v>758.61963942079456</v>
      </c>
      <c r="O10" s="33"/>
      <c r="P10" s="33"/>
      <c r="R10" s="32"/>
    </row>
    <row r="11" spans="1:18">
      <c r="A11" s="32" t="s">
        <v>54</v>
      </c>
      <c r="B11" s="37">
        <f t="shared" si="0"/>
        <v>70.3741961049612</v>
      </c>
      <c r="C11" s="33"/>
      <c r="D11" s="37">
        <f>IF(ISERROR(TER_onderwijs_gas_kWh/1000),0,TER_onderwijs_gas_kWh/1000)*0.902</f>
        <v>0</v>
      </c>
      <c r="E11" s="33">
        <f>$C$31*'E Balans VL '!I11/100/3.6*1000000</f>
        <v>6.5281321711899737E-2</v>
      </c>
      <c r="F11" s="33">
        <f>$C$31*('E Balans VL '!L11+'E Balans VL '!N11)/100/3.6*1000000</f>
        <v>24.720837657062816</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551.83689918836103</v>
      </c>
      <c r="C12" s="33"/>
      <c r="D12" s="37">
        <f>IF(ISERROR(TER_rest_gas_kWh/1000),0,TER_rest_gas_kWh/1000)*0.902</f>
        <v>8965.1962492814873</v>
      </c>
      <c r="E12" s="33">
        <f>$C$32*'E Balans VL '!I8/100/3.6*1000000</f>
        <v>6.6935072440947785</v>
      </c>
      <c r="F12" s="33">
        <f>$C$32*('E Balans VL '!L8+'E Balans VL '!N8)/100/3.6*1000000</f>
        <v>109.19823242336879</v>
      </c>
      <c r="G12" s="34"/>
      <c r="H12" s="33"/>
      <c r="I12" s="33"/>
      <c r="J12" s="33">
        <f>$C$32*('E Balans VL '!D8+'E Balans VL '!E8)/100/3.6*1000000</f>
        <v>0</v>
      </c>
      <c r="K12" s="33"/>
      <c r="L12" s="33"/>
      <c r="M12" s="33"/>
      <c r="N12" s="33">
        <f>$C$32*'E Balans VL '!Y8/100/3.6*1000000</f>
        <v>43.804945280432008</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13402.861322580078</v>
      </c>
      <c r="C16" s="21">
        <f t="shared" ca="1" si="1"/>
        <v>0</v>
      </c>
      <c r="D16" s="21">
        <f t="shared" ca="1" si="1"/>
        <v>17803.027226068836</v>
      </c>
      <c r="E16" s="21">
        <f t="shared" si="1"/>
        <v>244.12091370934584</v>
      </c>
      <c r="F16" s="21">
        <f t="shared" ca="1" si="1"/>
        <v>2703.3664041640286</v>
      </c>
      <c r="G16" s="21">
        <f t="shared" si="1"/>
        <v>0</v>
      </c>
      <c r="H16" s="21">
        <f t="shared" si="1"/>
        <v>0</v>
      </c>
      <c r="I16" s="21">
        <f t="shared" si="1"/>
        <v>0</v>
      </c>
      <c r="J16" s="21">
        <f t="shared" si="1"/>
        <v>0</v>
      </c>
      <c r="K16" s="21">
        <f t="shared" si="1"/>
        <v>0</v>
      </c>
      <c r="L16" s="21">
        <f t="shared" ca="1" si="1"/>
        <v>0</v>
      </c>
      <c r="M16" s="21">
        <f t="shared" si="1"/>
        <v>0</v>
      </c>
      <c r="N16" s="21">
        <f t="shared" ca="1" si="1"/>
        <v>830.87700142039864</v>
      </c>
      <c r="O16" s="21">
        <f>O5</f>
        <v>4.6900000000000004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0.20557698243646105</v>
      </c>
      <c r="C18" s="25">
        <f ca="1">'EF ele_warmte'!B22</f>
        <v>0.22444444444444447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2755.3197867103677</v>
      </c>
      <c r="C20" s="23">
        <f t="shared" ref="C20:P20" ca="1" si="2">C16*C18</f>
        <v>0</v>
      </c>
      <c r="D20" s="23">
        <f t="shared" ca="1" si="2"/>
        <v>3596.2114996659052</v>
      </c>
      <c r="E20" s="23">
        <f t="shared" si="2"/>
        <v>55.415447412021507</v>
      </c>
      <c r="F20" s="23">
        <f t="shared" ca="1" si="2"/>
        <v>721.79882991179568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2381.12746163668</v>
      </c>
      <c r="C26" s="39">
        <f>IF(ISERROR(B26*3.6/1000000/'E Balans VL '!Z12*100),0,B26*3.6/1000000/'E Balans VL '!Z12*100)</f>
        <v>5.0576326742380232E-2</v>
      </c>
      <c r="D26" s="239" t="s">
        <v>689</v>
      </c>
      <c r="F26" s="6"/>
    </row>
    <row r="27" spans="1:18">
      <c r="A27" s="233" t="s">
        <v>52</v>
      </c>
      <c r="B27" s="33">
        <f>IF(ISERROR(TER_horeca_ele_kWh/1000),0,TER_horeca_ele_kWh/1000)</f>
        <v>2369.5490959465701</v>
      </c>
      <c r="C27" s="39">
        <f>IF(ISERROR(B27*3.6/1000000/'E Balans VL '!Z9*100),0,B27*3.6/1000000/'E Balans VL '!Z9*100)</f>
        <v>0.18424687294936587</v>
      </c>
      <c r="D27" s="239" t="s">
        <v>689</v>
      </c>
      <c r="F27" s="6"/>
    </row>
    <row r="28" spans="1:18">
      <c r="A28" s="173" t="s">
        <v>51</v>
      </c>
      <c r="B28" s="33">
        <f>IF(ISERROR(TER_handel_ele_kWh/1000),0,TER_handel_ele_kWh/1000)</f>
        <v>6160.1212382039903</v>
      </c>
      <c r="C28" s="39">
        <f>IF(ISERROR(B28*3.6/1000000/'E Balans VL '!Z13*100),0,B28*3.6/1000000/'E Balans VL '!Z13*100)</f>
        <v>0.17624831836248547</v>
      </c>
      <c r="D28" s="239" t="s">
        <v>689</v>
      </c>
      <c r="F28" s="6"/>
    </row>
    <row r="29" spans="1:18">
      <c r="A29" s="233" t="s">
        <v>50</v>
      </c>
      <c r="B29" s="33">
        <f>IF(ISERROR(TER_gezond_ele_kWh/1000),0,TER_gezond_ele_kWh/1000)</f>
        <v>779.98505156089504</v>
      </c>
      <c r="C29" s="39">
        <f>IF(ISERROR(B29*3.6/1000000/'E Balans VL '!Z10*100),0,B29*3.6/1000000/'E Balans VL '!Z10*100)</f>
        <v>8.5036495299010015E-2</v>
      </c>
      <c r="D29" s="239" t="s">
        <v>689</v>
      </c>
      <c r="F29" s="6"/>
    </row>
    <row r="30" spans="1:18">
      <c r="A30" s="233" t="s">
        <v>49</v>
      </c>
      <c r="B30" s="33">
        <f>IF(ISERROR(TER_ander_ele_kWh/1000),0,TER_ander_ele_kWh/1000)</f>
        <v>1089.8673799386199</v>
      </c>
      <c r="C30" s="39">
        <f>IF(ISERROR(B30*3.6/1000000/'E Balans VL '!Z14*100),0,B30*3.6/1000000/'E Balans VL '!Z14*100)</f>
        <v>7.9754022558363918E-2</v>
      </c>
      <c r="D30" s="239" t="s">
        <v>689</v>
      </c>
      <c r="F30" s="6"/>
    </row>
    <row r="31" spans="1:18">
      <c r="A31" s="233" t="s">
        <v>54</v>
      </c>
      <c r="B31" s="33">
        <f>IF(ISERROR(TER_onderwijs_ele_kWh/1000),0,TER_onderwijs_ele_kWh/1000)</f>
        <v>70.3741961049612</v>
      </c>
      <c r="C31" s="39">
        <f>IF(ISERROR(B31*3.6/1000000/'E Balans VL '!Z11*100),0,B31*3.6/1000000/'E Balans VL '!Z11*100)</f>
        <v>1.4134709546118463E-2</v>
      </c>
      <c r="D31" s="239" t="s">
        <v>689</v>
      </c>
    </row>
    <row r="32" spans="1:18">
      <c r="A32" s="233" t="s">
        <v>259</v>
      </c>
      <c r="B32" s="33">
        <f>IF(ISERROR(TER_rest_ele_kWh/1000),0,TER_rest_ele_kWh/1000)</f>
        <v>551.83689918836103</v>
      </c>
      <c r="C32" s="39">
        <f>IF(ISERROR(B32*3.6/1000000/'E Balans VL '!Z8*100),0,B32*3.6/1000000/'E Balans VL '!Z8*100)</f>
        <v>4.4971358355866582E-3</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3</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3</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1072.9319760239766</v>
      </c>
      <c r="C5" s="17">
        <f>IF(ISERROR('Eigen informatie GS &amp; warmtenet'!B59),0,'Eigen informatie GS &amp; warmtenet'!B59)</f>
        <v>0</v>
      </c>
      <c r="D5" s="30">
        <f>SUM(D6:D15)</f>
        <v>1049.3597804178471</v>
      </c>
      <c r="E5" s="17">
        <f>SUM(E6:E15)</f>
        <v>210.41461280963537</v>
      </c>
      <c r="F5" s="17">
        <f>SUM(F6:F15)</f>
        <v>862.84480752413617</v>
      </c>
      <c r="G5" s="18"/>
      <c r="H5" s="17"/>
      <c r="I5" s="17"/>
      <c r="J5" s="17">
        <f>SUM(J6:J15)</f>
        <v>0.29714895139828651</v>
      </c>
      <c r="K5" s="17"/>
      <c r="L5" s="17"/>
      <c r="M5" s="17"/>
      <c r="N5" s="17">
        <f>SUM(N6:N15)</f>
        <v>136.1301932243376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45.035554287182002</v>
      </c>
      <c r="C8" s="33"/>
      <c r="D8" s="37">
        <f>IF( ISERROR(IND_metaal_Gas_kWH/1000),0,IND_metaal_Gas_kWH/1000)*0.902</f>
        <v>0</v>
      </c>
      <c r="E8" s="33">
        <f>C30*'E Balans VL '!I18/100/3.6*1000000</f>
        <v>1.2935901618607424</v>
      </c>
      <c r="F8" s="33">
        <f>C30*'E Balans VL '!L18/100/3.6*1000000+C30*'E Balans VL '!N18/100/3.6*1000000</f>
        <v>11.550753516476536</v>
      </c>
      <c r="G8" s="34"/>
      <c r="H8" s="33"/>
      <c r="I8" s="33"/>
      <c r="J8" s="40">
        <f>C30*'E Balans VL '!D18/100/3.6*1000000+C30*'E Balans VL '!E18/100/3.6*1000000</f>
        <v>0</v>
      </c>
      <c r="K8" s="33"/>
      <c r="L8" s="33"/>
      <c r="M8" s="33"/>
      <c r="N8" s="33">
        <f>C30*'E Balans VL '!Y18/100/3.6*1000000</f>
        <v>1.2228072294878081</v>
      </c>
      <c r="O8" s="33"/>
      <c r="P8" s="33"/>
      <c r="R8" s="32"/>
    </row>
    <row r="9" spans="1:18">
      <c r="A9" s="6" t="s">
        <v>32</v>
      </c>
      <c r="B9" s="37">
        <f t="shared" si="0"/>
        <v>679.536281978543</v>
      </c>
      <c r="C9" s="33"/>
      <c r="D9" s="37">
        <f>IF( ISERROR(IND_andere_gas_kWh/1000),0,IND_andere_gas_kWh/1000)*0.902</f>
        <v>390.98814251384533</v>
      </c>
      <c r="E9" s="33">
        <f>C31*'E Balans VL '!I19/100/3.6*1000000</f>
        <v>183.93376374554225</v>
      </c>
      <c r="F9" s="33">
        <f>C31*'E Balans VL '!L19/100/3.6*1000000+C31*'E Balans VL '!N19/100/3.6*1000000</f>
        <v>452.64307375763252</v>
      </c>
      <c r="G9" s="34"/>
      <c r="H9" s="33"/>
      <c r="I9" s="33"/>
      <c r="J9" s="40">
        <f>C31*'E Balans VL '!D19/100/3.6*1000000+C31*'E Balans VL '!E19/100/3.6*1000000</f>
        <v>0</v>
      </c>
      <c r="K9" s="33"/>
      <c r="L9" s="33"/>
      <c r="M9" s="33"/>
      <c r="N9" s="33">
        <f>C31*'E Balans VL '!Y19/100/3.6*1000000</f>
        <v>57.450291227451153</v>
      </c>
      <c r="O9" s="33"/>
      <c r="P9" s="33"/>
      <c r="R9" s="32"/>
    </row>
    <row r="10" spans="1:18">
      <c r="A10" s="6" t="s">
        <v>40</v>
      </c>
      <c r="B10" s="37">
        <f t="shared" si="0"/>
        <v>250.53423084077801</v>
      </c>
      <c r="C10" s="33"/>
      <c r="D10" s="37">
        <f>IF( ISERROR(IND_voed_gas_kWh/1000),0,IND_voed_gas_kWh/1000)*0.902</f>
        <v>0</v>
      </c>
      <c r="E10" s="33">
        <f>C32*'E Balans VL '!I20/100/3.6*1000000</f>
        <v>20.434147454791649</v>
      </c>
      <c r="F10" s="33">
        <f>C32*'E Balans VL '!L20/100/3.6*1000000+C32*'E Balans VL '!N20/100/3.6*1000000</f>
        <v>373.56926864069391</v>
      </c>
      <c r="G10" s="34"/>
      <c r="H10" s="33"/>
      <c r="I10" s="33"/>
      <c r="J10" s="40">
        <f>C32*'E Balans VL '!D20/100/3.6*1000000+C32*'E Balans VL '!E20/100/3.6*1000000</f>
        <v>3.3142637662634941E-3</v>
      </c>
      <c r="K10" s="33"/>
      <c r="L10" s="33"/>
      <c r="M10" s="33"/>
      <c r="N10" s="33">
        <f>C32*'E Balans VL '!Y20/100/3.6*1000000</f>
        <v>73.598116621255585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14.675838349920101</v>
      </c>
      <c r="C12" s="33"/>
      <c r="D12" s="37">
        <f>IF( ISERROR(IND_min_gas_kWh/1000),0,IND_min_gas_kWh/1000)*0.902</f>
        <v>0</v>
      </c>
      <c r="E12" s="33">
        <f>C34*'E Balans VL '!I22/100/3.6*1000000</f>
        <v>0.11432158301681422</v>
      </c>
      <c r="F12" s="33">
        <f>C34*'E Balans VL '!L22/100/3.6*1000000+C34*'E Balans VL '!N22/100/3.6*1000000</f>
        <v>5.5348243677784978</v>
      </c>
      <c r="G12" s="34"/>
      <c r="H12" s="33"/>
      <c r="I12" s="33"/>
      <c r="J12" s="40">
        <f>C34*'E Balans VL '!D22/100/3.6*1000000+C34*'E Balans VL '!E22/100/3.6*1000000</f>
        <v>8.0715827773051044E-2</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83.150070567553499</v>
      </c>
      <c r="C15" s="33"/>
      <c r="D15" s="37">
        <f>IF( ISERROR(IND_rest_gas_kWh/1000),0,IND_rest_gas_kWh/1000)*0.902</f>
        <v>658.37163790400166</v>
      </c>
      <c r="E15" s="33">
        <f>C37*'E Balans VL '!I15/100/3.6*1000000</f>
        <v>4.6387898644238899</v>
      </c>
      <c r="F15" s="33">
        <f>C37*'E Balans VL '!L15/100/3.6*1000000+C37*'E Balans VL '!N15/100/3.6*1000000</f>
        <v>19.546887241554746</v>
      </c>
      <c r="G15" s="34"/>
      <c r="H15" s="33"/>
      <c r="I15" s="33"/>
      <c r="J15" s="40">
        <f>C37*'E Balans VL '!D15/100/3.6*1000000+C37*'E Balans VL '!E15/100/3.6*1000000</f>
        <v>0.21311885985897197</v>
      </c>
      <c r="K15" s="33"/>
      <c r="L15" s="33"/>
      <c r="M15" s="33"/>
      <c r="N15" s="33">
        <f>C37*'E Balans VL '!Y15/100/3.6*1000000</f>
        <v>3.8589781461430648</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1072.9319760239766</v>
      </c>
      <c r="C18" s="21">
        <f>C5+C16</f>
        <v>0</v>
      </c>
      <c r="D18" s="21">
        <f>MAX((D5+D16),0)</f>
        <v>1049.3597804178471</v>
      </c>
      <c r="E18" s="21">
        <f>MAX((E5+E16),0)</f>
        <v>210.41461280963537</v>
      </c>
      <c r="F18" s="21">
        <f>MAX((F5+F16),0)</f>
        <v>862.84480752413617</v>
      </c>
      <c r="G18" s="21"/>
      <c r="H18" s="21"/>
      <c r="I18" s="21"/>
      <c r="J18" s="21">
        <f>MAX((J5+J16),0)</f>
        <v>0.29714895139828651</v>
      </c>
      <c r="K18" s="21"/>
      <c r="L18" s="21">
        <f>MAX((L5+L16),0)</f>
        <v>0</v>
      </c>
      <c r="M18" s="21"/>
      <c r="N18" s="21">
        <f>MAX((N5+N16),0)</f>
        <v>136.1301932243376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0.20557698243646105</v>
      </c>
      <c r="C20" s="25">
        <f ca="1">'EF ele_warmte'!B22</f>
        <v>0.22444444444444447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220.5701179905985</v>
      </c>
      <c r="C22" s="23">
        <f ca="1">C18*C20</f>
        <v>0</v>
      </c>
      <c r="D22" s="23">
        <f>D18*D20</f>
        <v>211.97067564440513</v>
      </c>
      <c r="E22" s="23">
        <f>E18*E20</f>
        <v>47.764117107787229</v>
      </c>
      <c r="F22" s="23">
        <f>F18*F20</f>
        <v>230.37956360894438</v>
      </c>
      <c r="G22" s="23"/>
      <c r="H22" s="23"/>
      <c r="I22" s="23"/>
      <c r="J22" s="23">
        <f>J18*J20</f>
        <v>0.10519072879499342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45.035554287182002</v>
      </c>
      <c r="C30" s="39">
        <f>IF(ISERROR(B30*3.6/1000000/'E Balans VL '!Z18*100),0,B30*3.6/1000000/'E Balans VL '!Z18*100)</f>
        <v>4.4313835783351095E-3</v>
      </c>
      <c r="D30" s="239" t="s">
        <v>689</v>
      </c>
    </row>
    <row r="31" spans="1:18">
      <c r="A31" s="6" t="s">
        <v>32</v>
      </c>
      <c r="B31" s="37">
        <f>IF( ISERROR(IND_ander_ele_kWh/1000),0,IND_ander_ele_kWh/1000)</f>
        <v>679.536281978543</v>
      </c>
      <c r="C31" s="39">
        <f>IF(ISERROR(B31*3.6/1000000/'E Balans VL '!Z19*100),0,B31*3.6/1000000/'E Balans VL '!Z19*100)</f>
        <v>2.9593263019413067E-2</v>
      </c>
      <c r="D31" s="239" t="s">
        <v>689</v>
      </c>
    </row>
    <row r="32" spans="1:18">
      <c r="A32" s="173" t="s">
        <v>40</v>
      </c>
      <c r="B32" s="37">
        <f>IF( ISERROR(IND_voed_ele_kWh/1000),0,IND_voed_ele_kWh/1000)</f>
        <v>250.53423084077801</v>
      </c>
      <c r="C32" s="39">
        <f>IF(ISERROR(B32*3.6/1000000/'E Balans VL '!Z20*100),0,B32*3.6/1000000/'E Balans VL '!Z20*100)</f>
        <v>4.7535257205370954E-2</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14.675838349920101</v>
      </c>
      <c r="C34" s="39">
        <f>IF(ISERROR(B34*3.6/1000000/'E Balans VL '!Z22*100),0,B34*3.6/1000000/'E Balans VL '!Z22*100)</f>
        <v>2.063570242174002E-3</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83.150070567553499</v>
      </c>
      <c r="C37" s="39">
        <f>IF(ISERROR(B37*3.6/1000000/'E Balans VL '!Z15*100),0,B37*3.6/1000000/'E Balans VL '!Z15*100)</f>
        <v>6.4077342306142885E-4</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622.60947424071867</v>
      </c>
      <c r="C5" s="17">
        <f>'Eigen informatie GS &amp; warmtenet'!B60</f>
        <v>0</v>
      </c>
      <c r="D5" s="30">
        <f>IF(ISERROR(SUM(LB_lb_gas_kWh,LB_rest_gas_kWh)/1000),0,SUM(LB_lb_gas_kWh,LB_rest_gas_kWh)/1000)*0.902</f>
        <v>102.33237184588026</v>
      </c>
      <c r="E5" s="17">
        <f>B17*'E Balans VL '!I25/3.6*1000000/100</f>
        <v>7.8456814595160749</v>
      </c>
      <c r="F5" s="17">
        <f>B17*('E Balans VL '!L25/3.6*1000000+'E Balans VL '!N25/3.6*1000000)/100</f>
        <v>2148.158659123545</v>
      </c>
      <c r="G5" s="18"/>
      <c r="H5" s="17"/>
      <c r="I5" s="17"/>
      <c r="J5" s="17">
        <f>('E Balans VL '!D25+'E Balans VL '!E25)/3.6*1000000*landbouw!B17/100</f>
        <v>93.633387351091784</v>
      </c>
      <c r="K5" s="17"/>
      <c r="L5" s="17">
        <f>L6*(-1)</f>
        <v>0</v>
      </c>
      <c r="M5" s="17"/>
      <c r="N5" s="17">
        <f>N6*(-1)</f>
        <v>0</v>
      </c>
      <c r="O5" s="17"/>
      <c r="P5" s="17"/>
      <c r="R5" s="32"/>
    </row>
    <row r="6" spans="1:18">
      <c r="A6" s="16" t="s">
        <v>496</v>
      </c>
      <c r="B6" s="17" t="s">
        <v>210</v>
      </c>
      <c r="C6" s="17">
        <f>'lokale energieproductie'!O39+'lokale energieproductie'!O32</f>
        <v>22.5</v>
      </c>
      <c r="D6" s="310">
        <f>('lokale energieproductie'!P32+'lokale energieproductie'!P39)*(-1)</f>
        <v>-30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622.60947424071867</v>
      </c>
      <c r="C8" s="21">
        <f>C5+C6</f>
        <v>22.5</v>
      </c>
      <c r="D8" s="21">
        <f>MAX((D5+D6),0)</f>
        <v>72.33237184588026</v>
      </c>
      <c r="E8" s="21">
        <f>MAX((E5+E6),0)</f>
        <v>7.8456814595160749</v>
      </c>
      <c r="F8" s="21">
        <f>MAX((F5+F6),0)</f>
        <v>2148.158659123545</v>
      </c>
      <c r="G8" s="21"/>
      <c r="H8" s="21"/>
      <c r="I8" s="21"/>
      <c r="J8" s="21">
        <f>MAX((J5+J6),0)</f>
        <v>93.633387351091784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0.20557698243646105</v>
      </c>
      <c r="C10" s="31">
        <f ca="1">'EF ele_warmte'!B22</f>
        <v>0.22444444444444447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127.99417695075847</v>
      </c>
      <c r="C12" s="23">
        <f ca="1">C8*C10</f>
        <v>5.0500000000000007</v>
      </c>
      <c r="D12" s="23">
        <f>D8*D10</f>
        <v>14.611139112867814</v>
      </c>
      <c r="E12" s="23">
        <f>E8*E10</f>
        <v>1.7809696913101491</v>
      </c>
      <c r="F12" s="23">
        <f>F8*F10</f>
        <v>573.55836198598661</v>
      </c>
      <c r="G12" s="23"/>
      <c r="H12" s="23"/>
      <c r="I12" s="23"/>
      <c r="J12" s="23">
        <f>J8*J10</f>
        <v>33.146219122286489</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8.683439814502443E-2</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63.741318221832813</v>
      </c>
      <c r="C26" s="249">
        <f>B26*'GWP N2O_CH4'!B5</f>
        <v>1338.567682658489</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27.352491070092768</v>
      </c>
      <c r="C27" s="249">
        <f>B27*'GWP N2O_CH4'!B5</f>
        <v>574.40231247194811</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0.88911139327499222</v>
      </c>
      <c r="C28" s="249">
        <f>B28*'GWP N2O_CH4'!B4</f>
        <v>275.62453191524759</v>
      </c>
      <c r="D28" s="50"/>
    </row>
    <row r="29" spans="1:4">
      <c r="A29" s="41" t="s">
        <v>276</v>
      </c>
      <c r="B29" s="249">
        <f>B34*'ha_N2O bodem landbouw'!B4</f>
        <v>12.193209646673866</v>
      </c>
      <c r="C29" s="249">
        <f>B29*'GWP N2O_CH4'!B4</f>
        <v>3779.8949904688984</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3.0445226108231516E-3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2.0551650399565551E-5</v>
      </c>
      <c r="C5" s="444" t="s">
        <v>210</v>
      </c>
      <c r="D5" s="429">
        <f>SUM(D6:D11)</f>
        <v>3.3789251200145237E-5</v>
      </c>
      <c r="E5" s="429">
        <f>SUM(E6:E11)</f>
        <v>1.3840070815058785E-3</v>
      </c>
      <c r="F5" s="442" t="s">
        <v>210</v>
      </c>
      <c r="G5" s="429">
        <f>SUM(G6:G11)</f>
        <v>0.35488265636417693</v>
      </c>
      <c r="H5" s="429">
        <f>SUM(H6:H11)</f>
        <v>6.3504086418627606E-2</v>
      </c>
      <c r="I5" s="444" t="s">
        <v>210</v>
      </c>
      <c r="J5" s="444" t="s">
        <v>210</v>
      </c>
      <c r="K5" s="444" t="s">
        <v>210</v>
      </c>
      <c r="L5" s="444" t="s">
        <v>210</v>
      </c>
      <c r="M5" s="429">
        <f>SUM(M6:M11)</f>
        <v>1.8918130145124171E-2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2.8651816549908001E-6</v>
      </c>
      <c r="C6" s="883"/>
      <c r="D6" s="883">
        <f>vkm_GW_PW*SUMIFS(TableVerdeelsleutelVkm[CNG],TableVerdeelsleutelVkm[Voertuigtype],"Lichte voertuigen")*SUMIFS(TableECFTransport[EnergieConsumptieFactor (PJ per km)],TableECFTransport[Index],CONCATENATE($A6,"_CNG_CNG"))</f>
        <v>4.2461138714731745E-6</v>
      </c>
      <c r="E6" s="883">
        <f>vkm_GW_PW*SUMIFS(TableVerdeelsleutelVkm[LPG],TableVerdeelsleutelVkm[Voertuigtype],"Lichte voertuigen")*SUMIFS(TableECFTransport[EnergieConsumptieFactor (PJ per km)],TableECFTransport[Index],CONCATENATE($A6,"_LPG_LPG"))</f>
        <v>1.5208028341495559E-4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3.0606614537025477E-2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7.8188971577655662E-3</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1.7383489151795745E-3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9.8188825577931339E-3</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2.2813530730879364E-7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4.4333787349092849E-4</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3.2636499300984503E-6</v>
      </c>
      <c r="C8" s="883"/>
      <c r="D8" s="432">
        <f>vkm_NGW_PW*SUMIFS(TableVerdeelsleutelVkm[CNG],TableVerdeelsleutelVkm[Voertuigtype],"Lichte voertuigen")*SUMIFS(TableECFTransport[EnergieConsumptieFactor (PJ per km)],TableECFTransport[Index],CONCATENATE($A8,"_CNG_CNG"))</f>
        <v>8.207886061596495E-6</v>
      </c>
      <c r="E8" s="432">
        <f>vkm_NGW_PW*SUMIFS(TableVerdeelsleutelVkm[LPG],TableVerdeelsleutelVkm[Voertuigtype],"Lichte voertuigen")*SUMIFS(TableECFTransport[EnergieConsumptieFactor (PJ per km)],TableECFTransport[Index],CONCATENATE($A8,"_LPG_LPG"))</f>
        <v>2.7797338312109842E-4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5.3141301611770504E-2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1.4523407312979162E-2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3.0614440044996472E-3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8.7491636147260243E-3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2.3562126354710728E-7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3.9503986783007942E-4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1.44228188144763E-5</v>
      </c>
      <c r="C10" s="883"/>
      <c r="D10" s="432">
        <f>vkm_SW_PW*SUMIFS(TableVerdeelsleutelVkm[CNG],TableVerdeelsleutelVkm[Voertuigtype],"Lichte voertuigen")*SUMIFS(TableECFTransport[EnergieConsumptieFactor (PJ per km)],TableECFTransport[Index],CONCATENATE($A10,"_CNG_CNG"))</f>
        <v>2.1335251267075571E-5</v>
      </c>
      <c r="E10" s="432">
        <f>vkm_SW_PW*SUMIFS(TableVerdeelsleutelVkm[LPG],TableVerdeelsleutelVkm[Voertuigtype],"Lichte voertuigen")*SUMIFS(TableECFTransport[EnergieConsumptieFactor (PJ per km)],TableECFTransport[Index],CONCATENATE($A10,"_LPG_LPG"))</f>
        <v>9.5395341496982457E-4</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0.17404141616059382</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4.1159372058828234E-2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9.7344150742388162E-3</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7.8525277882267999E-2</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1.9461324837927958E-6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3.5455444098851283E-3</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5.7087917776570976</v>
      </c>
      <c r="C14" s="21"/>
      <c r="D14" s="21">
        <f t="shared" ref="D14:M14" si="0">((D5)*10^9/3600)+D12</f>
        <v>9.3859031111514533</v>
      </c>
      <c r="E14" s="21">
        <f t="shared" si="0"/>
        <v>384.44641152941068</v>
      </c>
      <c r="F14" s="21"/>
      <c r="G14" s="21">
        <f t="shared" si="0"/>
        <v>98578.515656715812</v>
      </c>
      <c r="H14" s="21">
        <f t="shared" si="0"/>
        <v>17640.024005174335</v>
      </c>
      <c r="I14" s="21"/>
      <c r="J14" s="21"/>
      <c r="K14" s="21"/>
      <c r="L14" s="21"/>
      <c r="M14" s="21">
        <f t="shared" si="0"/>
        <v>5255.0361514233809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0.20557698243646105</v>
      </c>
      <c r="C16" s="56">
        <f ca="1">'EF ele_warmte'!B22</f>
        <v>0.22444444444444447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1.1735961870088265</v>
      </c>
      <c r="C18" s="23"/>
      <c r="D18" s="23">
        <f t="shared" ref="D18:M18" si="1">D14*D16</f>
        <v>1.8959524284525937</v>
      </c>
      <c r="E18" s="23">
        <f t="shared" si="1"/>
        <v>87.269335417176222</v>
      </c>
      <c r="F18" s="23"/>
      <c r="G18" s="23">
        <f t="shared" si="1"/>
        <v>26320.463680343124</v>
      </c>
      <c r="H18" s="23">
        <f t="shared" si="1"/>
        <v>4392.3659772884093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8.4610813623663891E-3</v>
      </c>
      <c r="H50" s="321">
        <f t="shared" si="2"/>
        <v>0</v>
      </c>
      <c r="I50" s="321">
        <f t="shared" si="2"/>
        <v>0</v>
      </c>
      <c r="J50" s="321">
        <f t="shared" si="2"/>
        <v>0</v>
      </c>
      <c r="K50" s="321">
        <f t="shared" si="2"/>
        <v>0</v>
      </c>
      <c r="L50" s="321">
        <f t="shared" si="2"/>
        <v>0</v>
      </c>
      <c r="M50" s="321">
        <f t="shared" si="2"/>
        <v>3.7660973122540751E-4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8.4610813623663891E-3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3.7660973122540751E-4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2350.3003784351081</v>
      </c>
      <c r="H54" s="21">
        <f t="shared" si="3"/>
        <v>0</v>
      </c>
      <c r="I54" s="21">
        <f t="shared" si="3"/>
        <v>0</v>
      </c>
      <c r="J54" s="21">
        <f t="shared" si="3"/>
        <v>0</v>
      </c>
      <c r="K54" s="21">
        <f t="shared" si="3"/>
        <v>0</v>
      </c>
      <c r="L54" s="21">
        <f t="shared" si="3"/>
        <v>0</v>
      </c>
      <c r="M54" s="21">
        <f t="shared" si="3"/>
        <v>104.61381422927987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0.20557698243646105</v>
      </c>
      <c r="C56" s="56">
        <f ca="1">'EF ele_warmte'!B22</f>
        <v>0.22444444444444447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627.53020104217387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13894.741322580077</v>
      </c>
      <c r="D10" s="686">
        <f ca="1">tertiair!C16</f>
        <v>0</v>
      </c>
      <c r="E10" s="686">
        <f ca="1">tertiair!D16</f>
        <v>17803.027226068836</v>
      </c>
      <c r="F10" s="686">
        <f>tertiair!E16</f>
        <v>244.12091370934584</v>
      </c>
      <c r="G10" s="686">
        <f ca="1">tertiair!F16</f>
        <v>2703.3664041640286</v>
      </c>
      <c r="H10" s="686">
        <f>tertiair!G16</f>
        <v>0</v>
      </c>
      <c r="I10" s="686">
        <f>tertiair!H16</f>
        <v>0</v>
      </c>
      <c r="J10" s="686">
        <f>tertiair!I16</f>
        <v>0</v>
      </c>
      <c r="K10" s="686">
        <f>tertiair!J16</f>
        <v>0</v>
      </c>
      <c r="L10" s="686">
        <f>tertiair!K16</f>
        <v>0</v>
      </c>
      <c r="M10" s="686">
        <f ca="1">tertiair!L16</f>
        <v>0</v>
      </c>
      <c r="N10" s="686">
        <f>tertiair!M16</f>
        <v>0</v>
      </c>
      <c r="O10" s="686">
        <f ca="1">tertiair!N16</f>
        <v>830.87700142039864</v>
      </c>
      <c r="P10" s="686">
        <f>tertiair!O16</f>
        <v>4.6900000000000004</v>
      </c>
      <c r="Q10" s="687">
        <f>tertiair!P16</f>
        <v>57.2</v>
      </c>
      <c r="R10" s="689">
        <f ca="1">SUM(C10:Q10)</f>
        <v>35538.022867942687</v>
      </c>
      <c r="S10" s="67"/>
    </row>
    <row r="11" spans="1:19" s="454" customFormat="1">
      <c r="A11" s="801" t="s">
        <v>224</v>
      </c>
      <c r="B11" s="806"/>
      <c r="C11" s="686">
        <f>huishoudens!B8</f>
        <v>17997.114992017949</v>
      </c>
      <c r="D11" s="686">
        <f>huishoudens!C8</f>
        <v>0</v>
      </c>
      <c r="E11" s="686">
        <f>huishoudens!D8</f>
        <v>31063.405648474331</v>
      </c>
      <c r="F11" s="686">
        <f>huishoudens!E8</f>
        <v>3762.8567522923154</v>
      </c>
      <c r="G11" s="686">
        <f>huishoudens!F8</f>
        <v>24445.311968159087</v>
      </c>
      <c r="H11" s="686">
        <f>huishoudens!G8</f>
        <v>0</v>
      </c>
      <c r="I11" s="686">
        <f>huishoudens!H8</f>
        <v>0</v>
      </c>
      <c r="J11" s="686">
        <f>huishoudens!I8</f>
        <v>0</v>
      </c>
      <c r="K11" s="686">
        <f>huishoudens!J8</f>
        <v>0</v>
      </c>
      <c r="L11" s="686">
        <f>huishoudens!K8</f>
        <v>0</v>
      </c>
      <c r="M11" s="686">
        <f>huishoudens!L8</f>
        <v>0</v>
      </c>
      <c r="N11" s="686">
        <f>huishoudens!M8</f>
        <v>0</v>
      </c>
      <c r="O11" s="686">
        <f>huishoudens!N8</f>
        <v>9257.619779865121</v>
      </c>
      <c r="P11" s="686">
        <f>huishoudens!O8</f>
        <v>136.01000000000002</v>
      </c>
      <c r="Q11" s="687">
        <f>huishoudens!P8</f>
        <v>152.53333333333333</v>
      </c>
      <c r="R11" s="689">
        <f>SUM(C11:Q11)</f>
        <v>86814.852474142142</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1072.9319760239766</v>
      </c>
      <c r="D13" s="686">
        <f>industrie!C18</f>
        <v>0</v>
      </c>
      <c r="E13" s="686">
        <f>industrie!D18</f>
        <v>1049.3597804178471</v>
      </c>
      <c r="F13" s="686">
        <f>industrie!E18</f>
        <v>210.41461280963537</v>
      </c>
      <c r="G13" s="686">
        <f>industrie!F18</f>
        <v>862.84480752413617</v>
      </c>
      <c r="H13" s="686">
        <f>industrie!G18</f>
        <v>0</v>
      </c>
      <c r="I13" s="686">
        <f>industrie!H18</f>
        <v>0</v>
      </c>
      <c r="J13" s="686">
        <f>industrie!I18</f>
        <v>0</v>
      </c>
      <c r="K13" s="686">
        <f>industrie!J18</f>
        <v>0.29714895139828651</v>
      </c>
      <c r="L13" s="686">
        <f>industrie!K18</f>
        <v>0</v>
      </c>
      <c r="M13" s="686">
        <f>industrie!L18</f>
        <v>0</v>
      </c>
      <c r="N13" s="686">
        <f>industrie!M18</f>
        <v>0</v>
      </c>
      <c r="O13" s="686">
        <f>industrie!N18</f>
        <v>136.1301932243376</v>
      </c>
      <c r="P13" s="686">
        <f>industrie!O18</f>
        <v>0</v>
      </c>
      <c r="Q13" s="687">
        <f>industrie!P18</f>
        <v>0</v>
      </c>
      <c r="R13" s="689">
        <f>SUM(C13:Q13)</f>
        <v>3331.9785189513318</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32964.788290622004</v>
      </c>
      <c r="D16" s="721">
        <f t="shared" ref="D16:R16" ca="1" si="0">SUM(D9:D15)</f>
        <v>0</v>
      </c>
      <c r="E16" s="721">
        <f t="shared" ca="1" si="0"/>
        <v>49915.79265496102</v>
      </c>
      <c r="F16" s="721">
        <f t="shared" si="0"/>
        <v>4217.3922788112968</v>
      </c>
      <c r="G16" s="721">
        <f t="shared" ca="1" si="0"/>
        <v>28011.523179847252</v>
      </c>
      <c r="H16" s="721">
        <f t="shared" si="0"/>
        <v>0</v>
      </c>
      <c r="I16" s="721">
        <f t="shared" si="0"/>
        <v>0</v>
      </c>
      <c r="J16" s="721">
        <f t="shared" si="0"/>
        <v>0</v>
      </c>
      <c r="K16" s="721">
        <f t="shared" si="0"/>
        <v>0.29714895139828651</v>
      </c>
      <c r="L16" s="721">
        <f t="shared" si="0"/>
        <v>0</v>
      </c>
      <c r="M16" s="721">
        <f t="shared" ca="1" si="0"/>
        <v>0</v>
      </c>
      <c r="N16" s="721">
        <f t="shared" si="0"/>
        <v>0</v>
      </c>
      <c r="O16" s="721">
        <f t="shared" ca="1" si="0"/>
        <v>10224.626974509856</v>
      </c>
      <c r="P16" s="721">
        <f t="shared" si="0"/>
        <v>140.70000000000002</v>
      </c>
      <c r="Q16" s="721">
        <f t="shared" si="0"/>
        <v>209.73333333333335</v>
      </c>
      <c r="R16" s="721">
        <f t="shared" ca="1" si="0"/>
        <v>125684.85386103616</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2350.3003784351081</v>
      </c>
      <c r="I19" s="686">
        <f>transport!H54</f>
        <v>0</v>
      </c>
      <c r="J19" s="686">
        <f>transport!I54</f>
        <v>0</v>
      </c>
      <c r="K19" s="686">
        <f>transport!J54</f>
        <v>0</v>
      </c>
      <c r="L19" s="686">
        <f>transport!K54</f>
        <v>0</v>
      </c>
      <c r="M19" s="686">
        <f>transport!L54</f>
        <v>0</v>
      </c>
      <c r="N19" s="686">
        <f>transport!M54</f>
        <v>104.61381422927987</v>
      </c>
      <c r="O19" s="686">
        <f>transport!N54</f>
        <v>0</v>
      </c>
      <c r="P19" s="686">
        <f>transport!O54</f>
        <v>0</v>
      </c>
      <c r="Q19" s="687">
        <f>transport!P54</f>
        <v>0</v>
      </c>
      <c r="R19" s="689">
        <f>SUM(C19:Q19)</f>
        <v>2454.9141926643879</v>
      </c>
      <c r="S19" s="67"/>
    </row>
    <row r="20" spans="1:19" s="454" customFormat="1">
      <c r="A20" s="801" t="s">
        <v>306</v>
      </c>
      <c r="B20" s="806"/>
      <c r="C20" s="686">
        <f>transport!B14</f>
        <v>5.7087917776570976</v>
      </c>
      <c r="D20" s="686">
        <f>transport!C14</f>
        <v>0</v>
      </c>
      <c r="E20" s="686">
        <f>transport!D14</f>
        <v>9.3859031111514533</v>
      </c>
      <c r="F20" s="686">
        <f>transport!E14</f>
        <v>384.44641152941068</v>
      </c>
      <c r="G20" s="686">
        <f>transport!F14</f>
        <v>0</v>
      </c>
      <c r="H20" s="686">
        <f>transport!G14</f>
        <v>98578.515656715812</v>
      </c>
      <c r="I20" s="686">
        <f>transport!H14</f>
        <v>17640.024005174335</v>
      </c>
      <c r="J20" s="686">
        <f>transport!I14</f>
        <v>0</v>
      </c>
      <c r="K20" s="686">
        <f>transport!J14</f>
        <v>0</v>
      </c>
      <c r="L20" s="686">
        <f>transport!K14</f>
        <v>0</v>
      </c>
      <c r="M20" s="686">
        <f>transport!L14</f>
        <v>0</v>
      </c>
      <c r="N20" s="686">
        <f>transport!M14</f>
        <v>5255.0361514233809</v>
      </c>
      <c r="O20" s="686">
        <f>transport!N14</f>
        <v>0</v>
      </c>
      <c r="P20" s="686">
        <f>transport!O14</f>
        <v>0</v>
      </c>
      <c r="Q20" s="687">
        <f>transport!P14</f>
        <v>0</v>
      </c>
      <c r="R20" s="689">
        <f>SUM(C20:Q20)</f>
        <v>121873.11691973175</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5.7087917776570976</v>
      </c>
      <c r="D22" s="804">
        <f t="shared" ref="D22:R22" si="1">SUM(D18:D21)</f>
        <v>0</v>
      </c>
      <c r="E22" s="804">
        <f t="shared" si="1"/>
        <v>9.3859031111514533</v>
      </c>
      <c r="F22" s="804">
        <f t="shared" si="1"/>
        <v>384.44641152941068</v>
      </c>
      <c r="G22" s="804">
        <f t="shared" si="1"/>
        <v>0</v>
      </c>
      <c r="H22" s="804">
        <f t="shared" si="1"/>
        <v>100928.81603515091</v>
      </c>
      <c r="I22" s="804">
        <f t="shared" si="1"/>
        <v>17640.024005174335</v>
      </c>
      <c r="J22" s="804">
        <f t="shared" si="1"/>
        <v>0</v>
      </c>
      <c r="K22" s="804">
        <f t="shared" si="1"/>
        <v>0</v>
      </c>
      <c r="L22" s="804">
        <f t="shared" si="1"/>
        <v>0</v>
      </c>
      <c r="M22" s="804">
        <f t="shared" si="1"/>
        <v>0</v>
      </c>
      <c r="N22" s="804">
        <f t="shared" si="1"/>
        <v>5359.6499656526612</v>
      </c>
      <c r="O22" s="804">
        <f t="shared" si="1"/>
        <v>0</v>
      </c>
      <c r="P22" s="804">
        <f t="shared" si="1"/>
        <v>0</v>
      </c>
      <c r="Q22" s="804">
        <f t="shared" si="1"/>
        <v>0</v>
      </c>
      <c r="R22" s="804">
        <f t="shared" si="1"/>
        <v>124328.03111239614</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622.60947424071867</v>
      </c>
      <c r="D24" s="686">
        <f>+landbouw!C8</f>
        <v>22.5</v>
      </c>
      <c r="E24" s="686">
        <f>+landbouw!D8</f>
        <v>72.33237184588026</v>
      </c>
      <c r="F24" s="686">
        <f>+landbouw!E8</f>
        <v>7.8456814595160749</v>
      </c>
      <c r="G24" s="686">
        <f>+landbouw!F8</f>
        <v>2148.158659123545</v>
      </c>
      <c r="H24" s="686">
        <f>+landbouw!G8</f>
        <v>0</v>
      </c>
      <c r="I24" s="686">
        <f>+landbouw!H8</f>
        <v>0</v>
      </c>
      <c r="J24" s="686">
        <f>+landbouw!I8</f>
        <v>0</v>
      </c>
      <c r="K24" s="686">
        <f>+landbouw!J8</f>
        <v>93.633387351091784</v>
      </c>
      <c r="L24" s="686">
        <f>+landbouw!K8</f>
        <v>0</v>
      </c>
      <c r="M24" s="686">
        <f>+landbouw!L8</f>
        <v>0</v>
      </c>
      <c r="N24" s="686">
        <f>+landbouw!M8</f>
        <v>0</v>
      </c>
      <c r="O24" s="686">
        <f>+landbouw!N8</f>
        <v>0</v>
      </c>
      <c r="P24" s="686">
        <f>+landbouw!O8</f>
        <v>0</v>
      </c>
      <c r="Q24" s="687">
        <f>+landbouw!P8</f>
        <v>0</v>
      </c>
      <c r="R24" s="689">
        <f>SUM(C24:Q24)</f>
        <v>2967.0795740207518</v>
      </c>
      <c r="S24" s="67"/>
    </row>
    <row r="25" spans="1:19" s="454" customFormat="1" ht="15" thickBot="1">
      <c r="A25" s="823" t="s">
        <v>856</v>
      </c>
      <c r="B25" s="991"/>
      <c r="C25" s="992">
        <f>IF(Onbekend_ele_kWh="---",0,Onbekend_ele_kWh)/1000+IF(REST_rest_ele_kWh="---",0,REST_rest_ele_kWh)/1000</f>
        <v>385.02843364066001</v>
      </c>
      <c r="D25" s="992"/>
      <c r="E25" s="992">
        <f>IF(onbekend_gas_kWh="---",0,onbekend_gas_kWh)/1000+IF(REST_rest_gas_kWh="---",0,REST_rest_gas_kWh)/1000</f>
        <v>879.80820819621806</v>
      </c>
      <c r="F25" s="992"/>
      <c r="G25" s="992"/>
      <c r="H25" s="992"/>
      <c r="I25" s="992"/>
      <c r="J25" s="992"/>
      <c r="K25" s="992"/>
      <c r="L25" s="992"/>
      <c r="M25" s="992"/>
      <c r="N25" s="992"/>
      <c r="O25" s="992"/>
      <c r="P25" s="992"/>
      <c r="Q25" s="993"/>
      <c r="R25" s="689">
        <f>SUM(C25:Q25)</f>
        <v>1264.836641836878</v>
      </c>
      <c r="S25" s="67"/>
    </row>
    <row r="26" spans="1:19" s="454" customFormat="1" ht="15.75" thickBot="1">
      <c r="A26" s="694" t="s">
        <v>857</v>
      </c>
      <c r="B26" s="809"/>
      <c r="C26" s="804">
        <f>SUM(C24:C25)</f>
        <v>1007.6379078813786</v>
      </c>
      <c r="D26" s="804">
        <f t="shared" ref="D26:R26" si="2">SUM(D24:D25)</f>
        <v>22.5</v>
      </c>
      <c r="E26" s="804">
        <f t="shared" si="2"/>
        <v>952.14058004209835</v>
      </c>
      <c r="F26" s="804">
        <f t="shared" si="2"/>
        <v>7.8456814595160749</v>
      </c>
      <c r="G26" s="804">
        <f t="shared" si="2"/>
        <v>2148.158659123545</v>
      </c>
      <c r="H26" s="804">
        <f t="shared" si="2"/>
        <v>0</v>
      </c>
      <c r="I26" s="804">
        <f t="shared" si="2"/>
        <v>0</v>
      </c>
      <c r="J26" s="804">
        <f t="shared" si="2"/>
        <v>0</v>
      </c>
      <c r="K26" s="804">
        <f t="shared" si="2"/>
        <v>93.633387351091784</v>
      </c>
      <c r="L26" s="804">
        <f t="shared" si="2"/>
        <v>0</v>
      </c>
      <c r="M26" s="804">
        <f t="shared" si="2"/>
        <v>0</v>
      </c>
      <c r="N26" s="804">
        <f t="shared" si="2"/>
        <v>0</v>
      </c>
      <c r="O26" s="804">
        <f t="shared" si="2"/>
        <v>0</v>
      </c>
      <c r="P26" s="804">
        <f t="shared" si="2"/>
        <v>0</v>
      </c>
      <c r="Q26" s="804">
        <f t="shared" si="2"/>
        <v>0</v>
      </c>
      <c r="R26" s="804">
        <f t="shared" si="2"/>
        <v>4231.91621585763</v>
      </c>
      <c r="S26" s="67"/>
    </row>
    <row r="27" spans="1:19" s="454" customFormat="1" ht="17.25" thickTop="1" thickBot="1">
      <c r="A27" s="695" t="s">
        <v>115</v>
      </c>
      <c r="B27" s="796"/>
      <c r="C27" s="696">
        <f ca="1">C22+C16+C26</f>
        <v>33978.13499028104</v>
      </c>
      <c r="D27" s="696">
        <f t="shared" ref="D27:R27" ca="1" si="3">D22+D16+D26</f>
        <v>22.5</v>
      </c>
      <c r="E27" s="696">
        <f t="shared" ca="1" si="3"/>
        <v>50877.319138114268</v>
      </c>
      <c r="F27" s="696">
        <f t="shared" si="3"/>
        <v>4609.6843718002237</v>
      </c>
      <c r="G27" s="696">
        <f t="shared" ca="1" si="3"/>
        <v>30159.681838970799</v>
      </c>
      <c r="H27" s="696">
        <f t="shared" si="3"/>
        <v>100928.81603515091</v>
      </c>
      <c r="I27" s="696">
        <f t="shared" si="3"/>
        <v>17640.024005174335</v>
      </c>
      <c r="J27" s="696">
        <f t="shared" si="3"/>
        <v>0</v>
      </c>
      <c r="K27" s="696">
        <f t="shared" si="3"/>
        <v>93.930536302490069</v>
      </c>
      <c r="L27" s="696">
        <f t="shared" si="3"/>
        <v>0</v>
      </c>
      <c r="M27" s="696">
        <f t="shared" ca="1" si="3"/>
        <v>0</v>
      </c>
      <c r="N27" s="696">
        <f t="shared" si="3"/>
        <v>5359.6499656526612</v>
      </c>
      <c r="O27" s="696">
        <f t="shared" ca="1" si="3"/>
        <v>10224.626974509856</v>
      </c>
      <c r="P27" s="696">
        <f t="shared" si="3"/>
        <v>140.70000000000002</v>
      </c>
      <c r="Q27" s="696">
        <f t="shared" si="3"/>
        <v>209.73333333333335</v>
      </c>
      <c r="R27" s="696">
        <f t="shared" ca="1" si="3"/>
        <v>254244.80118928992</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2856.4389928312139</v>
      </c>
      <c r="D40" s="686">
        <f ca="1">tertiair!C20</f>
        <v>0</v>
      </c>
      <c r="E40" s="686">
        <f ca="1">tertiair!D20</f>
        <v>3596.2114996659052</v>
      </c>
      <c r="F40" s="686">
        <f>tertiair!E20</f>
        <v>55.415447412021507</v>
      </c>
      <c r="G40" s="686">
        <f ca="1">tertiair!F20</f>
        <v>721.79882991179568</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7229.864769820937</v>
      </c>
    </row>
    <row r="41" spans="1:18">
      <c r="A41" s="814" t="s">
        <v>224</v>
      </c>
      <c r="B41" s="821"/>
      <c r="C41" s="686">
        <f ca="1">huishoudens!B12</f>
        <v>3699.7925926210437</v>
      </c>
      <c r="D41" s="686">
        <f ca="1">huishoudens!C12</f>
        <v>0</v>
      </c>
      <c r="E41" s="686">
        <f>huishoudens!D12</f>
        <v>6274.8079409918155</v>
      </c>
      <c r="F41" s="686">
        <f>huishoudens!E12</f>
        <v>854.16848277035558</v>
      </c>
      <c r="G41" s="686">
        <f>huishoudens!F12</f>
        <v>6526.8982954984767</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17355.667311881691</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220.5701179905985</v>
      </c>
      <c r="D43" s="686">
        <f ca="1">industrie!C22</f>
        <v>0</v>
      </c>
      <c r="E43" s="686">
        <f>industrie!D22</f>
        <v>211.97067564440513</v>
      </c>
      <c r="F43" s="686">
        <f>industrie!E22</f>
        <v>47.764117107787229</v>
      </c>
      <c r="G43" s="686">
        <f>industrie!F22</f>
        <v>230.37956360894438</v>
      </c>
      <c r="H43" s="686">
        <f>industrie!G22</f>
        <v>0</v>
      </c>
      <c r="I43" s="686">
        <f>industrie!H22</f>
        <v>0</v>
      </c>
      <c r="J43" s="686">
        <f>industrie!I22</f>
        <v>0</v>
      </c>
      <c r="K43" s="686">
        <f>industrie!J22</f>
        <v>0.10519072879499342</v>
      </c>
      <c r="L43" s="686">
        <f>industrie!K22</f>
        <v>0</v>
      </c>
      <c r="M43" s="686">
        <f>industrie!L22</f>
        <v>0</v>
      </c>
      <c r="N43" s="686">
        <f>industrie!M22</f>
        <v>0</v>
      </c>
      <c r="O43" s="686">
        <f>industrie!N22</f>
        <v>0</v>
      </c>
      <c r="P43" s="686">
        <f>industrie!O22</f>
        <v>0</v>
      </c>
      <c r="Q43" s="763">
        <f>industrie!P22</f>
        <v>0</v>
      </c>
      <c r="R43" s="841">
        <f t="shared" ca="1" si="4"/>
        <v>710.78966508053031</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6776.8017034428558</v>
      </c>
      <c r="D46" s="721">
        <f t="shared" ref="D46:Q46" ca="1" si="5">SUM(D39:D45)</f>
        <v>0</v>
      </c>
      <c r="E46" s="721">
        <f t="shared" ca="1" si="5"/>
        <v>10082.990116302126</v>
      </c>
      <c r="F46" s="721">
        <f t="shared" si="5"/>
        <v>957.34804729016435</v>
      </c>
      <c r="G46" s="721">
        <f t="shared" ca="1" si="5"/>
        <v>7479.0766890192172</v>
      </c>
      <c r="H46" s="721">
        <f t="shared" si="5"/>
        <v>0</v>
      </c>
      <c r="I46" s="721">
        <f t="shared" si="5"/>
        <v>0</v>
      </c>
      <c r="J46" s="721">
        <f t="shared" si="5"/>
        <v>0</v>
      </c>
      <c r="K46" s="721">
        <f t="shared" si="5"/>
        <v>0.10519072879499342</v>
      </c>
      <c r="L46" s="721">
        <f t="shared" si="5"/>
        <v>0</v>
      </c>
      <c r="M46" s="721">
        <f t="shared" ca="1" si="5"/>
        <v>0</v>
      </c>
      <c r="N46" s="721">
        <f t="shared" si="5"/>
        <v>0</v>
      </c>
      <c r="O46" s="721">
        <f t="shared" ca="1" si="5"/>
        <v>0</v>
      </c>
      <c r="P46" s="721">
        <f t="shared" si="5"/>
        <v>0</v>
      </c>
      <c r="Q46" s="721">
        <f t="shared" si="5"/>
        <v>0</v>
      </c>
      <c r="R46" s="721">
        <f ca="1">SUM(R39:R45)</f>
        <v>25296.32174678316</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627.53020104217387</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627.53020104217387</v>
      </c>
    </row>
    <row r="50" spans="1:18">
      <c r="A50" s="817" t="s">
        <v>306</v>
      </c>
      <c r="B50" s="827"/>
      <c r="C50" s="692">
        <f ca="1">transport!B18</f>
        <v>1.1735961870088265</v>
      </c>
      <c r="D50" s="692">
        <f>transport!C18</f>
        <v>0</v>
      </c>
      <c r="E50" s="692">
        <f>transport!D18</f>
        <v>1.8959524284525937</v>
      </c>
      <c r="F50" s="692">
        <f>transport!E18</f>
        <v>87.269335417176222</v>
      </c>
      <c r="G50" s="692">
        <f>transport!F18</f>
        <v>0</v>
      </c>
      <c r="H50" s="692">
        <f>transport!G18</f>
        <v>26320.463680343124</v>
      </c>
      <c r="I50" s="692">
        <f>transport!H18</f>
        <v>4392.3659772884093</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30803.16854166417</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1.1735961870088265</v>
      </c>
      <c r="D52" s="721">
        <f t="shared" ref="D52:Q52" ca="1" si="6">SUM(D48:D51)</f>
        <v>0</v>
      </c>
      <c r="E52" s="721">
        <f t="shared" si="6"/>
        <v>1.8959524284525937</v>
      </c>
      <c r="F52" s="721">
        <f t="shared" si="6"/>
        <v>87.269335417176222</v>
      </c>
      <c r="G52" s="721">
        <f t="shared" si="6"/>
        <v>0</v>
      </c>
      <c r="H52" s="721">
        <f t="shared" si="6"/>
        <v>26947.993881385297</v>
      </c>
      <c r="I52" s="721">
        <f t="shared" si="6"/>
        <v>4392.3659772884093</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31430.698742706343</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127.99417695075847</v>
      </c>
      <c r="D54" s="692">
        <f ca="1">+landbouw!C12</f>
        <v>5.0500000000000007</v>
      </c>
      <c r="E54" s="692">
        <f>+landbouw!D12</f>
        <v>14.611139112867814</v>
      </c>
      <c r="F54" s="692">
        <f>+landbouw!E12</f>
        <v>1.7809696913101491</v>
      </c>
      <c r="G54" s="692">
        <f>+landbouw!F12</f>
        <v>573.55836198598661</v>
      </c>
      <c r="H54" s="692">
        <f>+landbouw!G12</f>
        <v>0</v>
      </c>
      <c r="I54" s="692">
        <f>+landbouw!H12</f>
        <v>0</v>
      </c>
      <c r="J54" s="692">
        <f>+landbouw!I12</f>
        <v>0</v>
      </c>
      <c r="K54" s="692">
        <f>+landbouw!J12</f>
        <v>33.146219122286489</v>
      </c>
      <c r="L54" s="692">
        <f>+landbouw!K12</f>
        <v>0</v>
      </c>
      <c r="M54" s="692">
        <f>+landbouw!L12</f>
        <v>0</v>
      </c>
      <c r="N54" s="692">
        <f>+landbouw!M12</f>
        <v>0</v>
      </c>
      <c r="O54" s="692">
        <f>+landbouw!N12</f>
        <v>0</v>
      </c>
      <c r="P54" s="692">
        <f>+landbouw!O12</f>
        <v>0</v>
      </c>
      <c r="Q54" s="693">
        <f>+landbouw!P12</f>
        <v>0</v>
      </c>
      <c r="R54" s="720">
        <f ca="1">SUM(C54:Q54)</f>
        <v>756.14086686320957</v>
      </c>
    </row>
    <row r="55" spans="1:18" ht="15" thickBot="1">
      <c r="A55" s="817" t="s">
        <v>856</v>
      </c>
      <c r="B55" s="827"/>
      <c r="C55" s="692">
        <f ca="1">C25*'EF ele_warmte'!B12</f>
        <v>79.15298354008408</v>
      </c>
      <c r="D55" s="692"/>
      <c r="E55" s="692">
        <f>E25*EF_CO2_aardgas</f>
        <v>177.72125805563607</v>
      </c>
      <c r="F55" s="692"/>
      <c r="G55" s="692"/>
      <c r="H55" s="692"/>
      <c r="I55" s="692"/>
      <c r="J55" s="692"/>
      <c r="K55" s="692"/>
      <c r="L55" s="692"/>
      <c r="M55" s="692"/>
      <c r="N55" s="692"/>
      <c r="O55" s="692"/>
      <c r="P55" s="692"/>
      <c r="Q55" s="693"/>
      <c r="R55" s="720">
        <f ca="1">SUM(C55:Q55)</f>
        <v>256.87424159572015</v>
      </c>
    </row>
    <row r="56" spans="1:18" ht="15.75" thickBot="1">
      <c r="A56" s="815" t="s">
        <v>857</v>
      </c>
      <c r="B56" s="828"/>
      <c r="C56" s="721">
        <f ca="1">SUM(C54:C55)</f>
        <v>207.14716049084257</v>
      </c>
      <c r="D56" s="721">
        <f t="shared" ref="D56:Q56" ca="1" si="7">SUM(D54:D55)</f>
        <v>5.0500000000000007</v>
      </c>
      <c r="E56" s="721">
        <f t="shared" si="7"/>
        <v>192.33239716850389</v>
      </c>
      <c r="F56" s="721">
        <f t="shared" si="7"/>
        <v>1.7809696913101491</v>
      </c>
      <c r="G56" s="721">
        <f t="shared" si="7"/>
        <v>573.55836198598661</v>
      </c>
      <c r="H56" s="721">
        <f t="shared" si="7"/>
        <v>0</v>
      </c>
      <c r="I56" s="721">
        <f t="shared" si="7"/>
        <v>0</v>
      </c>
      <c r="J56" s="721">
        <f t="shared" si="7"/>
        <v>0</v>
      </c>
      <c r="K56" s="721">
        <f t="shared" si="7"/>
        <v>33.146219122286489</v>
      </c>
      <c r="L56" s="721">
        <f t="shared" si="7"/>
        <v>0</v>
      </c>
      <c r="M56" s="721">
        <f t="shared" si="7"/>
        <v>0</v>
      </c>
      <c r="N56" s="721">
        <f t="shared" si="7"/>
        <v>0</v>
      </c>
      <c r="O56" s="721">
        <f t="shared" si="7"/>
        <v>0</v>
      </c>
      <c r="P56" s="721">
        <f t="shared" si="7"/>
        <v>0</v>
      </c>
      <c r="Q56" s="722">
        <f t="shared" si="7"/>
        <v>0</v>
      </c>
      <c r="R56" s="723">
        <f ca="1">SUM(R54:R55)</f>
        <v>1013.0151084589297</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6985.1224601207077</v>
      </c>
      <c r="D61" s="729">
        <f t="shared" ref="D61:Q61" ca="1" si="8">D46+D52+D56</f>
        <v>5.0500000000000007</v>
      </c>
      <c r="E61" s="729">
        <f t="shared" ca="1" si="8"/>
        <v>10277.218465899083</v>
      </c>
      <c r="F61" s="729">
        <f t="shared" si="8"/>
        <v>1046.3983523986508</v>
      </c>
      <c r="G61" s="729">
        <f t="shared" ca="1" si="8"/>
        <v>8052.6350510052034</v>
      </c>
      <c r="H61" s="729">
        <f t="shared" si="8"/>
        <v>26947.993881385297</v>
      </c>
      <c r="I61" s="729">
        <f t="shared" si="8"/>
        <v>4392.3659772884093</v>
      </c>
      <c r="J61" s="729">
        <f t="shared" si="8"/>
        <v>0</v>
      </c>
      <c r="K61" s="729">
        <f t="shared" si="8"/>
        <v>33.251409851081483</v>
      </c>
      <c r="L61" s="729">
        <f t="shared" si="8"/>
        <v>0</v>
      </c>
      <c r="M61" s="729">
        <f t="shared" ca="1" si="8"/>
        <v>0</v>
      </c>
      <c r="N61" s="729">
        <f t="shared" si="8"/>
        <v>0</v>
      </c>
      <c r="O61" s="729">
        <f t="shared" ca="1" si="8"/>
        <v>0</v>
      </c>
      <c r="P61" s="729">
        <f t="shared" si="8"/>
        <v>0</v>
      </c>
      <c r="Q61" s="729">
        <f t="shared" si="8"/>
        <v>0</v>
      </c>
      <c r="R61" s="729">
        <f ca="1">R46+R52+R56</f>
        <v>57740.03559794843</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0.20557698243646105</v>
      </c>
      <c r="D63" s="772">
        <f t="shared" ca="1" si="9"/>
        <v>0.22444444444444447</v>
      </c>
      <c r="E63" s="998">
        <f t="shared" ca="1" si="9"/>
        <v>0.20200000000000001</v>
      </c>
      <c r="F63" s="772">
        <f t="shared" si="9"/>
        <v>0.22700000000000001</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2371.3161662054417</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4.5</v>
      </c>
      <c r="D76" s="1008">
        <f>'lokale energieproductie'!C8</f>
        <v>5</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1.01</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2371.3161662054417</v>
      </c>
      <c r="C78" s="744">
        <f>SUM(C72:C77)</f>
        <v>4.5</v>
      </c>
      <c r="D78" s="745">
        <f t="shared" ref="D78:H78" si="10">SUM(D76:D77)</f>
        <v>5</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1.01</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22.5</v>
      </c>
      <c r="D87" s="766">
        <f>'lokale energieproductie'!C17</f>
        <v>25</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5.0500000000000007</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22.5</v>
      </c>
      <c r="D90" s="744">
        <f t="shared" ref="D90:H90" si="12">SUM(D87:D89)</f>
        <v>25</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5.0500000000000007</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2371.3161662054417</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4.5</v>
      </c>
      <c r="C8" s="556">
        <f>B48</f>
        <v>5</v>
      </c>
      <c r="D8" s="1015"/>
      <c r="E8" s="1015">
        <f>E48</f>
        <v>0</v>
      </c>
      <c r="F8" s="1016"/>
      <c r="G8" s="557"/>
      <c r="H8" s="1015">
        <f>I48</f>
        <v>0</v>
      </c>
      <c r="I8" s="1015">
        <f>G48+F48</f>
        <v>0</v>
      </c>
      <c r="J8" s="1015">
        <f>H48+D48+C48</f>
        <v>0</v>
      </c>
      <c r="K8" s="1015"/>
      <c r="L8" s="1015"/>
      <c r="M8" s="1015"/>
      <c r="N8" s="558"/>
      <c r="O8" s="559">
        <f>C8*$C$12+D8*$D$12+E8*$E$12+F8*$F$12+G8*$G$12+H8*$H$12+I8*$I$12+J8*$J$12</f>
        <v>1.01</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2375.8161662054417</v>
      </c>
      <c r="C10" s="569">
        <f t="shared" ref="C10:L10" si="0">SUM(C8:C9)</f>
        <v>5</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1.01</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22.5</v>
      </c>
      <c r="C17" s="581">
        <f>B49</f>
        <v>25</v>
      </c>
      <c r="D17" s="582"/>
      <c r="E17" s="582">
        <f>E49</f>
        <v>0</v>
      </c>
      <c r="F17" s="1021"/>
      <c r="G17" s="583"/>
      <c r="H17" s="581">
        <f>I49</f>
        <v>0</v>
      </c>
      <c r="I17" s="582">
        <f>G49+F49</f>
        <v>0</v>
      </c>
      <c r="J17" s="582">
        <f>H49+D49+C49</f>
        <v>0</v>
      </c>
      <c r="K17" s="582"/>
      <c r="L17" s="582"/>
      <c r="M17" s="582"/>
      <c r="N17" s="1022"/>
      <c r="O17" s="584">
        <f>C17*$C$22+E17*$E$22+H17*$H$22+I17*$I$22+J17*$J$22+D17*$D$22+F17*$F$22+G17*$G$22+K17*$K$22+L17*$L$22</f>
        <v>5.0500000000000007</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22.5</v>
      </c>
      <c r="C20" s="568">
        <f>SUM(C17:C19)</f>
        <v>25</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5.0500000000000007</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87">
        <v>24011</v>
      </c>
      <c r="C28" s="787">
        <v>3360</v>
      </c>
      <c r="D28" s="640" t="s">
        <v>920</v>
      </c>
      <c r="E28" s="639" t="s">
        <v>921</v>
      </c>
      <c r="F28" s="639" t="s">
        <v>922</v>
      </c>
      <c r="G28" s="639" t="s">
        <v>923</v>
      </c>
      <c r="H28" s="639" t="s">
        <v>923</v>
      </c>
      <c r="I28" s="639" t="s">
        <v>921</v>
      </c>
      <c r="J28" s="786">
        <v>40857</v>
      </c>
      <c r="K28" s="786">
        <v>40969</v>
      </c>
      <c r="L28" s="639" t="s">
        <v>924</v>
      </c>
      <c r="M28" s="639">
        <v>1</v>
      </c>
      <c r="N28" s="639">
        <v>4.5</v>
      </c>
      <c r="O28" s="639">
        <v>22.5</v>
      </c>
      <c r="P28" s="639">
        <v>30</v>
      </c>
      <c r="Q28" s="639">
        <v>0</v>
      </c>
      <c r="R28" s="639">
        <v>0</v>
      </c>
      <c r="S28" s="639">
        <v>0</v>
      </c>
      <c r="T28" s="639">
        <v>0</v>
      </c>
      <c r="U28" s="639">
        <v>0</v>
      </c>
      <c r="V28" s="639">
        <v>0</v>
      </c>
      <c r="W28" s="639">
        <v>0</v>
      </c>
      <c r="X28" s="639">
        <v>10</v>
      </c>
      <c r="Y28" s="639" t="s">
        <v>111</v>
      </c>
      <c r="Z28" s="641" t="s">
        <v>111</v>
      </c>
    </row>
    <row r="29" spans="1:26" s="576" customFormat="1">
      <c r="A29" s="595" t="s">
        <v>279</v>
      </c>
      <c r="B29" s="596"/>
      <c r="C29" s="596"/>
      <c r="D29" s="596"/>
      <c r="E29" s="596"/>
      <c r="F29" s="596"/>
      <c r="G29" s="596"/>
      <c r="H29" s="596"/>
      <c r="I29" s="596"/>
      <c r="J29" s="596"/>
      <c r="K29" s="596"/>
      <c r="L29" s="597"/>
      <c r="M29" s="597">
        <f>SUM(M28:M28)</f>
        <v>1</v>
      </c>
      <c r="N29" s="597">
        <f>SUM(N28:N28)</f>
        <v>4.5</v>
      </c>
      <c r="O29" s="597">
        <f>SUM(O28:O28)</f>
        <v>22.5</v>
      </c>
      <c r="P29" s="597">
        <f>SUM(P28:P28)</f>
        <v>30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1</v>
      </c>
      <c r="N32" s="602">
        <f>SUMIF($Z$28:$Z$28,"landbouw",N28:N28)</f>
        <v>4.5</v>
      </c>
      <c r="O32" s="602">
        <f>SUMIF($Z$28:$Z$28,"landbouw",O28:O28)</f>
        <v>22.5</v>
      </c>
      <c r="P32" s="602">
        <f>SUMIF($Z$28:$Z$28,"landbouw",P28:P28)</f>
        <v>30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0.83333333333333337</v>
      </c>
      <c r="C45" s="622">
        <f>IF(ISERROR(N29/(O29+N29)),0,N29/(N29+O29))</f>
        <v>0.16666666666666666</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5</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25</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17997.114992017949</v>
      </c>
      <c r="C4" s="458">
        <f>huishoudens!C8</f>
        <v>0</v>
      </c>
      <c r="D4" s="458">
        <f>huishoudens!D8</f>
        <v>31063.405648474331</v>
      </c>
      <c r="E4" s="458">
        <f>huishoudens!E8</f>
        <v>3762.8567522923154</v>
      </c>
      <c r="F4" s="458">
        <f>huishoudens!F8</f>
        <v>24445.311968159087</v>
      </c>
      <c r="G4" s="458">
        <f>huishoudens!G8</f>
        <v>0</v>
      </c>
      <c r="H4" s="458">
        <f>huishoudens!H8</f>
        <v>0</v>
      </c>
      <c r="I4" s="458">
        <f>huishoudens!I8</f>
        <v>0</v>
      </c>
      <c r="J4" s="458">
        <f>huishoudens!J8</f>
        <v>0</v>
      </c>
      <c r="K4" s="458">
        <f>huishoudens!K8</f>
        <v>0</v>
      </c>
      <c r="L4" s="458">
        <f>huishoudens!L8</f>
        <v>0</v>
      </c>
      <c r="M4" s="458">
        <f>huishoudens!M8</f>
        <v>0</v>
      </c>
      <c r="N4" s="458">
        <f>huishoudens!N8</f>
        <v>9257.619779865121</v>
      </c>
      <c r="O4" s="458">
        <f>huishoudens!O8</f>
        <v>136.01000000000002</v>
      </c>
      <c r="P4" s="459">
        <f>huishoudens!P8</f>
        <v>152.53333333333333</v>
      </c>
      <c r="Q4" s="460">
        <f>SUM(B4:P4)</f>
        <v>86814.852474142142</v>
      </c>
    </row>
    <row r="5" spans="1:17">
      <c r="A5" s="457" t="s">
        <v>155</v>
      </c>
      <c r="B5" s="458">
        <f ca="1">tertiair!B16</f>
        <v>13402.861322580078</v>
      </c>
      <c r="C5" s="458">
        <f ca="1">tertiair!C16</f>
        <v>0</v>
      </c>
      <c r="D5" s="458">
        <f ca="1">tertiair!D16</f>
        <v>17803.027226068836</v>
      </c>
      <c r="E5" s="458">
        <f>tertiair!E16</f>
        <v>244.12091370934584</v>
      </c>
      <c r="F5" s="458">
        <f ca="1">tertiair!F16</f>
        <v>2703.3664041640286</v>
      </c>
      <c r="G5" s="458">
        <f>tertiair!G16</f>
        <v>0</v>
      </c>
      <c r="H5" s="458">
        <f>tertiair!H16</f>
        <v>0</v>
      </c>
      <c r="I5" s="458">
        <f>tertiair!I16</f>
        <v>0</v>
      </c>
      <c r="J5" s="458">
        <f>tertiair!J16</f>
        <v>0</v>
      </c>
      <c r="K5" s="458">
        <f>tertiair!K16</f>
        <v>0</v>
      </c>
      <c r="L5" s="458">
        <f ca="1">tertiair!L16</f>
        <v>0</v>
      </c>
      <c r="M5" s="458">
        <f>tertiair!M16</f>
        <v>0</v>
      </c>
      <c r="N5" s="458">
        <f ca="1">tertiair!N16</f>
        <v>830.87700142039864</v>
      </c>
      <c r="O5" s="458">
        <f>tertiair!O16</f>
        <v>4.6900000000000004</v>
      </c>
      <c r="P5" s="459">
        <f>tertiair!P16</f>
        <v>57.2</v>
      </c>
      <c r="Q5" s="457">
        <f t="shared" ref="Q5:Q14" ca="1" si="0">SUM(B5:P5)</f>
        <v>35046.14286794269</v>
      </c>
    </row>
    <row r="6" spans="1:17">
      <c r="A6" s="457" t="s">
        <v>193</v>
      </c>
      <c r="B6" s="458">
        <f>'openbare verlichting'!B8</f>
        <v>491.88</v>
      </c>
      <c r="C6" s="458"/>
      <c r="D6" s="458"/>
      <c r="E6" s="458"/>
      <c r="F6" s="458"/>
      <c r="G6" s="458"/>
      <c r="H6" s="458"/>
      <c r="I6" s="458"/>
      <c r="J6" s="458"/>
      <c r="K6" s="458"/>
      <c r="L6" s="458"/>
      <c r="M6" s="458"/>
      <c r="N6" s="458"/>
      <c r="O6" s="458"/>
      <c r="P6" s="459"/>
      <c r="Q6" s="457">
        <f t="shared" si="0"/>
        <v>491.88</v>
      </c>
    </row>
    <row r="7" spans="1:17">
      <c r="A7" s="457" t="s">
        <v>111</v>
      </c>
      <c r="B7" s="458">
        <f>landbouw!B8</f>
        <v>622.60947424071867</v>
      </c>
      <c r="C7" s="458">
        <f>landbouw!C8</f>
        <v>22.5</v>
      </c>
      <c r="D7" s="458">
        <f>landbouw!D8</f>
        <v>72.33237184588026</v>
      </c>
      <c r="E7" s="458">
        <f>landbouw!E8</f>
        <v>7.8456814595160749</v>
      </c>
      <c r="F7" s="458">
        <f>landbouw!F8</f>
        <v>2148.158659123545</v>
      </c>
      <c r="G7" s="458">
        <f>landbouw!G8</f>
        <v>0</v>
      </c>
      <c r="H7" s="458">
        <f>landbouw!H8</f>
        <v>0</v>
      </c>
      <c r="I7" s="458">
        <f>landbouw!I8</f>
        <v>0</v>
      </c>
      <c r="J7" s="458">
        <f>landbouw!J8</f>
        <v>93.633387351091784</v>
      </c>
      <c r="K7" s="458">
        <f>landbouw!K8</f>
        <v>0</v>
      </c>
      <c r="L7" s="458">
        <f>landbouw!L8</f>
        <v>0</v>
      </c>
      <c r="M7" s="458">
        <f>landbouw!M8</f>
        <v>0</v>
      </c>
      <c r="N7" s="458">
        <f>landbouw!N8</f>
        <v>0</v>
      </c>
      <c r="O7" s="458">
        <f>landbouw!O8</f>
        <v>0</v>
      </c>
      <c r="P7" s="459">
        <f>landbouw!P8</f>
        <v>0</v>
      </c>
      <c r="Q7" s="457">
        <f t="shared" si="0"/>
        <v>2967.0795740207518</v>
      </c>
    </row>
    <row r="8" spans="1:17">
      <c r="A8" s="457" t="s">
        <v>655</v>
      </c>
      <c r="B8" s="458">
        <f>industrie!B18</f>
        <v>1072.9319760239766</v>
      </c>
      <c r="C8" s="458">
        <f>industrie!C18</f>
        <v>0</v>
      </c>
      <c r="D8" s="458">
        <f>industrie!D18</f>
        <v>1049.3597804178471</v>
      </c>
      <c r="E8" s="458">
        <f>industrie!E18</f>
        <v>210.41461280963537</v>
      </c>
      <c r="F8" s="458">
        <f>industrie!F18</f>
        <v>862.84480752413617</v>
      </c>
      <c r="G8" s="458">
        <f>industrie!G18</f>
        <v>0</v>
      </c>
      <c r="H8" s="458">
        <f>industrie!H18</f>
        <v>0</v>
      </c>
      <c r="I8" s="458">
        <f>industrie!I18</f>
        <v>0</v>
      </c>
      <c r="J8" s="458">
        <f>industrie!J18</f>
        <v>0.29714895139828651</v>
      </c>
      <c r="K8" s="458">
        <f>industrie!K18</f>
        <v>0</v>
      </c>
      <c r="L8" s="458">
        <f>industrie!L18</f>
        <v>0</v>
      </c>
      <c r="M8" s="458">
        <f>industrie!M18</f>
        <v>0</v>
      </c>
      <c r="N8" s="458">
        <f>industrie!N18</f>
        <v>136.1301932243376</v>
      </c>
      <c r="O8" s="458">
        <f>industrie!O18</f>
        <v>0</v>
      </c>
      <c r="P8" s="459">
        <f>industrie!P18</f>
        <v>0</v>
      </c>
      <c r="Q8" s="457">
        <f t="shared" si="0"/>
        <v>3331.9785189513318</v>
      </c>
    </row>
    <row r="9" spans="1:17" s="463" customFormat="1">
      <c r="A9" s="461" t="s">
        <v>573</v>
      </c>
      <c r="B9" s="462">
        <f>transport!B14</f>
        <v>5.7087917776570976</v>
      </c>
      <c r="C9" s="462">
        <f>transport!C14</f>
        <v>0</v>
      </c>
      <c r="D9" s="462">
        <f>transport!D14</f>
        <v>9.3859031111514533</v>
      </c>
      <c r="E9" s="462">
        <f>transport!E14</f>
        <v>384.44641152941068</v>
      </c>
      <c r="F9" s="462">
        <f>transport!F14</f>
        <v>0</v>
      </c>
      <c r="G9" s="462">
        <f>transport!G14</f>
        <v>98578.515656715812</v>
      </c>
      <c r="H9" s="462">
        <f>transport!H14</f>
        <v>17640.024005174335</v>
      </c>
      <c r="I9" s="462">
        <f>transport!I14</f>
        <v>0</v>
      </c>
      <c r="J9" s="462">
        <f>transport!J14</f>
        <v>0</v>
      </c>
      <c r="K9" s="462">
        <f>transport!K14</f>
        <v>0</v>
      </c>
      <c r="L9" s="462">
        <f>transport!L14</f>
        <v>0</v>
      </c>
      <c r="M9" s="462">
        <f>transport!M14</f>
        <v>5255.0361514233809</v>
      </c>
      <c r="N9" s="462">
        <f>transport!N14</f>
        <v>0</v>
      </c>
      <c r="O9" s="462">
        <f>transport!O14</f>
        <v>0</v>
      </c>
      <c r="P9" s="462">
        <f>transport!P14</f>
        <v>0</v>
      </c>
      <c r="Q9" s="461">
        <f>SUM(B9:P9)</f>
        <v>121873.11691973175</v>
      </c>
    </row>
    <row r="10" spans="1:17">
      <c r="A10" s="457" t="s">
        <v>563</v>
      </c>
      <c r="B10" s="458">
        <f>transport!B54</f>
        <v>0</v>
      </c>
      <c r="C10" s="458">
        <f>transport!C54</f>
        <v>0</v>
      </c>
      <c r="D10" s="458">
        <f>transport!D54</f>
        <v>0</v>
      </c>
      <c r="E10" s="458">
        <f>transport!E54</f>
        <v>0</v>
      </c>
      <c r="F10" s="458">
        <f>transport!F54</f>
        <v>0</v>
      </c>
      <c r="G10" s="458">
        <f>transport!G54</f>
        <v>2350.3003784351081</v>
      </c>
      <c r="H10" s="458">
        <f>transport!H54</f>
        <v>0</v>
      </c>
      <c r="I10" s="458">
        <f>transport!I54</f>
        <v>0</v>
      </c>
      <c r="J10" s="458">
        <f>transport!J54</f>
        <v>0</v>
      </c>
      <c r="K10" s="458">
        <f>transport!K54</f>
        <v>0</v>
      </c>
      <c r="L10" s="458">
        <f>transport!L54</f>
        <v>0</v>
      </c>
      <c r="M10" s="458">
        <f>transport!M54</f>
        <v>104.61381422927987</v>
      </c>
      <c r="N10" s="458">
        <f>transport!N54</f>
        <v>0</v>
      </c>
      <c r="O10" s="458">
        <f>transport!O54</f>
        <v>0</v>
      </c>
      <c r="P10" s="459">
        <f>transport!P54</f>
        <v>0</v>
      </c>
      <c r="Q10" s="457">
        <f t="shared" si="0"/>
        <v>2454.9141926643879</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385.02843364066001</v>
      </c>
      <c r="C14" s="465"/>
      <c r="D14" s="465">
        <f>'SEAP template'!E25</f>
        <v>879.80820819621806</v>
      </c>
      <c r="E14" s="465"/>
      <c r="F14" s="465"/>
      <c r="G14" s="465"/>
      <c r="H14" s="465"/>
      <c r="I14" s="465"/>
      <c r="J14" s="465"/>
      <c r="K14" s="465"/>
      <c r="L14" s="465"/>
      <c r="M14" s="465"/>
      <c r="N14" s="465"/>
      <c r="O14" s="465"/>
      <c r="P14" s="466"/>
      <c r="Q14" s="457">
        <f t="shared" si="0"/>
        <v>1264.836641836878</v>
      </c>
    </row>
    <row r="15" spans="1:17" s="470" customFormat="1">
      <c r="A15" s="467" t="s">
        <v>567</v>
      </c>
      <c r="B15" s="468">
        <f ca="1">SUM(B4:B14)</f>
        <v>33978.13499028104</v>
      </c>
      <c r="C15" s="468">
        <f t="shared" ref="C15:Q15" ca="1" si="1">SUM(C4:C14)</f>
        <v>22.5</v>
      </c>
      <c r="D15" s="468">
        <f t="shared" ca="1" si="1"/>
        <v>50877.319138114268</v>
      </c>
      <c r="E15" s="468">
        <f t="shared" si="1"/>
        <v>4609.6843718002228</v>
      </c>
      <c r="F15" s="468">
        <f t="shared" ca="1" si="1"/>
        <v>30159.681838970799</v>
      </c>
      <c r="G15" s="468">
        <f t="shared" si="1"/>
        <v>100928.81603515091</v>
      </c>
      <c r="H15" s="468">
        <f t="shared" si="1"/>
        <v>17640.024005174335</v>
      </c>
      <c r="I15" s="468">
        <f t="shared" si="1"/>
        <v>0</v>
      </c>
      <c r="J15" s="468">
        <f t="shared" si="1"/>
        <v>93.930536302490069</v>
      </c>
      <c r="K15" s="468">
        <f t="shared" si="1"/>
        <v>0</v>
      </c>
      <c r="L15" s="468">
        <f t="shared" ca="1" si="1"/>
        <v>0</v>
      </c>
      <c r="M15" s="468">
        <f t="shared" si="1"/>
        <v>5359.6499656526612</v>
      </c>
      <c r="N15" s="468">
        <f t="shared" ca="1" si="1"/>
        <v>10224.626974509856</v>
      </c>
      <c r="O15" s="468">
        <f t="shared" si="1"/>
        <v>140.70000000000002</v>
      </c>
      <c r="P15" s="468">
        <f t="shared" si="1"/>
        <v>209.73333333333335</v>
      </c>
      <c r="Q15" s="468">
        <f t="shared" ca="1" si="1"/>
        <v>254244.80118928992</v>
      </c>
    </row>
    <row r="17" spans="1:17">
      <c r="A17" s="471" t="s">
        <v>568</v>
      </c>
      <c r="B17" s="777">
        <f ca="1">huishoudens!B10</f>
        <v>0.20557698243646105</v>
      </c>
      <c r="C17" s="777">
        <f ca="1">huishoudens!C10</f>
        <v>0.22444444444444447</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3699.7925926210437</v>
      </c>
      <c r="C22" s="458">
        <f t="shared" ref="C22:C32" ca="1" si="3">C4*$C$17</f>
        <v>0</v>
      </c>
      <c r="D22" s="458">
        <f t="shared" ref="D22:D32" si="4">D4*$D$17</f>
        <v>6274.8079409918155</v>
      </c>
      <c r="E22" s="458">
        <f t="shared" ref="E22:E32" si="5">E4*$E$17</f>
        <v>854.16848277035558</v>
      </c>
      <c r="F22" s="458">
        <f t="shared" ref="F22:F32" si="6">F4*$F$17</f>
        <v>6526.8982954984767</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17355.667311881691</v>
      </c>
    </row>
    <row r="23" spans="1:17">
      <c r="A23" s="457" t="s">
        <v>155</v>
      </c>
      <c r="B23" s="458">
        <f t="shared" ca="1" si="2"/>
        <v>2755.3197867103677</v>
      </c>
      <c r="C23" s="458">
        <f t="shared" ca="1" si="3"/>
        <v>0</v>
      </c>
      <c r="D23" s="458">
        <f t="shared" ca="1" si="4"/>
        <v>3596.2114996659052</v>
      </c>
      <c r="E23" s="458">
        <f t="shared" si="5"/>
        <v>55.415447412021507</v>
      </c>
      <c r="F23" s="458">
        <f t="shared" ca="1" si="6"/>
        <v>721.79882991179568</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7128.7455637000903</v>
      </c>
    </row>
    <row r="24" spans="1:17">
      <c r="A24" s="457" t="s">
        <v>193</v>
      </c>
      <c r="B24" s="458">
        <f t="shared" ca="1" si="2"/>
        <v>101.11920612084646</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101.11920612084646</v>
      </c>
    </row>
    <row r="25" spans="1:17">
      <c r="A25" s="457" t="s">
        <v>111</v>
      </c>
      <c r="B25" s="458">
        <f t="shared" ca="1" si="2"/>
        <v>127.99417695075847</v>
      </c>
      <c r="C25" s="458">
        <f t="shared" ca="1" si="3"/>
        <v>5.0500000000000007</v>
      </c>
      <c r="D25" s="458">
        <f t="shared" si="4"/>
        <v>14.611139112867814</v>
      </c>
      <c r="E25" s="458">
        <f t="shared" si="5"/>
        <v>1.7809696913101491</v>
      </c>
      <c r="F25" s="458">
        <f t="shared" si="6"/>
        <v>573.55836198598661</v>
      </c>
      <c r="G25" s="458">
        <f t="shared" si="7"/>
        <v>0</v>
      </c>
      <c r="H25" s="458">
        <f t="shared" si="8"/>
        <v>0</v>
      </c>
      <c r="I25" s="458">
        <f t="shared" si="9"/>
        <v>0</v>
      </c>
      <c r="J25" s="458">
        <f t="shared" si="10"/>
        <v>33.146219122286489</v>
      </c>
      <c r="K25" s="458">
        <f t="shared" si="11"/>
        <v>0</v>
      </c>
      <c r="L25" s="458">
        <f t="shared" si="12"/>
        <v>0</v>
      </c>
      <c r="M25" s="458">
        <f t="shared" si="13"/>
        <v>0</v>
      </c>
      <c r="N25" s="458">
        <f t="shared" si="14"/>
        <v>0</v>
      </c>
      <c r="O25" s="458">
        <f t="shared" si="15"/>
        <v>0</v>
      </c>
      <c r="P25" s="459">
        <f t="shared" si="16"/>
        <v>0</v>
      </c>
      <c r="Q25" s="457">
        <f t="shared" ca="1" si="17"/>
        <v>756.14086686320957</v>
      </c>
    </row>
    <row r="26" spans="1:17">
      <c r="A26" s="457" t="s">
        <v>655</v>
      </c>
      <c r="B26" s="458">
        <f t="shared" ca="1" si="2"/>
        <v>220.5701179905985</v>
      </c>
      <c r="C26" s="458">
        <f t="shared" ca="1" si="3"/>
        <v>0</v>
      </c>
      <c r="D26" s="458">
        <f t="shared" si="4"/>
        <v>211.97067564440513</v>
      </c>
      <c r="E26" s="458">
        <f t="shared" si="5"/>
        <v>47.764117107787229</v>
      </c>
      <c r="F26" s="458">
        <f t="shared" si="6"/>
        <v>230.37956360894438</v>
      </c>
      <c r="G26" s="458">
        <f t="shared" si="7"/>
        <v>0</v>
      </c>
      <c r="H26" s="458">
        <f t="shared" si="8"/>
        <v>0</v>
      </c>
      <c r="I26" s="458">
        <f t="shared" si="9"/>
        <v>0</v>
      </c>
      <c r="J26" s="458">
        <f t="shared" si="10"/>
        <v>0.10519072879499342</v>
      </c>
      <c r="K26" s="458">
        <f t="shared" si="11"/>
        <v>0</v>
      </c>
      <c r="L26" s="458">
        <f t="shared" si="12"/>
        <v>0</v>
      </c>
      <c r="M26" s="458">
        <f t="shared" si="13"/>
        <v>0</v>
      </c>
      <c r="N26" s="458">
        <f t="shared" si="14"/>
        <v>0</v>
      </c>
      <c r="O26" s="458">
        <f t="shared" si="15"/>
        <v>0</v>
      </c>
      <c r="P26" s="459">
        <f t="shared" si="16"/>
        <v>0</v>
      </c>
      <c r="Q26" s="457">
        <f t="shared" ca="1" si="17"/>
        <v>710.78966508053031</v>
      </c>
    </row>
    <row r="27" spans="1:17" s="463" customFormat="1">
      <c r="A27" s="461" t="s">
        <v>573</v>
      </c>
      <c r="B27" s="771">
        <f t="shared" ca="1" si="2"/>
        <v>1.1735961870088265</v>
      </c>
      <c r="C27" s="462">
        <f t="shared" ca="1" si="3"/>
        <v>0</v>
      </c>
      <c r="D27" s="462">
        <f t="shared" si="4"/>
        <v>1.8959524284525937</v>
      </c>
      <c r="E27" s="462">
        <f t="shared" si="5"/>
        <v>87.269335417176222</v>
      </c>
      <c r="F27" s="462">
        <f t="shared" si="6"/>
        <v>0</v>
      </c>
      <c r="G27" s="462">
        <f t="shared" si="7"/>
        <v>26320.463680343124</v>
      </c>
      <c r="H27" s="462">
        <f t="shared" si="8"/>
        <v>4392.3659772884093</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30803.16854166417</v>
      </c>
    </row>
    <row r="28" spans="1:17">
      <c r="A28" s="457" t="s">
        <v>563</v>
      </c>
      <c r="B28" s="458">
        <f t="shared" ca="1" si="2"/>
        <v>0</v>
      </c>
      <c r="C28" s="458">
        <f t="shared" ca="1" si="3"/>
        <v>0</v>
      </c>
      <c r="D28" s="458">
        <f t="shared" si="4"/>
        <v>0</v>
      </c>
      <c r="E28" s="458">
        <f t="shared" si="5"/>
        <v>0</v>
      </c>
      <c r="F28" s="458">
        <f t="shared" si="6"/>
        <v>0</v>
      </c>
      <c r="G28" s="458">
        <f t="shared" si="7"/>
        <v>627.53020104217387</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627.53020104217387</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79.15298354008408</v>
      </c>
      <c r="C32" s="458">
        <f t="shared" ca="1" si="3"/>
        <v>0</v>
      </c>
      <c r="D32" s="458">
        <f t="shared" si="4"/>
        <v>177.72125805563607</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256.87424159572015</v>
      </c>
    </row>
    <row r="33" spans="1:17" s="470" customFormat="1">
      <c r="A33" s="467" t="s">
        <v>567</v>
      </c>
      <c r="B33" s="468">
        <f ca="1">SUM(B22:B32)</f>
        <v>6985.1224601207077</v>
      </c>
      <c r="C33" s="468">
        <f t="shared" ref="C33:Q33" ca="1" si="18">SUM(C22:C32)</f>
        <v>5.0500000000000007</v>
      </c>
      <c r="D33" s="468">
        <f t="shared" ca="1" si="18"/>
        <v>10277.218465899081</v>
      </c>
      <c r="E33" s="468">
        <f t="shared" si="18"/>
        <v>1046.3983523986508</v>
      </c>
      <c r="F33" s="468">
        <f t="shared" ca="1" si="18"/>
        <v>8052.6350510052034</v>
      </c>
      <c r="G33" s="468">
        <f t="shared" si="18"/>
        <v>26947.993881385297</v>
      </c>
      <c r="H33" s="468">
        <f t="shared" si="18"/>
        <v>4392.3659772884093</v>
      </c>
      <c r="I33" s="468">
        <f t="shared" si="18"/>
        <v>0</v>
      </c>
      <c r="J33" s="468">
        <f t="shared" si="18"/>
        <v>33.251409851081483</v>
      </c>
      <c r="K33" s="468">
        <f t="shared" si="18"/>
        <v>0</v>
      </c>
      <c r="L33" s="468">
        <f t="shared" ca="1" si="18"/>
        <v>0</v>
      </c>
      <c r="M33" s="468">
        <f t="shared" si="18"/>
        <v>0</v>
      </c>
      <c r="N33" s="468">
        <f t="shared" ca="1" si="18"/>
        <v>0</v>
      </c>
      <c r="O33" s="468">
        <f t="shared" si="18"/>
        <v>0</v>
      </c>
      <c r="P33" s="468">
        <f t="shared" si="18"/>
        <v>0</v>
      </c>
      <c r="Q33" s="468">
        <f t="shared" ca="1" si="18"/>
        <v>57740.035597948423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2371.3161662054417</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4.5</v>
      </c>
      <c r="D8" s="1034">
        <f>'SEAP template'!D76</f>
        <v>5</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1.01</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2371.3161662054417</v>
      </c>
      <c r="C10" s="1038">
        <f>SUM(C4:C9)</f>
        <v>4.5</v>
      </c>
      <c r="D10" s="1038">
        <f t="shared" ref="D10:H10" si="0">SUM(D8:D9)</f>
        <v>5</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1.01</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0.20557698243646105</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22.5</v>
      </c>
      <c r="D17" s="1035">
        <f>'SEAP template'!D87</f>
        <v>25</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5.0500000000000007</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22.5</v>
      </c>
      <c r="D20" s="1038">
        <f t="shared" ref="D20:H20" si="2">SUM(D17:D19)</f>
        <v>25</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5.0500000000000007</v>
      </c>
    </row>
    <row r="22" spans="1:16">
      <c r="A22" s="471" t="s">
        <v>879</v>
      </c>
      <c r="B22" s="777" t="s">
        <v>873</v>
      </c>
      <c r="C22" s="777">
        <f ca="1">'EF ele_warmte'!B22</f>
        <v>0.22444444444444447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0.20557698243646105</v>
      </c>
      <c r="C17" s="508">
        <f ca="1">'EF ele_warmte'!B22</f>
        <v>0.22444444444444447</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2020-06-20T16:17:04Z</dcterms:modified>
</cp:coreProperties>
</file>