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F20" i="18" s="1"/>
  <c r="E18" i="18"/>
  <c r="D18" i="18"/>
  <c r="C18" i="18"/>
  <c r="B18" i="18"/>
  <c r="L9" i="18"/>
  <c r="K9" i="18"/>
  <c r="H9" i="18"/>
  <c r="G9" i="18"/>
  <c r="F9" i="18"/>
  <c r="F10" i="18" s="1"/>
  <c r="E9" i="18"/>
  <c r="D9" i="18"/>
  <c r="B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R37" i="18"/>
  <c r="Q37" i="18"/>
  <c r="J9" i="18" s="1"/>
  <c r="P37" i="18"/>
  <c r="C9" i="18" s="1"/>
  <c r="O37" i="18"/>
  <c r="N37" i="18"/>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46" i="18" s="1"/>
  <c r="N30" i="18"/>
  <c r="B8" i="18" s="1"/>
  <c r="M30" i="18"/>
  <c r="G22" i="18"/>
  <c r="F22" i="18"/>
  <c r="E22" i="18"/>
  <c r="D22" i="18"/>
  <c r="C22" i="18"/>
  <c r="D20" i="18"/>
  <c r="B17" i="18"/>
  <c r="G12" i="18"/>
  <c r="F12" i="18"/>
  <c r="E12" i="18"/>
  <c r="D12" i="18"/>
  <c r="C12" i="18"/>
  <c r="L10" i="18"/>
  <c r="K10" i="18"/>
  <c r="G10" i="18"/>
  <c r="D10" i="18"/>
  <c r="B6" i="18"/>
  <c r="B5" i="18"/>
  <c r="B4" i="18"/>
  <c r="I50" i="18" l="1"/>
  <c r="H17" i="18" s="1"/>
  <c r="G50" i="18"/>
  <c r="F50" i="18"/>
  <c r="C50" i="18"/>
  <c r="B50" i="18"/>
  <c r="C17" i="18" s="1"/>
  <c r="C20" i="18" s="1"/>
  <c r="C46" i="18"/>
  <c r="B20" i="18"/>
  <c r="O18" i="18"/>
  <c r="H20" i="18"/>
  <c r="G20" i="18"/>
  <c r="K20" i="18"/>
  <c r="B10" i="18"/>
  <c r="O19" i="18"/>
  <c r="O9" i="18"/>
  <c r="D50" i="18"/>
  <c r="H50" i="18"/>
  <c r="E49" i="18"/>
  <c r="E8" i="18" s="1"/>
  <c r="E10" i="18" s="1"/>
  <c r="E50" i="18"/>
  <c r="E17" i="18" s="1"/>
  <c r="E20" i="18" s="1"/>
  <c r="N6" i="17"/>
  <c r="I49" i="18" l="1"/>
  <c r="H8" i="18" s="1"/>
  <c r="H10" i="18" s="1"/>
  <c r="G49" i="18"/>
  <c r="D49" i="18"/>
  <c r="H49" i="18"/>
  <c r="F49" i="18"/>
  <c r="C49" i="18"/>
  <c r="B49" i="18"/>
  <c r="C8" i="18" s="1"/>
  <c r="C10" i="18" s="1"/>
  <c r="I17" i="18"/>
  <c r="I20" i="18" s="1"/>
  <c r="J17" i="18"/>
  <c r="J20" i="18" s="1"/>
  <c r="L6" i="17"/>
  <c r="F6" i="17"/>
  <c r="D6" i="17"/>
  <c r="C6" i="17"/>
  <c r="N16" i="16"/>
  <c r="L16" i="16"/>
  <c r="F16" i="16"/>
  <c r="D16" i="16"/>
  <c r="C16" i="16"/>
  <c r="B16" i="16"/>
  <c r="B13" i="15"/>
  <c r="J8" i="18" l="1"/>
  <c r="J10" i="18" s="1"/>
  <c r="I8" i="18"/>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11" i="14"/>
  <c r="O4" i="48"/>
  <c r="O22" i="48" s="1"/>
  <c r="B7" i="48"/>
  <c r="C24" i="14"/>
  <c r="C26" i="14" s="1"/>
  <c r="P4" i="48"/>
  <c r="P22" i="48" s="1"/>
  <c r="Q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P13" i="14" l="1"/>
  <c r="O8" i="48"/>
  <c r="O26" i="48" s="1"/>
  <c r="P16" i="14"/>
  <c r="P27" i="14" s="1"/>
  <c r="E7" i="48"/>
  <c r="E25" i="48" s="1"/>
  <c r="F24" i="14"/>
  <c r="F26"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J20" i="15"/>
  <c r="K40" i="14" s="1"/>
  <c r="N52" i="14"/>
  <c r="N61" i="14" s="1"/>
  <c r="E20" i="15"/>
  <c r="F40" i="14" s="1"/>
  <c r="E5" i="48"/>
  <c r="Q5" i="48" s="1"/>
  <c r="F10" i="14"/>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E22" i="16" s="1"/>
  <c r="F43" i="14" s="1"/>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F13" i="14"/>
  <c r="F16" i="14" s="1"/>
  <c r="F27" i="14" s="1"/>
  <c r="F63" i="14" s="1"/>
  <c r="E8" i="48"/>
  <c r="E26" i="48" s="1"/>
  <c r="E23" i="48"/>
  <c r="E33" i="48" s="1"/>
  <c r="E15" i="48"/>
  <c r="N63" i="14"/>
  <c r="J22" i="16"/>
  <c r="K43" i="14" s="1"/>
  <c r="K46" i="14" s="1"/>
  <c r="K61" i="14" s="1"/>
  <c r="K63" i="14" s="1"/>
  <c r="J8" i="48"/>
  <c r="K13" i="14"/>
  <c r="K16" i="14" s="1"/>
  <c r="K27" i="14" s="1"/>
  <c r="E63" i="14"/>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<sst xmlns="http://schemas.openxmlformats.org/spreadsheetml/2006/main" count="2465" uniqueCount="930">
  <si>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</si>
  <si>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</si>
  <si>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</si>
  <si>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</si>
  <si>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</si>
  <si>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</si>
  <si>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</si>
  <si>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</si>
  <si>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</si>
  <si>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</si>
  <si>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</si>
  <si>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</si>
  <si>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</si>
  <si>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</si>
  <si>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</si>
  <si>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</si>
  <si>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</si>
  <si>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</si>
  <si>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</si>
  <si>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</si>
  <si>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</si>
  <si>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</si>
  <si>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</si>
  <si>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</si>
  <si>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</si>
  <si>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</si>
  <si>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</si>
  <si>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</si>
  <si>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</si>
  <si>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</si>
  <si>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</si>
  <si>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</si>
  <si>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</si>
  <si>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</si>
  <si>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</si>
  <si>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</si>
  <si>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</si>
  <si>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</si>
  <si>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</si>
  <si>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</si>
  <si>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</si>
  <si>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</si>
  <si>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</si>
  <si>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</si>
  <si>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</si>
  <si>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</si>
  <si>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</si>
  <si>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</si>
  <si>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</si>
  <si>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</si>
  <si>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</si>
  <si>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</si>
  <si>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</si>
  <si>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</si>
  <si>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</si>
  <si>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</si>
  <si>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</si>
  <si>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</si>
  <si>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</si>
  <si>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</si>
  <si>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</si>
  <si>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</si>
  <si>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</si>
  <si>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</si>
  <si>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</si>
  <si>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</si>
  <si>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</si>
  <si>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</si>
  <si>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</si>
  <si>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</si>
  <si>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</si>
  <si>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</si>
  <si>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</si>
  <si>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</si>
  <si>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</si>
  <si>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</si>
  <si>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</si>
  <si>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</si>
  <si>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</si>
  <si>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</si>
  <si>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</si>
  <si>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</si>
  <si>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</si>
  <si>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</si>
  <si>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</si>
  <si>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</si>
  <si>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</si>
  <si>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</si>
  <si>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</si>
  <si>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</si>
  <si>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</si>
  <si>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</si>
  <si>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</si>
  <si>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</si>
  <si>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</si>
  <si>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</si>
  <si>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</si>
  <si>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</si>
  <si>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</si>
  <si>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</si>
  <si>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</si>
  <si>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</si>
  <si>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</si>
  <si>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</si>
  <si>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</si>
  <si>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</si>
  <si>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</si>
  <si>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</si>
  <si>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</si>
  <si>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</si>
  <si>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</si>
  <si>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</si>
  <si>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</si>
  <si>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</si>
  <si>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</si>
  <si>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</si>
  <si>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</si>
  <si>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</si>
  <si>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</si>
  <si>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</si>
  <si>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</si>
  <si>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</si>
  <si>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</si>
  <si>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</si>
  <si>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</si>
  <si>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</si>
  <si>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</si>
  <si>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</si>
  <si>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</si>
  <si>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</si>
  <si>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</si>
  <si>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</si>
  <si>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</si>
  <si>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</si>
  <si>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</si>
  <si>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</si>
  <si>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</si>
  <si>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</si>
  <si>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</si>
  <si>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</si>
  <si>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</si>
  <si>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</si>
  <si>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</si>
  <si>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</si>
  <si>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</si>
  <si>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</si>
  <si>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</si>
  <si>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</si>
  <si>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</si>
  <si>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</si>
  <si>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</si>
  <si>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</si>
  <si>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</si>
  <si>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</si>
  <si>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</si>
  <si>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</si>
  <si>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</si>
  <si>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</si>
  <si>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</si>
  <si>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</si>
  <si>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</si>
  <si>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</si>
  <si>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</si>
  <si>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</si>
  <si>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</si>
  <si>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</si>
  <si>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</si>
  <si>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</si>
  <si>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</si>
  <si>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</si>
  <si>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</si>
  <si>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</si>
  <si>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</si>
  <si>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</si>
  <si>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</si>
  <si>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</si>
  <si>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</si>
  <si>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</si>
  <si>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</si>
  <si>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</si>
  <si>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</si>
  <si>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</si>
  <si>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</si>
  <si>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</si>
  <si>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</si>
  <si>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</si>
  <si>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</si>
  <si>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</si>
  <si>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</si>
  <si>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</si>
  <si>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</si>
  <si>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</si>
  <si>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</si>
  <si>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</si>
  <si>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</si>
  <si>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</si>
  <si>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</si>
  <si>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</si>
  <si>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</si>
  <si>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</si>
  <si>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</si>
  <si>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</si>
  <si>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</si>
  <si>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</si>
  <si>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</si>
  <si>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</si>
  <si>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</si>
  <si>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</si>
  <si>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</si>
  <si>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</si>
  <si>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</si>
  <si>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</si>
  <si>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</si>
  <si>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</si>
  <si>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</si>
  <si>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</si>
  <si>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</si>
  <si>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</si>
  <si>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</si>
  <si>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</si>
  <si>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</si>
  <si>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</si>
  <si>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</si>
  <si>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</si>
  <si>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</si>
  <si>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</si>
  <si>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</si>
  <si>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</si>
  <si>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</si>
  <si>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</si>
  <si>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</si>
  <si>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</si>
  <si>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</si>
  <si>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</si>
  <si>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</si>
  <si>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</si>
  <si>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</si>
  <si>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</si>
  <si>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</si>
  <si>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</si>
  <si>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</si>
  <si>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</si>
  <si>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</si>
  <si>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</si>
  <si>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</si>
  <si>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</si>
  <si>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</si>
  <si>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</si>
  <si>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</si>
  <si>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</si>
  <si>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</si>
  <si>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</si>
  <si>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</si>
  <si>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</si>
  <si>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</si>
  <si>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</si>
  <si>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</si>
  <si>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</si>
  <si>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</si>
  <si>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</si>
  <si>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</si>
  <si>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</si>
  <si>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</si>
  <si>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</si>
  <si>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</si>
  <si>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</si>
  <si>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</si>
  <si>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</si>
  <si>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</si>
  <si>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</si>
  <si>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</si>
  <si>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</si>
  <si>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</si>
  <si>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</si>
  <si>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</si>
  <si>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</si>
  <si>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</si>
  <si>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</si>
  <si>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</si>
  <si>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</si>
  <si>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</si>
  <si>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</si>
  <si>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</si>
  <si>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</si>
  <si>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</si>
  <si>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</si>
  <si>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</si>
  <si>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</si>
  <si>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</si>
  <si>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</si>
  <si>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</si>
  <si>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</si>
  <si>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</si>
  <si>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</si>
  <si>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</si>
  <si>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</si>
  <si>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</si>
  <si>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</si>
  <si>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</si>
  <si>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</si>
  <si>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</si>
  <si>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</si>
  <si>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</si>
  <si>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</si>
  <si>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</si>
  <si>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</si>
  <si>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</si>
  <si>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</si>
  <si>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</si>
  <si>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</si>
  <si>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</si>
  <si>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</si>
  <si>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</si>
  <si>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</si>
  <si>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</si>
  <si>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</si>
  <si>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</si>
  <si>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</si>
  <si>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</si>
  <si>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</si>
  <si>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</si>
  <si>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</si>
  <si>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</si>
  <si>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</si>
  <si>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</si>
  <si>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</si>
  <si>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</si>
  <si>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</si>
  <si>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</si>
  <si>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</si>
  <si>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</si>
  <si>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</si>
  <si>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</si>
  <si>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</si>
  <si>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</si>
  <si>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</si>
  <si>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</si>
  <si>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</si>
  <si>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</si>
  <si>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</si>
  <si>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</si>
  <si>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</si>
  <si>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</si>
  <si>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</si>
  <si>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</si>
  <si>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</si>
  <si>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</si>
  <si>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</si>
  <si>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</si>
  <si>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</si>
  <si>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</si>
  <si>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</si>
  <si>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</si>
  <si>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</si>
  <si>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</si>
  <si>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</si>
  <si>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</si>
  <si>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</si>
  <si>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</si>
  <si>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</si>
  <si>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</si>
  <si>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</si>
  <si>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</si>
  <si>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</si>
  <si>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</si>
  <si>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</si>
  <si>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</si>
  <si>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</si>
  <si>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</si>
  <si>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</si>
  <si>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</si>
  <si>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</si>
  <si>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</si>
  <si>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</si>
  <si>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</si>
  <si>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</si>
  <si>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</si>
  <si>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</si>
  <si>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</si>
  <si>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</si>
  <si>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</si>
  <si>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</si>
  <si>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</si>
  <si>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</si>
  <si>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</si>
  <si>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</si>
  <si>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</si>
  <si>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</si>
  <si>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</si>
  <si>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</si>
  <si>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</si>
  <si>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</si>
  <si>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</si>
  <si>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</si>
  <si>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</si>
  <si>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</si>
  <si>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</si>
  <si>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</si>
  <si>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</si>
  <si>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</si>
  <si>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</si>
  <si>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</si>
  <si>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</si>
  <si>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</si>
  <si>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</si>
  <si>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</si>
  <si>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</si>
  <si>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</si>
  <si>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</si>
  <si>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</si>
  <si>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</si>
  <si>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</si>
  <si>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</si>
  <si>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</si>
  <si>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</si>
  <si>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</si>
  <si>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</si>
  <si>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</si>
  <si>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</si>
  <si>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</si>
  <si>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</si>
  <si>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</si>
  <si>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</si>
  <si>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</si>
  <si>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</si>
  <si>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</si>
  <si>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</si>
  <si>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</si>
  <si>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</si>
  <si>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</si>
  <si>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</si>
  <si>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</si>
  <si>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</si>
  <si>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</si>
  <si>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</si>
  <si>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</si>
  <si>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</si>
  <si>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</si>
  <si>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</si>
  <si>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</si>
  <si>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</si>
  <si>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</si>
  <si>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</si>
  <si>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</si>
  <si>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</si>
  <si>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</si>
  <si>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</si>
  <si>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</si>
  <si>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</si>
  <si>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</si>
  <si>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</si>
  <si>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</si>
  <si>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</si>
  <si>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</si>
  <si>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</si>
  <si>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</si>
  <si>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</si>
  <si>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</si>
  <si>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</si>
  <si>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</si>
  <si>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</si>
  <si>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</si>
  <si>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</si>
  <si>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</si>
  <si>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</si>
  <si>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</si>
  <si>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</si>
  <si>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</si>
  <si>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</si>
  <si>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</si>
  <si>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</si>
  <si>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</si>
  <si>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</si>
  <si>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</si>
  <si>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</si>
  <si>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</si>
  <si>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</si>
  <si>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</si>
  <si>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</si>
  <si>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</si>
  <si>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</si>
  <si>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</si>
  <si>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</si>
  <si>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</si>
  <si>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</si>
  <si>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</si>
  <si>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</si>
  <si>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</si>
  <si>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</si>
  <si>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</si>
  <si>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</si>
  <si>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</si>
  <si>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</si>
  <si>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</si>
  <si>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</si>
  <si>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</si>
  <si>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</si>
  <si>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</si>
  <si>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</si>
  <si>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</si>
  <si>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</si>
  <si>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</si>
  <si>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</si>
  <si>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</si>
  <si>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</si>
  <si>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</si>
  <si>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</si>
  <si>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</si>
  <si>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</si>
  <si>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</si>
  <si>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</si>
  <si>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</si>
  <si>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</si>
  <si>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</si>
  <si>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</si>
  <si>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</si>
  <si>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</si>
  <si>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</si>
  <si>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</si>
  <si>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</si>
  <si>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</si>
  <si>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</si>
  <si>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</si>
  <si>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</si>
  <si>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</si>
  <si>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</si>
  <si>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</si>
  <si>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</si>
  <si>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</si>
  <si>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</si>
  <si>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</si>
  <si>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</si>
  <si>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</si>
  <si>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</si>
  <si>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</si>
  <si>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</si>
  <si>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</si>
  <si>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</si>
  <si>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</si>
  <si>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</si>
  <si>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</si>
  <si>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</si>
  <si>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</si>
  <si>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</si>
  <si>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</si>
  <si>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</si>
  <si>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</si>
  <si>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</si>
  <si>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</si>
  <si>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</si>
  <si>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</si>
  <si>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</si>
  <si>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</si>
  <si>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</si>
  <si>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</si>
  <si>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</si>
  <si>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</si>
  <si>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</si>
  <si>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</si>
  <si>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</si>
  <si>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</si>
  <si>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</si>
  <si>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</si>
  <si>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</si>
  <si>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</si>
  <si>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</si>
  <si>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</si>
  <si>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</si>
  <si>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</si>
  <si>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</si>
  <si>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</si>
  <si>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</si>
  <si>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</si>
  <si>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</si>
  <si>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</si>
  <si>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</si>
  <si>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</si>
  <si>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</si>
  <si>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</si>
  <si>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</si>
  <si>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</si>
  <si>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</si>
  <si>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</si>
  <si>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</si>
  <si>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</si>
  <si>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</si>
  <si>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</si>
  <si>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</si>
  <si>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</si>
  <si>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</si>
  <si>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</si>
  <si>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</si>
  <si>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</si>
  <si>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</si>
  <si>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</si>
  <si>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</si>
  <si>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</si>
  <si>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</si>
  <si>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</si>
  <si>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</si>
  <si>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</si>
  <si>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</si>
  <si>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</si>
  <si>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</si>
  <si>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</si>
  <si>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</si>
  <si>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</si>
  <si>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</si>
  <si>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</si>
  <si>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</si>
  <si>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</si>
  <si>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</si>
  <si>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</si>
  <si>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</si>
  <si>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</si>
  <si>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</si>
  <si>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</si>
  <si>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</si>
  <si>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</si>
  <si>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</si>
  <si>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</si>
  <si>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</si>
  <si>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</si>
  <si>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</si>
  <si>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</si>
  <si>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</si>
  <si>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</si>
  <si>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</si>
  <si>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</si>
  <si>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</si>
  <si>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</si>
  <si>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</si>
  <si>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</si>
  <si>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</si>
  <si>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</si>
  <si>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</si>
  <si>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</si>
  <si>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</si>
  <si>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</si>
  <si>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</si>
  <si>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</si>
  <si>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</si>
  <si>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</si>
  <si>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</si>
  <si>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</si>
  <si>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</si>
  <si>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</si>
  <si>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</si>
  <si>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</si>
  <si>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</si>
  <si>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</si>
  <si>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</si>
  <si>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</si>
  <si>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</si>
  <si>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</si>
  <si>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</si>
  <si>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</si>
  <si>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</si>
  <si>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</si>
  <si>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</si>
  <si>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</si>
  <si>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</si>
  <si>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</si>
  <si>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</si>
  <si>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</si>
  <si>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</si>
  <si>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</si>
  <si>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</si>
  <si>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</si>
  <si>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</si>
  <si>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</si>
  <si>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</si>
  <si>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</si>
  <si>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</si>
  <si>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</si>
  <si>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</si>
  <si>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</si>
  <si>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</si>
  <si>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</si>
  <si>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</si>
  <si>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</si>
  <si>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</si>
  <si>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</si>
  <si>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</si>
  <si>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</si>
  <si>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</si>
  <si>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</si>
  <si>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</si>
  <si>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</si>
  <si>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</si>
  <si>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</si>
  <si>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</si>
  <si>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</si>
  <si>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</si>
  <si>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</si>
  <si>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</si>
  <si>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</si>
  <si>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</si>
  <si>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</si>
  <si>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</si>
  <si>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</si>
  <si>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</si>
  <si>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</si>
  <si>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</si>
  <si>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</si>
  <si>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</si>
  <si>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</si>
  <si>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</si>
  <si>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</si>
  <si>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</si>
  <si>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</si>
  <si>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</si>
  <si>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</si>
  <si>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</si>
  <si>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</si>
  <si>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</si>
  <si>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</si>
  <si>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</si>
  <si>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</si>
  <si>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</si>
  <si>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</si>
  <si>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</si>
  <si>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</si>
  <si>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</si>
  <si>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</si>
  <si>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</si>
  <si>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</si>
  <si>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</si>
  <si>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</si>
  <si>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</si>
  <si>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</si>
  <si>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</si>
  <si>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</si>
  <si>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</si>
  <si>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</si>
  <si>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</si>
  <si>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</si>
  <si>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</si>
  <si>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</si>
  <si>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</si>
  <si>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</si>
  <si>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</si>
  <si>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</si>
  <si>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</si>
  <si>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</si>
  <si>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</si>
  <si>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</si>
  <si>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</si>
  <si>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</si>
  <si>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</si>
  <si>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</si>
  <si>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</si>
  <si>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</si>
  <si>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</si>
  <si>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</si>
  <si>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</si>
  <si>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</si>
  <si>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</si>
  <si>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</si>
  <si>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</si>
  <si>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</si>
  <si>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</si>
  <si>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</si>
  <si>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</si>
  <si>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</si>
  <si>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</si>
  <si>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</si>
  <si>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</si>
  <si>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</si>
  <si>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</si>
  <si>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</si>
  <si>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</si>
  <si>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</si>
  <si>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</si>
  <si>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</si>
  <si>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</si>
  <si>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</si>
  <si>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</si>
  <si>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</si>
  <si>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</si>
  <si>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</si>
  <si>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</si>
  <si>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</si>
  <si>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</si>
  <si>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</si>
  <si>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</si>
  <si>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</si>
  <si>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</si>
  <si>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</si>
  <si>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</si>
  <si>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</si>
  <si>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</si>
  <si>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</si>
  <si>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</si>
  <si>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</si>
  <si>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</si>
  <si>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</si>
  <si>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</si>
  <si>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</si>
  <si>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</si>
  <si>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</si>
  <si>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</si>
  <si>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</si>
  <si>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</si>
  <si>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</si>
  <si>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</si>
  <si>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</si>
  <si>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</si>
  <si>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</si>
  <si>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</si>
  <si>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</si>
  <si>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</si>
  <si>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</si>
  <si>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</si>
  <si>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</si>
  <si>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</si>
  <si>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</si>
  <si>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</si>
  <si>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</si>
  <si>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</si>
  <si>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</si>
  <si>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</si>
  <si>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</si>
  <si>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</si>
  <si>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</si>
  <si>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</si>
  <si>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</si>
  <si>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</si>
  <si>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</si>
  <si>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</si>
  <si>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</si>
  <si>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</si>
  <si>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</si>
  <si>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</si>
  <si>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</si>
  <si>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</si>
  <si>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</si>
  <si>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</si>
  <si>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</si>
  <si>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</si>
  <si>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</si>
  <si>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</si>
  <si>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</si>
  <si>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</si>
  <si>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</si>
  <si>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</si>
  <si>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</si>
  <si>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</si>
  <si>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</si>
  <si>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</si>
  <si>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</si>
  <si>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</si>
  <si>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</si>
  <si>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</si>
  <si>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</si>
  <si>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</si>
  <si>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</si>
  <si>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</si>
  <si>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</si>
  <si>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</si>
  <si>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</si>
  <si>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</si>
  <si>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</si>
  <si>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</si>
  <si>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</si>
  <si>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</si>
  <si>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</si>
  <si>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</si>
  <si>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</si>
  <si>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</si>
  <si>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</si>
  <si>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</si>
  <si>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</si>
  <si>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</si>
  <si>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</si>
  <si>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</si>
  <si>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</si>
  <si>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</si>
  <si>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</si>
  <si>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</si>
  <si>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</si>
  <si>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</si>
  <si>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</si>
  <si>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</si>
  <si>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</si>
  <si>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</si>
  <si>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</si>
  <si>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</si>
  <si>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</si>
  <si>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</si>
  <si>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</si>
  <si>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</si>
  <si>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</si>
  <si>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</si>
  <si>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</si>
  <si>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</si>
  <si>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</si>
  <si>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</si>
  <si>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</si>
  <si>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</si>
  <si>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</si>
  <si>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</si>
  <si>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</si>
  <si>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</si>
  <si>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</si>
  <si>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</si>
  <si>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</si>
  <si>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</si>
  <si>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</si>
  <si>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</si>
  <si>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</si>
  <si>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</si>
  <si>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</si>
  <si>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23088</t>
  </si>
  <si>
    <t>VILVOORDE</t>
  </si>
  <si>
    <t>Cultuurgrond (ha)</t>
  </si>
  <si>
    <t>Paarden&amp;pony's 200 - 600 kg</t>
  </si>
  <si>
    <t>Paarden&amp;pony's &lt; 200 kg</t>
  </si>
  <si>
    <t>Fluvius</t>
  </si>
  <si>
    <t>referentietaak LNE (2017); Jaarverslag De Lijn</t>
  </si>
  <si>
    <t>TEM Technilift nv</t>
  </si>
  <si>
    <t>De Fierlantstraat 112, 1190 Brussel</t>
  </si>
  <si>
    <t>WKK-0011 Kwart. Majoor Housiau</t>
  </si>
  <si>
    <t>interne verbrandingsmotor</t>
  </si>
  <si>
    <t>WKK interne verbrandinsgmotor (gas)</t>
  </si>
  <si>
    <t>Martelarenstraat 181, 1800 Vilvoorde</t>
  </si>
  <si>
    <t>SIBELGAS</t>
  </si>
  <si>
    <t>Corinne De Ryck</t>
  </si>
  <si>
    <t>Minnemolenstraat 6 , 1800 Vilvoorde</t>
  </si>
  <si>
    <t>WKK-0551 Corinne De Ryck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</si>
</sst>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278958.16975729604</c:v>
                </c:pt>
                <c:pt idx="1">
                  <c:v>230587.00442524042</c:v>
                </c:pt>
                <c:pt idx="2">
                  <c:v>2709.0151427719002</c:v>
                </c:pt>
                <c:pt idx="3">
                  <c:v>287.3467981208633</c:v>
                </c:pt>
                <c:pt idx="4">
                  <c:v>77553.940368571231</c:v>
                </c:pt>
                <c:pt idx="5">
                  <c:v>351359.83185935032</c:v>
                </c:pt>
                <c:pt idx="6">
                  <c:v>4850.6789259698235</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278958.16975729604</c:v>
                </c:pt>
                <c:pt idx="1">
                  <c:v>230587.00442524042</c:v>
                </c:pt>
                <c:pt idx="2">
                  <c:v>2709.0151427719002</c:v>
                </c:pt>
                <c:pt idx="3">
                  <c:v>287.3467981208633</c:v>
                </c:pt>
                <c:pt idx="4">
                  <c:v>77553.940368571231</c:v>
                </c:pt>
                <c:pt idx="5">
                  <c:v>351359.83185935032</c:v>
                </c:pt>
                <c:pt idx="6">
                  <c:v>4850.6789259698235</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54878.123971535118</c:v>
                </c:pt>
                <c:pt idx="2">
                  <c:v>48261.720810726139</c:v>
                </c:pt>
                <c:pt idx="3">
                  <c:v>584.34157699496041</c:v>
                </c:pt>
                <c:pt idx="4">
                  <c:v>72.147623894770589</c:v>
                </c:pt>
                <c:pt idx="5">
                  <c:v>16638.865403434844</c:v>
                </c:pt>
                <c:pt idx="6">
                  <c:v>88872.482343448224</c:v>
                </c:pt>
                <c:pt idx="7">
                  <c:v>1239.9404959654403</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54878.123971535118</c:v>
                </c:pt>
                <c:pt idx="2">
                  <c:v>48261.720810726139</c:v>
                </c:pt>
                <c:pt idx="3">
                  <c:v>584.34157699496041</c:v>
                </c:pt>
                <c:pt idx="4">
                  <c:v>72.147623894770589</c:v>
                </c:pt>
                <c:pt idx="5">
                  <c:v>16638.865403434844</c:v>
                </c:pt>
                <c:pt idx="6">
                  <c:v>88872.482343448224</c:v>
                </c:pt>
                <c:pt idx="7">
                  <c:v>1239.9404959654403</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23088</v>
      </c>
      <c r="B6" s="395"/>
      <c r="C6" s="396"/>
    </row>
    <row r="7" spans="1:7" s="393" customFormat="1" ht="15.75" customHeight="1">
      <c r="A7" s="397" t="str">
        <f>txtMunicipality</f>
        <v>VILVOORDE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89200.228344779811</v>
      </c>
      <c r="D10" s="686">
        <f ca="1">tertiair!C16</f>
        <v>1928.5714285714287</v>
      </c>
      <c r="E10" s="686">
        <f ca="1">tertiair!D16</f>
        <v>120990.93212761024</v>
      </c>
      <c r="F10" s="686">
        <f>tertiair!E16</f>
        <v>1325.3336506074133</v>
      </c>
      <c r="G10" s="686">
        <f ca="1">tertiair!F16</f>
        <v>16501.887397034472</v>
      </c>
      <c r="H10" s="686">
        <f>tertiair!G16</f>
        <v>0</v>
      </c>
      <c r="I10" s="686">
        <f>tertiair!H16</f>
        <v>0</v>
      </c>
      <c r="J10" s="686">
        <f>tertiair!I16</f>
        <v>0</v>
      </c>
      <c r="K10" s="686">
        <f>tertiair!J16</f>
        <v>0</v>
      </c>
      <c r="L10" s="686">
        <f>tertiair!K16</f>
        <v>0</v>
      </c>
      <c r="M10" s="686">
        <f ca="1">tertiair!L16</f>
        <v>0</v>
      </c>
      <c r="N10" s="686">
        <f>tertiair!M16</f>
        <v>0</v>
      </c>
      <c r="O10" s="686">
        <f ca="1">tertiair!N16</f>
        <v>3253.7332860755769</v>
      </c>
      <c r="P10" s="686">
        <f>tertiair!O16</f>
        <v>0</v>
      </c>
      <c r="Q10" s="687">
        <f>tertiair!P16</f>
        <v>95.333333333333343</v>
      </c>
      <c r="R10" s="689">
        <f ca="1">SUM(C10:Q10)</f>
        <v>233296.0195680123</v>
      </c>
      <c r="S10" s="67"/>
    </row>
    <row r="11" spans="1:19" s="454" customFormat="1">
      <c r="A11" s="801" t="s">
        <v>224</v>
      </c>
      <c r="B11" s="806"/>
      <c r="C11" s="686">
        <f>huishoudens!B8</f>
        <v>56842.581948779189</v>
      </c>
      <c r="D11" s="686">
        <f>huishoudens!C8</f>
        <v>0</v>
      </c>
      <c r="E11" s="686">
        <f>huishoudens!D8</f>
        <v>208223.9194094546</v>
      </c>
      <c r="F11" s="686">
        <f>huishoudens!E8</f>
        <v>2448.4591222123977</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11242.825943516509</v>
      </c>
      <c r="P11" s="686">
        <f>huishoudens!O8</f>
        <v>85.983333333333334</v>
      </c>
      <c r="Q11" s="687">
        <f>huishoudens!P8</f>
        <v>114.4</v>
      </c>
      <c r="R11" s="689">
        <f>SUM(C11:Q11)</f>
        <v>278958.16975729604</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41282.324025504407</v>
      </c>
      <c r="D13" s="686">
        <f>industrie!C18</f>
        <v>0</v>
      </c>
      <c r="E13" s="686">
        <f>industrie!D18</f>
        <v>17913.948677445514</v>
      </c>
      <c r="F13" s="686">
        <f>industrie!E18</f>
        <v>2534.9015276064347</v>
      </c>
      <c r="G13" s="686">
        <f>industrie!F18</f>
        <v>13152.81302591122</v>
      </c>
      <c r="H13" s="686">
        <f>industrie!G18</f>
        <v>0</v>
      </c>
      <c r="I13" s="686">
        <f>industrie!H18</f>
        <v>0</v>
      </c>
      <c r="J13" s="686">
        <f>industrie!I18</f>
        <v>0</v>
      </c>
      <c r="K13" s="686">
        <f>industrie!J18</f>
        <v>79.999769738366567</v>
      </c>
      <c r="L13" s="686">
        <f>industrie!K18</f>
        <v>0</v>
      </c>
      <c r="M13" s="686">
        <f>industrie!L18</f>
        <v>0</v>
      </c>
      <c r="N13" s="686">
        <f>industrie!M18</f>
        <v>0</v>
      </c>
      <c r="O13" s="686">
        <f>industrie!N18</f>
        <v>2589.9533423652865</v>
      </c>
      <c r="P13" s="686">
        <f>industrie!O18</f>
        <v>0</v>
      </c>
      <c r="Q13" s="687">
        <f>industrie!P18</f>
        <v>0</v>
      </c>
      <c r="R13" s="689">
        <f>SUM(C13:Q13)</f>
        <v>77553.940368571231</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187325.13431906339</v>
      </c>
      <c r="D16" s="721">
        <f t="shared" ref="D16:R16" ca="1" si="0">SUM(D9:D15)</f>
        <v>1928.5714285714287</v>
      </c>
      <c r="E16" s="721">
        <f t="shared" ca="1" si="0"/>
        <v>347128.80021451035</v>
      </c>
      <c r="F16" s="721">
        <f t="shared" si="0"/>
        <v>6308.6943004262457</v>
      </c>
      <c r="G16" s="721">
        <f t="shared" ca="1" si="0"/>
        <v>29654.700422945694</v>
      </c>
      <c r="H16" s="721">
        <f t="shared" si="0"/>
        <v>0</v>
      </c>
      <c r="I16" s="721">
        <f t="shared" si="0"/>
        <v>0</v>
      </c>
      <c r="J16" s="721">
        <f t="shared" si="0"/>
        <v>0</v>
      </c>
      <c r="K16" s="721">
        <f t="shared" si="0"/>
        <v>79.999769738366567</v>
      </c>
      <c r="L16" s="721">
        <f t="shared" si="0"/>
        <v>0</v>
      </c>
      <c r="M16" s="721">
        <f t="shared" ca="1" si="0"/>
        <v>0</v>
      </c>
      <c r="N16" s="721">
        <f t="shared" si="0"/>
        <v>0</v>
      </c>
      <c r="O16" s="721">
        <f t="shared" ca="1" si="0"/>
        <v>17086.512571957373</v>
      </c>
      <c r="P16" s="721">
        <f t="shared" si="0"/>
        <v>85.983333333333334</v>
      </c>
      <c r="Q16" s="721">
        <f t="shared" si="0"/>
        <v>209.73333333333335</v>
      </c>
      <c r="R16" s="721">
        <f t="shared" ca="1" si="0"/>
        <v>589808.12969387951</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4643.9718950016486</v>
      </c>
      <c r="I19" s="686">
        <f>transport!H54</f>
        <v>0</v>
      </c>
      <c r="J19" s="686">
        <f>transport!I54</f>
        <v>0</v>
      </c>
      <c r="K19" s="686">
        <f>transport!J54</f>
        <v>0</v>
      </c>
      <c r="L19" s="686">
        <f>transport!K54</f>
        <v>0</v>
      </c>
      <c r="M19" s="686">
        <f>transport!L54</f>
        <v>0</v>
      </c>
      <c r="N19" s="686">
        <f>transport!M54</f>
        <v>206.70703096817493</v>
      </c>
      <c r="O19" s="686">
        <f>transport!N54</f>
        <v>0</v>
      </c>
      <c r="P19" s="686">
        <f>transport!O54</f>
        <v>0</v>
      </c>
      <c r="Q19" s="687">
        <f>transport!P54</f>
        <v>0</v>
      </c>
      <c r="R19" s="689">
        <f>SUM(C19:Q19)</f>
        <v>4850.6789259698235</v>
      </c>
      <c r="S19" s="67"/>
    </row>
    <row r="20" spans="1:19" s="454" customFormat="1">
      <c r="A20" s="801" t="s">
        <v>306</v>
      </c>
      <c r="B20" s="806"/>
      <c r="C20" s="686">
        <f>transport!B14</f>
        <v>16.143398472929306</v>
      </c>
      <c r="D20" s="686">
        <f>transport!C14</f>
        <v>0</v>
      </c>
      <c r="E20" s="686">
        <f>transport!D14</f>
        <v>24.942960454243064</v>
      </c>
      <c r="F20" s="686">
        <f>transport!E14</f>
        <v>1042.9716362098877</v>
      </c>
      <c r="G20" s="686">
        <f>transport!F14</f>
        <v>0</v>
      </c>
      <c r="H20" s="686">
        <f>transport!G14</f>
        <v>287850.49888248777</v>
      </c>
      <c r="I20" s="686">
        <f>transport!H14</f>
        <v>47273.590078571251</v>
      </c>
      <c r="J20" s="686">
        <f>transport!I14</f>
        <v>0</v>
      </c>
      <c r="K20" s="686">
        <f>transport!J14</f>
        <v>0</v>
      </c>
      <c r="L20" s="686">
        <f>transport!K14</f>
        <v>0</v>
      </c>
      <c r="M20" s="686">
        <f>transport!L14</f>
        <v>0</v>
      </c>
      <c r="N20" s="686">
        <f>transport!M14</f>
        <v>15151.684903154244</v>
      </c>
      <c r="O20" s="686">
        <f>transport!N14</f>
        <v>0</v>
      </c>
      <c r="P20" s="686">
        <f>transport!O14</f>
        <v>0</v>
      </c>
      <c r="Q20" s="687">
        <f>transport!P14</f>
        <v>0</v>
      </c>
      <c r="R20" s="689">
        <f>SUM(C20:Q20)</f>
        <v>351359.83185935032</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16.143398472929306</v>
      </c>
      <c r="D22" s="804">
        <f t="shared" ref="D22:R22" si="1">SUM(D18:D21)</f>
        <v>0</v>
      </c>
      <c r="E22" s="804">
        <f t="shared" si="1"/>
        <v>24.942960454243064</v>
      </c>
      <c r="F22" s="804">
        <f t="shared" si="1"/>
        <v>1042.9716362098877</v>
      </c>
      <c r="G22" s="804">
        <f t="shared" si="1"/>
        <v>0</v>
      </c>
      <c r="H22" s="804">
        <f t="shared" si="1"/>
        <v>292494.47077748942</v>
      </c>
      <c r="I22" s="804">
        <f t="shared" si="1"/>
        <v>47273.590078571251</v>
      </c>
      <c r="J22" s="804">
        <f t="shared" si="1"/>
        <v>0</v>
      </c>
      <c r="K22" s="804">
        <f t="shared" si="1"/>
        <v>0</v>
      </c>
      <c r="L22" s="804">
        <f t="shared" si="1"/>
        <v>0</v>
      </c>
      <c r="M22" s="804">
        <f t="shared" si="1"/>
        <v>0</v>
      </c>
      <c r="N22" s="804">
        <f t="shared" si="1"/>
        <v>15358.391934122419</v>
      </c>
      <c r="O22" s="804">
        <f t="shared" si="1"/>
        <v>0</v>
      </c>
      <c r="P22" s="804">
        <f t="shared" si="1"/>
        <v>0</v>
      </c>
      <c r="Q22" s="804">
        <f t="shared" si="1"/>
        <v>0</v>
      </c>
      <c r="R22" s="804">
        <f t="shared" si="1"/>
        <v>356210.51078532013</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50.4969815197814</v>
      </c>
      <c r="D24" s="686">
        <f>+landbouw!C8</f>
        <v>25.714285714285715</v>
      </c>
      <c r="E24" s="686">
        <f>+landbouw!D8</f>
        <v>28.677795382159459</v>
      </c>
      <c r="F24" s="686">
        <f>+landbouw!E8</f>
        <v>0.63632702048812551</v>
      </c>
      <c r="G24" s="686">
        <f>+landbouw!F8</f>
        <v>174.22723649299999</v>
      </c>
      <c r="H24" s="686">
        <f>+landbouw!G8</f>
        <v>0</v>
      </c>
      <c r="I24" s="686">
        <f>+landbouw!H8</f>
        <v>0</v>
      </c>
      <c r="J24" s="686">
        <f>+landbouw!I8</f>
        <v>0</v>
      </c>
      <c r="K24" s="686">
        <f>+landbouw!J8</f>
        <v>7.5941719911485901</v>
      </c>
      <c r="L24" s="686">
        <f>+landbouw!K8</f>
        <v>0</v>
      </c>
      <c r="M24" s="686">
        <f>+landbouw!L8</f>
        <v>0</v>
      </c>
      <c r="N24" s="686">
        <f>+landbouw!M8</f>
        <v>0</v>
      </c>
      <c r="O24" s="686">
        <f>+landbouw!N8</f>
        <v>0</v>
      </c>
      <c r="P24" s="686">
        <f>+landbouw!O8</f>
        <v>0</v>
      </c>
      <c r="Q24" s="687">
        <f>+landbouw!P8</f>
        <v>0</v>
      </c>
      <c r="R24" s="689">
        <f>SUM(C24:Q24)</f>
        <v>287.3467981208633</v>
      </c>
      <c r="S24" s="67"/>
    </row>
    <row r="25" spans="1:19" s="454" customFormat="1" ht="15" thickBot="1">
      <c r="A25" s="823" t="s">
        <v>856</v>
      </c>
      <c r="B25" s="991"/>
      <c r="C25" s="992">
        <f>IF(Onbekend_ele_kWh="---",0,Onbekend_ele_kWh)/1000+IF(REST_rest_ele_kWh="---",0,REST_rest_ele_kWh)/1000</f>
        <v>17390.022616494702</v>
      </c>
      <c r="D25" s="992"/>
      <c r="E25" s="992">
        <f>IF(onbekend_gas_kWh="---",0,onbekend_gas_kWh)/1000+IF(REST_rest_gas_kWh="---",0,REST_rest_gas_kWh)/1000</f>
        <v>15743.9103523224</v>
      </c>
      <c r="F25" s="992"/>
      <c r="G25" s="992"/>
      <c r="H25" s="992"/>
      <c r="I25" s="992"/>
      <c r="J25" s="992"/>
      <c r="K25" s="992"/>
      <c r="L25" s="992"/>
      <c r="M25" s="992"/>
      <c r="N25" s="992"/>
      <c r="O25" s="992"/>
      <c r="P25" s="992"/>
      <c r="Q25" s="993"/>
      <c r="R25" s="689">
        <f>SUM(C25:Q25)</f>
        <v>33133.932968817098</v>
      </c>
      <c r="S25" s="67"/>
    </row>
    <row r="26" spans="1:19" s="454" customFormat="1" ht="15.75" thickBot="1">
      <c r="A26" s="694" t="s">
        <v>857</v>
      </c>
      <c r="B26" s="809"/>
      <c r="C26" s="804">
        <f>SUM(C24:C25)</f>
        <v>17440.519598014482</v>
      </c>
      <c r="D26" s="804">
        <f t="shared" ref="D26:R26" si="2">SUM(D24:D25)</f>
        <v>25.714285714285715</v>
      </c>
      <c r="E26" s="804">
        <f t="shared" si="2"/>
        <v>15772.58814770456</v>
      </c>
      <c r="F26" s="804">
        <f t="shared" si="2"/>
        <v>0.63632702048812551</v>
      </c>
      <c r="G26" s="804">
        <f t="shared" si="2"/>
        <v>174.22723649299999</v>
      </c>
      <c r="H26" s="804">
        <f t="shared" si="2"/>
        <v>0</v>
      </c>
      <c r="I26" s="804">
        <f t="shared" si="2"/>
        <v>0</v>
      </c>
      <c r="J26" s="804">
        <f t="shared" si="2"/>
        <v>0</v>
      </c>
      <c r="K26" s="804">
        <f t="shared" si="2"/>
        <v>7.5941719911485901</v>
      </c>
      <c r="L26" s="804">
        <f t="shared" si="2"/>
        <v>0</v>
      </c>
      <c r="M26" s="804">
        <f t="shared" si="2"/>
        <v>0</v>
      </c>
      <c r="N26" s="804">
        <f t="shared" si="2"/>
        <v>0</v>
      </c>
      <c r="O26" s="804">
        <f t="shared" si="2"/>
        <v>0</v>
      </c>
      <c r="P26" s="804">
        <f t="shared" si="2"/>
        <v>0</v>
      </c>
      <c r="Q26" s="804">
        <f t="shared" si="2"/>
        <v>0</v>
      </c>
      <c r="R26" s="804">
        <f t="shared" si="2"/>
        <v>33421.279766937965</v>
      </c>
      <c r="S26" s="67"/>
    </row>
    <row r="27" spans="1:19" s="454" customFormat="1" ht="17.25" thickTop="1" thickBot="1">
      <c r="A27" s="695" t="s">
        <v>115</v>
      </c>
      <c r="B27" s="796"/>
      <c r="C27" s="696">
        <f ca="1">C22+C16+C26</f>
        <v>204781.79731555079</v>
      </c>
      <c r="D27" s="696">
        <f t="shared" ref="D27:R27" ca="1" si="3">D22+D16+D26</f>
        <v>1954.2857142857144</v>
      </c>
      <c r="E27" s="696">
        <f t="shared" ca="1" si="3"/>
        <v>362926.33132266917</v>
      </c>
      <c r="F27" s="696">
        <f t="shared" si="3"/>
        <v>7352.302263656622</v>
      </c>
      <c r="G27" s="696">
        <f t="shared" ca="1" si="3"/>
        <v>29828.927659438694</v>
      </c>
      <c r="H27" s="696">
        <f t="shared" si="3"/>
        <v>292494.47077748942</v>
      </c>
      <c r="I27" s="696">
        <f t="shared" si="3"/>
        <v>47273.590078571251</v>
      </c>
      <c r="J27" s="696">
        <f t="shared" si="3"/>
        <v>0</v>
      </c>
      <c r="K27" s="696">
        <f t="shared" si="3"/>
        <v>87.593941729515151</v>
      </c>
      <c r="L27" s="696">
        <f t="shared" si="3"/>
        <v>0</v>
      </c>
      <c r="M27" s="696">
        <f t="shared" ca="1" si="3"/>
        <v>0</v>
      </c>
      <c r="N27" s="696">
        <f t="shared" si="3"/>
        <v>15358.391934122419</v>
      </c>
      <c r="O27" s="696">
        <f t="shared" ca="1" si="3"/>
        <v>17086.512571957373</v>
      </c>
      <c r="P27" s="696">
        <f t="shared" si="3"/>
        <v>85.983333333333334</v>
      </c>
      <c r="Q27" s="696">
        <f t="shared" si="3"/>
        <v>209.73333333333335</v>
      </c>
      <c r="R27" s="696">
        <f t="shared" ca="1" si="3"/>
        <v>979439.92024613754</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19240.720096516645</v>
      </c>
      <c r="D40" s="686">
        <f ca="1">tertiair!C20</f>
        <v>458.31932773109253</v>
      </c>
      <c r="E40" s="686">
        <f ca="1">tertiair!D20</f>
        <v>24440.16828977727</v>
      </c>
      <c r="F40" s="686">
        <f>tertiair!E20</f>
        <v>300.85073868788282</v>
      </c>
      <c r="G40" s="686">
        <f ca="1">tertiair!F20</f>
        <v>4406.0039350082043</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48846.062387721089</v>
      </c>
    </row>
    <row r="41" spans="1:18">
      <c r="A41" s="814" t="s">
        <v>224</v>
      </c>
      <c r="B41" s="821"/>
      <c r="C41" s="686">
        <f ca="1">huishoudens!B12</f>
        <v>12261.092030083073</v>
      </c>
      <c r="D41" s="686">
        <f ca="1">huishoudens!C12</f>
        <v>0</v>
      </c>
      <c r="E41" s="686">
        <f>huishoudens!D12</f>
        <v>42061.231720709831</v>
      </c>
      <c r="F41" s="686">
        <f>huishoudens!E12</f>
        <v>555.80022074221426</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54878.123971535118</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8904.7041274185121</v>
      </c>
      <c r="D43" s="686">
        <f ca="1">industrie!C22</f>
        <v>0</v>
      </c>
      <c r="E43" s="686">
        <f>industrie!D22</f>
        <v>3618.6176328439942</v>
      </c>
      <c r="F43" s="686">
        <f>industrie!E22</f>
        <v>575.4226467666607</v>
      </c>
      <c r="G43" s="686">
        <f>industrie!F22</f>
        <v>3511.801077918296</v>
      </c>
      <c r="H43" s="686">
        <f>industrie!G22</f>
        <v>0</v>
      </c>
      <c r="I43" s="686">
        <f>industrie!H22</f>
        <v>0</v>
      </c>
      <c r="J43" s="686">
        <f>industrie!I22</f>
        <v>0</v>
      </c>
      <c r="K43" s="686">
        <f>industrie!J22</f>
        <v>28.319918487381763</v>
      </c>
      <c r="L43" s="686">
        <f>industrie!K22</f>
        <v>0</v>
      </c>
      <c r="M43" s="686">
        <f>industrie!L22</f>
        <v>0</v>
      </c>
      <c r="N43" s="686">
        <f>industrie!M22</f>
        <v>0</v>
      </c>
      <c r="O43" s="686">
        <f>industrie!N22</f>
        <v>0</v>
      </c>
      <c r="P43" s="686">
        <f>industrie!O22</f>
        <v>0</v>
      </c>
      <c r="Q43" s="763">
        <f>industrie!P22</f>
        <v>0</v>
      </c>
      <c r="R43" s="841">
        <f t="shared" ca="1" si="4"/>
        <v>16638.865403434844</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40406.516254018228</v>
      </c>
      <c r="D46" s="721">
        <f t="shared" ref="D46:Q46" ca="1" si="5">SUM(D39:D45)</f>
        <v>458.31932773109253</v>
      </c>
      <c r="E46" s="721">
        <f t="shared" ca="1" si="5"/>
        <v>70120.017643331084</v>
      </c>
      <c r="F46" s="721">
        <f t="shared" si="5"/>
        <v>1432.0736061967577</v>
      </c>
      <c r="G46" s="721">
        <f t="shared" ca="1" si="5"/>
        <v>7917.8050129265002</v>
      </c>
      <c r="H46" s="721">
        <f t="shared" si="5"/>
        <v>0</v>
      </c>
      <c r="I46" s="721">
        <f t="shared" si="5"/>
        <v>0</v>
      </c>
      <c r="J46" s="721">
        <f t="shared" si="5"/>
        <v>0</v>
      </c>
      <c r="K46" s="721">
        <f t="shared" si="5"/>
        <v>28.319918487381763</v>
      </c>
      <c r="L46" s="721">
        <f t="shared" si="5"/>
        <v>0</v>
      </c>
      <c r="M46" s="721">
        <f t="shared" ca="1" si="5"/>
        <v>0</v>
      </c>
      <c r="N46" s="721">
        <f t="shared" si="5"/>
        <v>0</v>
      </c>
      <c r="O46" s="721">
        <f t="shared" ca="1" si="5"/>
        <v>0</v>
      </c>
      <c r="P46" s="721">
        <f t="shared" si="5"/>
        <v>0</v>
      </c>
      <c r="Q46" s="721">
        <f t="shared" si="5"/>
        <v>0</v>
      </c>
      <c r="R46" s="721">
        <f ca="1">SUM(R39:R45)</f>
        <v>120363.05176269106</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1239.9404959654403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1239.9404959654403</v>
      </c>
    </row>
    <row r="50" spans="1:18">
      <c r="A50" s="817" t="s">
        <v>306</v>
      </c>
      <c r="B50" s="827"/>
      <c r="C50" s="692">
        <f ca="1">transport!B18</f>
        <v>3.4821728283428164</v>
      </c>
      <c r="D50" s="692">
        <f>transport!C18</f>
        <v>0</v>
      </c>
      <c r="E50" s="692">
        <f>transport!D18</f>
        <v>5.0384780117570989</v>
      </c>
      <c r="F50" s="692">
        <f>transport!E18</f>
        <v>236.75456141964452</v>
      </c>
      <c r="G50" s="692">
        <f>transport!F18</f>
        <v>0</v>
      </c>
      <c r="H50" s="692">
        <f>transport!G18</f>
        <v>76856.083201624235</v>
      </c>
      <c r="I50" s="692">
        <f>transport!H18</f>
        <v>11771.123929564241</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88872.482343448224</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3.4821728283428164</v>
      </c>
      <c r="D52" s="721">
        <f t="shared" ref="D52:Q52" ca="1" si="6">SUM(D48:D51)</f>
        <v>0</v>
      </c>
      <c r="E52" s="721">
        <f t="shared" si="6"/>
        <v>5.0384780117570989</v>
      </c>
      <c r="F52" s="721">
        <f t="shared" si="6"/>
        <v>236.75456141964452</v>
      </c>
      <c r="G52" s="721">
        <f t="shared" si="6"/>
        <v>0</v>
      </c>
      <c r="H52" s="721">
        <f t="shared" si="6"/>
        <v>78096.02369758967</v>
      </c>
      <c r="I52" s="721">
        <f t="shared" si="6"/>
        <v>11771.123929564241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90112.422839413659</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10.892329595678076</v>
      </c>
      <c r="D54" s="692">
        <f ca="1">+landbouw!C12</f>
        <v>6.1109243697478997</v>
      </c>
      <c r="E54" s="692">
        <f>+landbouw!D12</f>
        <v>5.7929146671962108</v>
      </c>
      <c r="F54" s="692">
        <f>+landbouw!E12</f>
        <v>0.1444462336508045</v>
      </c>
      <c r="G54" s="692">
        <f>+landbouw!F12</f>
        <v>46.518672143631001</v>
      </c>
      <c r="H54" s="692">
        <f>+landbouw!G12</f>
        <v>0</v>
      </c>
      <c r="I54" s="692">
        <f>+landbouw!H12</f>
        <v>0</v>
      </c>
      <c r="J54" s="692">
        <f>+landbouw!I12</f>
        <v>0</v>
      </c>
      <c r="K54" s="692">
        <f>+landbouw!J12</f>
        <v>2.6883368848666009</v>
      </c>
      <c r="L54" s="692">
        <f>+landbouw!K12</f>
        <v>0</v>
      </c>
      <c r="M54" s="692">
        <f>+landbouw!L12</f>
        <v>0</v>
      </c>
      <c r="N54" s="692">
        <f>+landbouw!M12</f>
        <v>0</v>
      </c>
      <c r="O54" s="692">
        <f>+landbouw!N12</f>
        <v>0</v>
      </c>
      <c r="P54" s="692">
        <f>+landbouw!O12</f>
        <v>0</v>
      </c>
      <c r="Q54" s="693">
        <f>+landbouw!P12</f>
        <v>0</v>
      </c>
      <c r="R54" s="720">
        <f ca="1">SUM(C54:Q54)</f>
        <v>72.147623894770589</v>
      </c>
    </row>
    <row r="55" spans="1:18" ht="15" thickBot="1">
      <c r="A55" s="817" t="s">
        <v>856</v>
      </c>
      <c r="B55" s="827"/>
      <c r="C55" s="692">
        <f ca="1">C25*'EF ele_warmte'!B12</f>
        <v>3751.0728822663364</v>
      </c>
      <c r="D55" s="692"/>
      <c r="E55" s="692">
        <f>E25*EF_CO2_aardgas</f>
        <v>3180.269891169125</v>
      </c>
      <c r="F55" s="692"/>
      <c r="G55" s="692"/>
      <c r="H55" s="692"/>
      <c r="I55" s="692"/>
      <c r="J55" s="692"/>
      <c r="K55" s="692"/>
      <c r="L55" s="692"/>
      <c r="M55" s="692"/>
      <c r="N55" s="692"/>
      <c r="O55" s="692"/>
      <c r="P55" s="692"/>
      <c r="Q55" s="693"/>
      <c r="R55" s="720">
        <f ca="1">SUM(C55:Q55)</f>
        <v>6931.3427734354609</v>
      </c>
    </row>
    <row r="56" spans="1:18" ht="15.75" thickBot="1">
      <c r="A56" s="815" t="s">
        <v>857</v>
      </c>
      <c r="B56" s="828"/>
      <c r="C56" s="721">
        <f ca="1">SUM(C54:C55)</f>
        <v>3761.9652118620143</v>
      </c>
      <c r="D56" s="721">
        <f t="shared" ref="D56:Q56" ca="1" si="7">SUM(D54:D55)</f>
        <v>6.1109243697478997</v>
      </c>
      <c r="E56" s="721">
        <f t="shared" si="7"/>
        <v>3186.0628058363213</v>
      </c>
      <c r="F56" s="721">
        <f t="shared" si="7"/>
        <v>0.1444462336508045</v>
      </c>
      <c r="G56" s="721">
        <f t="shared" si="7"/>
        <v>46.518672143631001</v>
      </c>
      <c r="H56" s="721">
        <f t="shared" si="7"/>
        <v>0</v>
      </c>
      <c r="I56" s="721">
        <f t="shared" si="7"/>
        <v>0</v>
      </c>
      <c r="J56" s="721">
        <f t="shared" si="7"/>
        <v>0</v>
      </c>
      <c r="K56" s="721">
        <f t="shared" si="7"/>
        <v>2.6883368848666009</v>
      </c>
      <c r="L56" s="721">
        <f t="shared" si="7"/>
        <v>0</v>
      </c>
      <c r="M56" s="721">
        <f t="shared" si="7"/>
        <v>0</v>
      </c>
      <c r="N56" s="721">
        <f t="shared" si="7"/>
        <v>0</v>
      </c>
      <c r="O56" s="721">
        <f t="shared" si="7"/>
        <v>0</v>
      </c>
      <c r="P56" s="721">
        <f t="shared" si="7"/>
        <v>0</v>
      </c>
      <c r="Q56" s="722">
        <f t="shared" si="7"/>
        <v>0</v>
      </c>
      <c r="R56" s="723">
        <f ca="1">SUM(R54:R55)</f>
        <v>7003.4903973302316</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44171.963638708585</v>
      </c>
      <c r="D61" s="729">
        <f t="shared" ref="D61:Q61" ca="1" si="8">D46+D52+D56</f>
        <v>464.43025210084045</v>
      </c>
      <c r="E61" s="729">
        <f t="shared" ca="1" si="8"/>
        <v>73311.118927179166</v>
      </c>
      <c r="F61" s="729">
        <f t="shared" si="8"/>
        <v>1668.972613850053</v>
      </c>
      <c r="G61" s="729">
        <f t="shared" ca="1" si="8"/>
        <v>7964.3236850701314</v>
      </c>
      <c r="H61" s="729">
        <f t="shared" si="8"/>
        <v>78096.02369758967</v>
      </c>
      <c r="I61" s="729">
        <f t="shared" si="8"/>
        <v>11771.123929564241</v>
      </c>
      <c r="J61" s="729">
        <f t="shared" si="8"/>
        <v>0</v>
      </c>
      <c r="K61" s="729">
        <f t="shared" si="8"/>
        <v>31.008255372248364</v>
      </c>
      <c r="L61" s="729">
        <f t="shared" si="8"/>
        <v>0</v>
      </c>
      <c r="M61" s="729">
        <f t="shared" ca="1" si="8"/>
        <v>0</v>
      </c>
      <c r="N61" s="729">
        <f t="shared" si="8"/>
        <v>0</v>
      </c>
      <c r="O61" s="729">
        <f t="shared" ca="1" si="8"/>
        <v>0</v>
      </c>
      <c r="P61" s="729">
        <f t="shared" si="8"/>
        <v>0</v>
      </c>
      <c r="Q61" s="729">
        <f t="shared" si="8"/>
        <v>0</v>
      </c>
      <c r="R61" s="729">
        <f ca="1">R46+R52+R56</f>
        <v>217478.96499943495</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0.21570258791431282</v>
      </c>
      <c r="D63" s="772">
        <f t="shared" ca="1" si="9"/>
        <v>0.23764705882352946</v>
      </c>
      <c r="E63" s="998">
        <f t="shared" ca="1" si="9"/>
        <v>0.20199999999999999</v>
      </c>
      <c r="F63" s="772">
        <f t="shared" si="9"/>
        <v>0.22699999999999998</v>
      </c>
      <c r="G63" s="772">
        <f t="shared" ca="1" si="9"/>
        <v>0.26700000000000002</v>
      </c>
      <c r="H63" s="772">
        <f t="shared" si="9"/>
        <v>0.26699999999999996</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5011.7047262386377</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1368</v>
      </c>
      <c r="D76" s="1008">
        <f>'lokale energieproductie'!C8</f>
        <v>1609.4117647058822</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325.1011764705882</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5011.7047262386377</v>
      </c>
      <c r="C78" s="744">
        <f>SUM(C72:C77)</f>
        <v>1368</v>
      </c>
      <c r="D78" s="745">
        <f t="shared" ref="D78:H78" si="10">SUM(D76:D77)</f>
        <v>1609.4117647058822</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325.1011764705882</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1954.2857142857144</v>
      </c>
      <c r="D87" s="766">
        <f>'lokale energieproductie'!C17</f>
        <v>2299.1596638655465</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464.43025210084039</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1954.2857142857144</v>
      </c>
      <c r="D90" s="744">
        <f t="shared" ref="D90:H90" si="12">SUM(D87:D89)</f>
        <v>2299.1596638655465</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464.43025210084039</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56842.581948779189</v>
      </c>
      <c r="C4" s="458">
        <f>huishoudens!C8</f>
        <v>0</v>
      </c>
      <c r="D4" s="458">
        <f>huishoudens!D8</f>
        <v>208223.9194094546</v>
      </c>
      <c r="E4" s="458">
        <f>huishoudens!E8</f>
        <v>2448.4591222123977</v>
      </c>
      <c r="F4" s="458">
        <f>huishoudens!F8</f>
        <v>0</v>
      </c>
      <c r="G4" s="458">
        <f>huishoudens!G8</f>
        <v>0</v>
      </c>
      <c r="H4" s="458">
        <f>huishoudens!H8</f>
        <v>0</v>
      </c>
      <c r="I4" s="458">
        <f>huishoudens!I8</f>
        <v>0</v>
      </c>
      <c r="J4" s="458">
        <f>huishoudens!J8</f>
        <v>0</v>
      </c>
      <c r="K4" s="458">
        <f>huishoudens!K8</f>
        <v>0</v>
      </c>
      <c r="L4" s="458">
        <f>huishoudens!L8</f>
        <v>0</v>
      </c>
      <c r="M4" s="458">
        <f>huishoudens!M8</f>
        <v>0</v>
      </c>
      <c r="N4" s="458">
        <f>huishoudens!N8</f>
        <v>11242.825943516509</v>
      </c>
      <c r="O4" s="458">
        <f>huishoudens!O8</f>
        <v>85.983333333333334</v>
      </c>
      <c r="P4" s="459">
        <f>huishoudens!P8</f>
        <v>114.4</v>
      </c>
      <c r="Q4" s="460">
        <f>SUM(B4:P4)</f>
        <v>278958.16975729604</v>
      </c>
    </row>
    <row r="5" spans="1:17">
      <c r="A5" s="457" t="s">
        <v>155</v>
      </c>
      <c r="B5" s="458">
        <f ca="1">tertiair!B16</f>
        <v>86491.213202007915</v>
      </c>
      <c r="C5" s="458">
        <f ca="1">tertiair!C16</f>
        <v>1928.5714285714287</v>
      </c>
      <c r="D5" s="458">
        <f ca="1">tertiair!D16</f>
        <v>120990.93212761024</v>
      </c>
      <c r="E5" s="458">
        <f>tertiair!E16</f>
        <v>1325.3336506074133</v>
      </c>
      <c r="F5" s="458">
        <f ca="1">tertiair!F16</f>
        <v>16501.887397034472</v>
      </c>
      <c r="G5" s="458">
        <f>tertiair!G16</f>
        <v>0</v>
      </c>
      <c r="H5" s="458">
        <f>tertiair!H16</f>
        <v>0</v>
      </c>
      <c r="I5" s="458">
        <f>tertiair!I16</f>
        <v>0</v>
      </c>
      <c r="J5" s="458">
        <f>tertiair!J16</f>
        <v>0</v>
      </c>
      <c r="K5" s="458">
        <f>tertiair!K16</f>
        <v>0</v>
      </c>
      <c r="L5" s="458">
        <f ca="1">tertiair!L16</f>
        <v>0</v>
      </c>
      <c r="M5" s="458">
        <f>tertiair!M16</f>
        <v>0</v>
      </c>
      <c r="N5" s="458">
        <f ca="1">tertiair!N16</f>
        <v>3253.7332860755769</v>
      </c>
      <c r="O5" s="458">
        <f>tertiair!O16</f>
        <v>0</v>
      </c>
      <c r="P5" s="459">
        <f>tertiair!P16</f>
        <v>95.333333333333343</v>
      </c>
      <c r="Q5" s="457">
        <f t="shared" ref="Q5:Q14" ca="1" si="0">SUM(B5:P5)</f>
        <v>230587.00442524042</v>
      </c>
    </row>
    <row r="6" spans="1:17">
      <c r="A6" s="457" t="s">
        <v>193</v>
      </c>
      <c r="B6" s="458">
        <f>'openbare verlichting'!B8</f>
        <v>2709.0151427719002</v>
      </c>
      <c r="C6" s="458"/>
      <c r="D6" s="458"/>
      <c r="E6" s="458"/>
      <c r="F6" s="458"/>
      <c r="G6" s="458"/>
      <c r="H6" s="458"/>
      <c r="I6" s="458"/>
      <c r="J6" s="458"/>
      <c r="K6" s="458"/>
      <c r="L6" s="458"/>
      <c r="M6" s="458"/>
      <c r="N6" s="458"/>
      <c r="O6" s="458"/>
      <c r="P6" s="459"/>
      <c r="Q6" s="457">
        <f t="shared" si="0"/>
        <v>2709.0151427719002</v>
      </c>
    </row>
    <row r="7" spans="1:17">
      <c r="A7" s="457" t="s">
        <v>111</v>
      </c>
      <c r="B7" s="458">
        <f>landbouw!B8</f>
        <v>50.4969815197814</v>
      </c>
      <c r="C7" s="458">
        <f>landbouw!C8</f>
        <v>25.714285714285715</v>
      </c>
      <c r="D7" s="458">
        <f>landbouw!D8</f>
        <v>28.677795382159459</v>
      </c>
      <c r="E7" s="458">
        <f>landbouw!E8</f>
        <v>0.63632702048812551</v>
      </c>
      <c r="F7" s="458">
        <f>landbouw!F8</f>
        <v>174.22723649299999</v>
      </c>
      <c r="G7" s="458">
        <f>landbouw!G8</f>
        <v>0</v>
      </c>
      <c r="H7" s="458">
        <f>landbouw!H8</f>
        <v>0</v>
      </c>
      <c r="I7" s="458">
        <f>landbouw!I8</f>
        <v>0</v>
      </c>
      <c r="J7" s="458">
        <f>landbouw!J8</f>
        <v>7.5941719911485901</v>
      </c>
      <c r="K7" s="458">
        <f>landbouw!K8</f>
        <v>0</v>
      </c>
      <c r="L7" s="458">
        <f>landbouw!L8</f>
        <v>0</v>
      </c>
      <c r="M7" s="458">
        <f>landbouw!M8</f>
        <v>0</v>
      </c>
      <c r="N7" s="458">
        <f>landbouw!N8</f>
        <v>0</v>
      </c>
      <c r="O7" s="458">
        <f>landbouw!O8</f>
        <v>0</v>
      </c>
      <c r="P7" s="459">
        <f>landbouw!P8</f>
        <v>0</v>
      </c>
      <c r="Q7" s="457">
        <f t="shared" si="0"/>
        <v>287.3467981208633</v>
      </c>
    </row>
    <row r="8" spans="1:17">
      <c r="A8" s="457" t="s">
        <v>655</v>
      </c>
      <c r="B8" s="458">
        <f>industrie!B18</f>
        <v>41282.324025504407</v>
      </c>
      <c r="C8" s="458">
        <f>industrie!C18</f>
        <v>0</v>
      </c>
      <c r="D8" s="458">
        <f>industrie!D18</f>
        <v>17913.948677445514</v>
      </c>
      <c r="E8" s="458">
        <f>industrie!E18</f>
        <v>2534.9015276064347</v>
      </c>
      <c r="F8" s="458">
        <f>industrie!F18</f>
        <v>13152.81302591122</v>
      </c>
      <c r="G8" s="458">
        <f>industrie!G18</f>
        <v>0</v>
      </c>
      <c r="H8" s="458">
        <f>industrie!H18</f>
        <v>0</v>
      </c>
      <c r="I8" s="458">
        <f>industrie!I18</f>
        <v>0</v>
      </c>
      <c r="J8" s="458">
        <f>industrie!J18</f>
        <v>79.999769738366567</v>
      </c>
      <c r="K8" s="458">
        <f>industrie!K18</f>
        <v>0</v>
      </c>
      <c r="L8" s="458">
        <f>industrie!L18</f>
        <v>0</v>
      </c>
      <c r="M8" s="458">
        <f>industrie!M18</f>
        <v>0</v>
      </c>
      <c r="N8" s="458">
        <f>industrie!N18</f>
        <v>2589.9533423652865</v>
      </c>
      <c r="O8" s="458">
        <f>industrie!O18</f>
        <v>0</v>
      </c>
      <c r="P8" s="459">
        <f>industrie!P18</f>
        <v>0</v>
      </c>
      <c r="Q8" s="457">
        <f t="shared" si="0"/>
        <v>77553.940368571231</v>
      </c>
    </row>
    <row r="9" spans="1:17" s="463" customFormat="1">
      <c r="A9" s="461" t="s">
        <v>573</v>
      </c>
      <c r="B9" s="462">
        <f>transport!B14</f>
        <v>16.143398472929306</v>
      </c>
      <c r="C9" s="462">
        <f>transport!C14</f>
        <v>0</v>
      </c>
      <c r="D9" s="462">
        <f>transport!D14</f>
        <v>24.942960454243064</v>
      </c>
      <c r="E9" s="462">
        <f>transport!E14</f>
        <v>1042.9716362098877</v>
      </c>
      <c r="F9" s="462">
        <f>transport!F14</f>
        <v>0</v>
      </c>
      <c r="G9" s="462">
        <f>transport!G14</f>
        <v>287850.49888248777</v>
      </c>
      <c r="H9" s="462">
        <f>transport!H14</f>
        <v>47273.590078571251</v>
      </c>
      <c r="I9" s="462">
        <f>transport!I14</f>
        <v>0</v>
      </c>
      <c r="J9" s="462">
        <f>transport!J14</f>
        <v>0</v>
      </c>
      <c r="K9" s="462">
        <f>transport!K14</f>
        <v>0</v>
      </c>
      <c r="L9" s="462">
        <f>transport!L14</f>
        <v>0</v>
      </c>
      <c r="M9" s="462">
        <f>transport!M14</f>
        <v>15151.684903154244</v>
      </c>
      <c r="N9" s="462">
        <f>transport!N14</f>
        <v>0</v>
      </c>
      <c r="O9" s="462">
        <f>transport!O14</f>
        <v>0</v>
      </c>
      <c r="P9" s="462">
        <f>transport!P14</f>
        <v>0</v>
      </c>
      <c r="Q9" s="461">
        <f>SUM(B9:P9)</f>
        <v>351359.83185935032</v>
      </c>
    </row>
    <row r="10" spans="1:17">
      <c r="A10" s="457" t="s">
        <v>563</v>
      </c>
      <c r="B10" s="458">
        <f>transport!B54</f>
        <v>0</v>
      </c>
      <c r="C10" s="458">
        <f>transport!C54</f>
        <v>0</v>
      </c>
      <c r="D10" s="458">
        <f>transport!D54</f>
        <v>0</v>
      </c>
      <c r="E10" s="458">
        <f>transport!E54</f>
        <v>0</v>
      </c>
      <c r="F10" s="458">
        <f>transport!F54</f>
        <v>0</v>
      </c>
      <c r="G10" s="458">
        <f>transport!G54</f>
        <v>4643.9718950016486</v>
      </c>
      <c r="H10" s="458">
        <f>transport!H54</f>
        <v>0</v>
      </c>
      <c r="I10" s="458">
        <f>transport!I54</f>
        <v>0</v>
      </c>
      <c r="J10" s="458">
        <f>transport!J54</f>
        <v>0</v>
      </c>
      <c r="K10" s="458">
        <f>transport!K54</f>
        <v>0</v>
      </c>
      <c r="L10" s="458">
        <f>transport!L54</f>
        <v>0</v>
      </c>
      <c r="M10" s="458">
        <f>transport!M54</f>
        <v>206.70703096817493</v>
      </c>
      <c r="N10" s="458">
        <f>transport!N54</f>
        <v>0</v>
      </c>
      <c r="O10" s="458">
        <f>transport!O54</f>
        <v>0</v>
      </c>
      <c r="P10" s="459">
        <f>transport!P54</f>
        <v>0</v>
      </c>
      <c r="Q10" s="457">
        <f t="shared" si="0"/>
        <v>4850.6789259698235</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17390.022616494702</v>
      </c>
      <c r="C14" s="465"/>
      <c r="D14" s="465">
        <f>'SEAP template'!E25</f>
        <v>15743.9103523224</v>
      </c>
      <c r="E14" s="465"/>
      <c r="F14" s="465"/>
      <c r="G14" s="465"/>
      <c r="H14" s="465"/>
      <c r="I14" s="465"/>
      <c r="J14" s="465"/>
      <c r="K14" s="465"/>
      <c r="L14" s="465"/>
      <c r="M14" s="465"/>
      <c r="N14" s="465"/>
      <c r="O14" s="465"/>
      <c r="P14" s="466"/>
      <c r="Q14" s="457">
        <f t="shared" si="0"/>
        <v>33133.932968817098</v>
      </c>
    </row>
    <row r="15" spans="1:17" s="470" customFormat="1">
      <c r="A15" s="467" t="s">
        <v>567</v>
      </c>
      <c r="B15" s="468">
        <f ca="1">SUM(B4:B14)</f>
        <v>204781.79731555082</v>
      </c>
      <c r="C15" s="468">
        <f t="shared" ref="C15:Q15" ca="1" si="1">SUM(C4:C14)</f>
        <v>1954.2857142857144</v>
      </c>
      <c r="D15" s="468">
        <f t="shared" ca="1" si="1"/>
        <v>362926.33132266917</v>
      </c>
      <c r="E15" s="468">
        <f t="shared" si="1"/>
        <v>7352.302263656622</v>
      </c>
      <c r="F15" s="468">
        <f t="shared" ca="1" si="1"/>
        <v>29828.92765943869</v>
      </c>
      <c r="G15" s="468">
        <f t="shared" si="1"/>
        <v>292494.47077748942</v>
      </c>
      <c r="H15" s="468">
        <f t="shared" si="1"/>
        <v>47273.590078571251</v>
      </c>
      <c r="I15" s="468">
        <f t="shared" si="1"/>
        <v>0</v>
      </c>
      <c r="J15" s="468">
        <f t="shared" si="1"/>
        <v>87.593941729515151</v>
      </c>
      <c r="K15" s="468">
        <f t="shared" si="1"/>
        <v>0</v>
      </c>
      <c r="L15" s="468">
        <f t="shared" ca="1" si="1"/>
        <v>0</v>
      </c>
      <c r="M15" s="468">
        <f t="shared" si="1"/>
        <v>15358.391934122419</v>
      </c>
      <c r="N15" s="468">
        <f t="shared" ca="1" si="1"/>
        <v>17086.512571957373</v>
      </c>
      <c r="O15" s="468">
        <f t="shared" si="1"/>
        <v>85.983333333333334</v>
      </c>
      <c r="P15" s="468">
        <f t="shared" si="1"/>
        <v>209.73333333333335</v>
      </c>
      <c r="Q15" s="468">
        <f t="shared" ca="1" si="1"/>
        <v>979439.92024613766</v>
      </c>
    </row>
    <row r="17" spans="1:17">
      <c r="A17" s="471" t="s">
        <v>568</v>
      </c>
      <c r="B17" s="777">
        <f ca="1">huishoudens!B10</f>
        <v>0.21570258791431279</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12261.092030083073</v>
      </c>
      <c r="C22" s="458">
        <f t="shared" ref="C22:C32" ca="1" si="3">C4*$C$17</f>
        <v>0</v>
      </c>
      <c r="D22" s="458">
        <f t="shared" ref="D22:D32" si="4">D4*$D$17</f>
        <v>42061.231720709831</v>
      </c>
      <c r="E22" s="458">
        <f t="shared" ref="E22:E32" si="5">E4*$E$17</f>
        <v>555.80022074221426</v>
      </c>
      <c r="F22" s="458">
        <f t="shared" ref="F22:F32" si="6">F4*$F$17</f>
        <v>0</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54878.123971535118</v>
      </c>
    </row>
    <row r="23" spans="1:17">
      <c r="A23" s="457" t="s">
        <v>155</v>
      </c>
      <c r="B23" s="458">
        <f t="shared" ca="1" si="2"/>
        <v>18656.378519521684</v>
      </c>
      <c r="C23" s="458">
        <f t="shared" ca="1" si="3"/>
        <v>458.31932773109253</v>
      </c>
      <c r="D23" s="458">
        <f t="shared" ca="1" si="4"/>
        <v>24440.16828977727</v>
      </c>
      <c r="E23" s="458">
        <f t="shared" si="5"/>
        <v>300.85073868788282</v>
      </c>
      <c r="F23" s="458">
        <f t="shared" ca="1" si="6"/>
        <v>4406.0039350082043</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48261.720810726139</v>
      </c>
    </row>
    <row r="24" spans="1:17">
      <c r="A24" s="457" t="s">
        <v>193</v>
      </c>
      <c r="B24" s="458">
        <f t="shared" ca="1" si="2"/>
        <v>584.34157699496041</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584.34157699496041</v>
      </c>
    </row>
    <row r="25" spans="1:17">
      <c r="A25" s="457" t="s">
        <v>111</v>
      </c>
      <c r="B25" s="458">
        <f t="shared" ca="1" si="2"/>
        <v>10.892329595678076</v>
      </c>
      <c r="C25" s="458">
        <f t="shared" ca="1" si="3"/>
        <v>6.1109243697478997</v>
      </c>
      <c r="D25" s="458">
        <f t="shared" si="4"/>
        <v>5.7929146671962108</v>
      </c>
      <c r="E25" s="458">
        <f t="shared" si="5"/>
        <v>0.1444462336508045</v>
      </c>
      <c r="F25" s="458">
        <f t="shared" si="6"/>
        <v>46.518672143631001</v>
      </c>
      <c r="G25" s="458">
        <f t="shared" si="7"/>
        <v>0</v>
      </c>
      <c r="H25" s="458">
        <f t="shared" si="8"/>
        <v>0</v>
      </c>
      <c r="I25" s="458">
        <f t="shared" si="9"/>
        <v>0</v>
      </c>
      <c r="J25" s="458">
        <f t="shared" si="10"/>
        <v>2.6883368848666009</v>
      </c>
      <c r="K25" s="458">
        <f t="shared" si="11"/>
        <v>0</v>
      </c>
      <c r="L25" s="458">
        <f t="shared" si="12"/>
        <v>0</v>
      </c>
      <c r="M25" s="458">
        <f t="shared" si="13"/>
        <v>0</v>
      </c>
      <c r="N25" s="458">
        <f t="shared" si="14"/>
        <v>0</v>
      </c>
      <c r="O25" s="458">
        <f t="shared" si="15"/>
        <v>0</v>
      </c>
      <c r="P25" s="459">
        <f t="shared" si="16"/>
        <v>0</v>
      </c>
      <c r="Q25" s="457">
        <f t="shared" ca="1" si="17"/>
        <v>72.147623894770589</v>
      </c>
    </row>
    <row r="26" spans="1:17">
      <c r="A26" s="457" t="s">
        <v>655</v>
      </c>
      <c r="B26" s="458">
        <f t="shared" ca="1" si="2"/>
        <v>8904.7041274185121</v>
      </c>
      <c r="C26" s="458">
        <f t="shared" ca="1" si="3"/>
        <v>0</v>
      </c>
      <c r="D26" s="458">
        <f t="shared" si="4"/>
        <v>3618.6176328439942</v>
      </c>
      <c r="E26" s="458">
        <f t="shared" si="5"/>
        <v>575.4226467666607</v>
      </c>
      <c r="F26" s="458">
        <f t="shared" si="6"/>
        <v>3511.801077918296</v>
      </c>
      <c r="G26" s="458">
        <f t="shared" si="7"/>
        <v>0</v>
      </c>
      <c r="H26" s="458">
        <f t="shared" si="8"/>
        <v>0</v>
      </c>
      <c r="I26" s="458">
        <f t="shared" si="9"/>
        <v>0</v>
      </c>
      <c r="J26" s="458">
        <f t="shared" si="10"/>
        <v>28.319918487381763</v>
      </c>
      <c r="K26" s="458">
        <f t="shared" si="11"/>
        <v>0</v>
      </c>
      <c r="L26" s="458">
        <f t="shared" si="12"/>
        <v>0</v>
      </c>
      <c r="M26" s="458">
        <f t="shared" si="13"/>
        <v>0</v>
      </c>
      <c r="N26" s="458">
        <f t="shared" si="14"/>
        <v>0</v>
      </c>
      <c r="O26" s="458">
        <f t="shared" si="15"/>
        <v>0</v>
      </c>
      <c r="P26" s="459">
        <f t="shared" si="16"/>
        <v>0</v>
      </c>
      <c r="Q26" s="457">
        <f t="shared" ca="1" si="17"/>
        <v>16638.865403434844</v>
      </c>
    </row>
    <row r="27" spans="1:17" s="463" customFormat="1">
      <c r="A27" s="461" t="s">
        <v>573</v>
      </c>
      <c r="B27" s="771">
        <f t="shared" ca="1" si="2"/>
        <v>3.4821728283428164</v>
      </c>
      <c r="C27" s="462">
        <f t="shared" ca="1" si="3"/>
        <v>0</v>
      </c>
      <c r="D27" s="462">
        <f t="shared" si="4"/>
        <v>5.0384780117570989</v>
      </c>
      <c r="E27" s="462">
        <f t="shared" si="5"/>
        <v>236.75456141964452</v>
      </c>
      <c r="F27" s="462">
        <f t="shared" si="6"/>
        <v>0</v>
      </c>
      <c r="G27" s="462">
        <f t="shared" si="7"/>
        <v>76856.083201624235</v>
      </c>
      <c r="H27" s="462">
        <f t="shared" si="8"/>
        <v>11771.123929564241</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88872.482343448224</v>
      </c>
    </row>
    <row r="28" spans="1:17">
      <c r="A28" s="457" t="s">
        <v>563</v>
      </c>
      <c r="B28" s="458">
        <f t="shared" ca="1" si="2"/>
        <v>0</v>
      </c>
      <c r="C28" s="458">
        <f t="shared" ca="1" si="3"/>
        <v>0</v>
      </c>
      <c r="D28" s="458">
        <f t="shared" si="4"/>
        <v>0</v>
      </c>
      <c r="E28" s="458">
        <f t="shared" si="5"/>
        <v>0</v>
      </c>
      <c r="F28" s="458">
        <f t="shared" si="6"/>
        <v>0</v>
      </c>
      <c r="G28" s="458">
        <f t="shared" si="7"/>
        <v>1239.9404959654403</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1239.9404959654403</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3751.0728822663364</v>
      </c>
      <c r="C32" s="458">
        <f t="shared" ca="1" si="3"/>
        <v>0</v>
      </c>
      <c r="D32" s="458">
        <f t="shared" si="4"/>
        <v>3180.269891169125</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6931.3427734354609</v>
      </c>
    </row>
    <row r="33" spans="1:17" s="470" customFormat="1">
      <c r="A33" s="467" t="s">
        <v>567</v>
      </c>
      <c r="B33" s="468">
        <f ca="1">SUM(B22:B32)</f>
        <v>44171.963638708585</v>
      </c>
      <c r="C33" s="468">
        <f t="shared" ref="C33:Q33" ca="1" si="18">SUM(C22:C32)</f>
        <v>464.43025210084045</v>
      </c>
      <c r="D33" s="468">
        <f t="shared" ca="1" si="18"/>
        <v>73311.118927179166</v>
      </c>
      <c r="E33" s="468">
        <f t="shared" si="18"/>
        <v>1668.972613850053</v>
      </c>
      <c r="F33" s="468">
        <f t="shared" ca="1" si="18"/>
        <v>7964.3236850701314</v>
      </c>
      <c r="G33" s="468">
        <f t="shared" si="18"/>
        <v>78096.02369758967</v>
      </c>
      <c r="H33" s="468">
        <f t="shared" si="18"/>
        <v>11771.123929564241</v>
      </c>
      <c r="I33" s="468">
        <f t="shared" si="18"/>
        <v>0</v>
      </c>
      <c r="J33" s="468">
        <f t="shared" si="18"/>
        <v>31.008255372248364</v>
      </c>
      <c r="K33" s="468">
        <f t="shared" si="18"/>
        <v>0</v>
      </c>
      <c r="L33" s="468">
        <f t="shared" ca="1" si="18"/>
        <v>0</v>
      </c>
      <c r="M33" s="468">
        <f t="shared" si="18"/>
        <v>0</v>
      </c>
      <c r="N33" s="468">
        <f t="shared" ca="1" si="18"/>
        <v>0</v>
      </c>
      <c r="O33" s="468">
        <f t="shared" si="18"/>
        <v>0</v>
      </c>
      <c r="P33" s="468">
        <f t="shared" si="18"/>
        <v>0</v>
      </c>
      <c r="Q33" s="468">
        <f t="shared" ca="1" si="18"/>
        <v>217478.96499943497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5011.7047262386377</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1368</v>
      </c>
      <c r="D8" s="1034">
        <f>'SEAP template'!D76</f>
        <v>1609.4117647058822</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325.1011764705882</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5011.7047262386377</v>
      </c>
      <c r="C10" s="1038">
        <f>SUM(C4:C9)</f>
        <v>1368</v>
      </c>
      <c r="D10" s="1038">
        <f t="shared" ref="D10:H10" si="0">SUM(D8:D9)</f>
        <v>1609.4117647058822</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325.1011764705882</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0.21570258791431279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1954.2857142857144</v>
      </c>
      <c r="D17" s="1035">
        <f>'SEAP template'!D87</f>
        <v>2299.1596638655465</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464.43025210084039</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1954.2857142857144</v>
      </c>
      <c r="D20" s="1038">
        <f t="shared" ref="D20:H20" si="2">SUM(D17:D19)</f>
        <v>2299.1596638655465</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464.43025210084039</v>
      </c>
    </row>
    <row r="22" spans="1:16">
      <c r="A22" s="471" t="s">
        <v>879</v>
      </c>
      <c r="B22" s="777" t="s">
        <v>873</v>
      </c>
      <c r="C22" s="77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0.21570258791431279</v>
      </c>
      <c r="C17" s="508">
        <f ca="1">'EF ele_warmte'!B22</f>
        <v>0.23764705882352943</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0.21570258791431279</v>
      </c>
      <c r="C17" s="508">
        <f ca="1">'EF ele_warmte'!B22</f>
        <v>0.23764705882352943</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0.21570258791431279</v>
      </c>
      <c r="C29" s="509">
        <f ca="1">'EF ele_warmte'!B22</f>
        <v>0.23764705882352943</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16288</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422</v>
      </c>
      <c r="C14" s="332"/>
      <c r="D14" s="332"/>
      <c r="E14" s="332"/>
      <c r="F14" s="332"/>
    </row>
    <row r="15" spans="1:6">
      <c r="A15" s="1306" t="s">
        <v>183</v>
      </c>
      <c r="B15" s="1307">
        <v>0</v>
      </c>
      <c r="C15" s="332"/>
      <c r="D15" s="332"/>
      <c r="E15" s="332"/>
      <c r="F15" s="332"/>
    </row>
    <row r="16" spans="1:6">
      <c r="A16" s="1306" t="s">
        <v>6</v>
      </c>
      <c r="B16" s="1307">
        <v>0</v>
      </c>
      <c r="C16" s="332"/>
      <c r="D16" s="332"/>
      <c r="E16" s="332"/>
      <c r="F16" s="332"/>
    </row>
    <row r="17" spans="1:6">
      <c r="A17" s="1306" t="s">
        <v>7</v>
      </c>
      <c r="B17" s="1307">
        <v>16</v>
      </c>
      <c r="C17" s="332"/>
      <c r="D17" s="332"/>
      <c r="E17" s="332"/>
      <c r="F17" s="332"/>
    </row>
    <row r="18" spans="1:6">
      <c r="A18" s="1306" t="s">
        <v>8</v>
      </c>
      <c r="B18" s="1307">
        <v>24</v>
      </c>
      <c r="C18" s="332"/>
      <c r="D18" s="332"/>
      <c r="E18" s="332"/>
      <c r="F18" s="332"/>
    </row>
    <row r="19" spans="1:6">
      <c r="A19" s="1306" t="s">
        <v>9</v>
      </c>
      <c r="B19" s="1307">
        <v>5</v>
      </c>
      <c r="C19" s="332"/>
      <c r="D19" s="332"/>
      <c r="E19" s="332"/>
      <c r="F19" s="332"/>
    </row>
    <row r="20" spans="1:6">
      <c r="A20" s="1306" t="s">
        <v>10</v>
      </c>
      <c r="B20" s="1307">
        <v>12</v>
      </c>
      <c r="C20" s="332"/>
      <c r="D20" s="332"/>
      <c r="E20" s="332"/>
      <c r="F20" s="332"/>
    </row>
    <row r="21" spans="1:6">
      <c r="A21" s="1306" t="s">
        <v>11</v>
      </c>
      <c r="B21" s="1307">
        <v>0</v>
      </c>
      <c r="C21" s="332"/>
      <c r="D21" s="332"/>
      <c r="E21" s="332"/>
      <c r="F21" s="332"/>
    </row>
    <row r="22" spans="1:6">
      <c r="A22" s="1306" t="s">
        <v>12</v>
      </c>
      <c r="B22" s="1307">
        <v>4</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1</v>
      </c>
      <c r="C25" s="332"/>
      <c r="D25" s="332"/>
      <c r="E25" s="332"/>
      <c r="F25" s="332"/>
    </row>
    <row r="26" spans="1:6">
      <c r="A26" s="1306" t="s">
        <v>16</v>
      </c>
      <c r="B26" s="1307">
        <v>84</v>
      </c>
      <c r="C26" s="332"/>
      <c r="D26" s="332"/>
      <c r="E26" s="332"/>
      <c r="F26" s="332"/>
    </row>
    <row r="27" spans="1:6">
      <c r="A27" s="1306" t="s">
        <v>17</v>
      </c>
      <c r="B27" s="1307">
        <v>8</v>
      </c>
      <c r="C27" s="332"/>
      <c r="D27" s="332"/>
      <c r="E27" s="332"/>
      <c r="F27" s="332"/>
    </row>
    <row r="28" spans="1:6" s="43" customFormat="1">
      <c r="A28" s="1308" t="s">
        <v>18</v>
      </c>
      <c r="B28" s="1309">
        <v>45</v>
      </c>
      <c r="C28" s="338"/>
      <c r="D28" s="338"/>
      <c r="E28" s="338"/>
      <c r="F28" s="338"/>
    </row>
    <row r="29" spans="1:6">
      <c r="A29" s="1308" t="s">
        <v>916</v>
      </c>
      <c r="B29" s="1309">
        <v>21</v>
      </c>
      <c r="C29" s="338"/>
      <c r="D29" s="338"/>
      <c r="E29" s="338"/>
      <c r="F29" s="338"/>
    </row>
    <row r="30" spans="1:6">
      <c r="A30" s="1301" t="s">
        <v>917</v>
      </c>
      <c r="B30" s="1310">
        <v>6</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4</v>
      </c>
      <c r="D36" s="1307">
        <v>47109.764045501499</v>
      </c>
      <c r="E36" s="1307">
        <v>7</v>
      </c>
      <c r="F36" s="1307">
        <v>25399.9021045794</v>
      </c>
    </row>
    <row r="37" spans="1:6">
      <c r="A37" s="1306" t="s">
        <v>24</v>
      </c>
      <c r="B37" s="1306" t="s">
        <v>27</v>
      </c>
      <c r="C37" s="1307">
        <v>0</v>
      </c>
      <c r="D37" s="1307">
        <v>0</v>
      </c>
      <c r="E37" s="1307">
        <v>0</v>
      </c>
      <c r="F37" s="1307">
        <v>0</v>
      </c>
    </row>
    <row r="38" spans="1:6">
      <c r="A38" s="1306" t="s">
        <v>24</v>
      </c>
      <c r="B38" s="1306" t="s">
        <v>28</v>
      </c>
      <c r="C38" s="1307">
        <v>2</v>
      </c>
      <c r="D38" s="1307">
        <v>259248.95369353</v>
      </c>
      <c r="E38" s="1307">
        <v>5</v>
      </c>
      <c r="F38" s="1307">
        <v>40324.716660960003</v>
      </c>
    </row>
    <row r="39" spans="1:6">
      <c r="A39" s="1306" t="s">
        <v>29</v>
      </c>
      <c r="B39" s="1306" t="s">
        <v>30</v>
      </c>
      <c r="C39" s="1307">
        <v>13946</v>
      </c>
      <c r="D39" s="1307">
        <v>230846917.30538201</v>
      </c>
      <c r="E39" s="1307">
        <v>16542</v>
      </c>
      <c r="F39" s="1307">
        <v>55047790.002911702</v>
      </c>
    </row>
    <row r="40" spans="1:6">
      <c r="A40" s="1306" t="s">
        <v>29</v>
      </c>
      <c r="B40" s="1306" t="s">
        <v>28</v>
      </c>
      <c r="C40" s="1307">
        <v>0</v>
      </c>
      <c r="D40" s="1307">
        <v>0</v>
      </c>
      <c r="E40" s="1307">
        <v>0</v>
      </c>
      <c r="F40" s="1307">
        <v>0</v>
      </c>
    </row>
    <row r="41" spans="1:6">
      <c r="A41" s="1306" t="s">
        <v>31</v>
      </c>
      <c r="B41" s="1306" t="s">
        <v>32</v>
      </c>
      <c r="C41" s="1307">
        <v>92</v>
      </c>
      <c r="D41" s="1307">
        <v>4884531.2079915702</v>
      </c>
      <c r="E41" s="1307">
        <v>176</v>
      </c>
      <c r="F41" s="1307">
        <v>1919230.66115436</v>
      </c>
    </row>
    <row r="42" spans="1:6">
      <c r="A42" s="1306" t="s">
        <v>31</v>
      </c>
      <c r="B42" s="1306" t="s">
        <v>33</v>
      </c>
      <c r="C42" s="1307">
        <v>6</v>
      </c>
      <c r="D42" s="1307">
        <v>7356354.2198858401</v>
      </c>
      <c r="E42" s="1307">
        <v>5</v>
      </c>
      <c r="F42" s="1307">
        <v>4524676.77782337</v>
      </c>
    </row>
    <row r="43" spans="1:6">
      <c r="A43" s="1306" t="s">
        <v>31</v>
      </c>
      <c r="B43" s="1306" t="s">
        <v>34</v>
      </c>
      <c r="C43" s="1307">
        <v>0</v>
      </c>
      <c r="D43" s="1307">
        <v>0</v>
      </c>
      <c r="E43" s="1307">
        <v>0</v>
      </c>
      <c r="F43" s="1307">
        <v>0</v>
      </c>
    </row>
    <row r="44" spans="1:6">
      <c r="A44" s="1306" t="s">
        <v>31</v>
      </c>
      <c r="B44" s="1306" t="s">
        <v>35</v>
      </c>
      <c r="C44" s="1307">
        <v>9</v>
      </c>
      <c r="D44" s="1307">
        <v>688218.69303337997</v>
      </c>
      <c r="E44" s="1307">
        <v>27</v>
      </c>
      <c r="F44" s="1307">
        <v>734349.98397185002</v>
      </c>
    </row>
    <row r="45" spans="1:6">
      <c r="A45" s="1306" t="s">
        <v>31</v>
      </c>
      <c r="B45" s="1306" t="s">
        <v>36</v>
      </c>
      <c r="C45" s="1307">
        <v>3</v>
      </c>
      <c r="D45" s="1307">
        <v>7841.5420084330999</v>
      </c>
      <c r="E45" s="1307">
        <v>4</v>
      </c>
      <c r="F45" s="1307">
        <v>12478.1238055658</v>
      </c>
    </row>
    <row r="46" spans="1:6">
      <c r="A46" s="1306" t="s">
        <v>31</v>
      </c>
      <c r="B46" s="1306" t="s">
        <v>37</v>
      </c>
      <c r="C46" s="1307">
        <v>0</v>
      </c>
      <c r="D46" s="1307">
        <v>0</v>
      </c>
      <c r="E46" s="1307">
        <v>0</v>
      </c>
      <c r="F46" s="1307">
        <v>0</v>
      </c>
    </row>
    <row r="47" spans="1:6">
      <c r="A47" s="1306" t="s">
        <v>31</v>
      </c>
      <c r="B47" s="1306" t="s">
        <v>38</v>
      </c>
      <c r="C47" s="1307">
        <v>5</v>
      </c>
      <c r="D47" s="1307">
        <v>83489.060855852003</v>
      </c>
      <c r="E47" s="1307">
        <v>7</v>
      </c>
      <c r="F47" s="1307">
        <v>61175.669827916601</v>
      </c>
    </row>
    <row r="48" spans="1:6">
      <c r="A48" s="1306" t="s">
        <v>31</v>
      </c>
      <c r="B48" s="1306" t="s">
        <v>28</v>
      </c>
      <c r="C48" s="1307">
        <v>33</v>
      </c>
      <c r="D48" s="1307">
        <v>6279739.4040233204</v>
      </c>
      <c r="E48" s="1307">
        <v>35</v>
      </c>
      <c r="F48" s="1307">
        <v>31171031.908431899</v>
      </c>
    </row>
    <row r="49" spans="1:6">
      <c r="A49" s="1306" t="s">
        <v>31</v>
      </c>
      <c r="B49" s="1306" t="s">
        <v>39</v>
      </c>
      <c r="C49" s="1307">
        <v>0</v>
      </c>
      <c r="D49" s="1307">
        <v>0</v>
      </c>
      <c r="E49" s="1307">
        <v>0</v>
      </c>
      <c r="F49" s="1307">
        <v>0</v>
      </c>
    </row>
    <row r="50" spans="1:6">
      <c r="A50" s="1306" t="s">
        <v>31</v>
      </c>
      <c r="B50" s="1306" t="s">
        <v>40</v>
      </c>
      <c r="C50" s="1307">
        <v>10</v>
      </c>
      <c r="D50" s="1307">
        <v>560079.394868467</v>
      </c>
      <c r="E50" s="1307">
        <v>20</v>
      </c>
      <c r="F50" s="1307">
        <v>2859380.90048945</v>
      </c>
    </row>
    <row r="51" spans="1:6">
      <c r="A51" s="1306" t="s">
        <v>41</v>
      </c>
      <c r="B51" s="1306" t="s">
        <v>42</v>
      </c>
      <c r="C51" s="1307">
        <v>0</v>
      </c>
      <c r="D51" s="1307">
        <v>0</v>
      </c>
      <c r="E51" s="1307">
        <v>3</v>
      </c>
      <c r="F51" s="1307">
        <v>5421.4109958778999</v>
      </c>
    </row>
    <row r="52" spans="1:6">
      <c r="A52" s="1306" t="s">
        <v>41</v>
      </c>
      <c r="B52" s="1306" t="s">
        <v>28</v>
      </c>
      <c r="C52" s="1307">
        <v>4</v>
      </c>
      <c r="D52" s="1307">
        <v>88809.719302362399</v>
      </c>
      <c r="E52" s="1307">
        <v>7</v>
      </c>
      <c r="F52" s="1307">
        <v>45075.570523903501</v>
      </c>
    </row>
    <row r="53" spans="1:6">
      <c r="A53" s="1306" t="s">
        <v>43</v>
      </c>
      <c r="B53" s="1306" t="s">
        <v>44</v>
      </c>
      <c r="C53" s="1307">
        <v>388</v>
      </c>
      <c r="D53" s="1307">
        <v>15743910.3523224</v>
      </c>
      <c r="E53" s="1307">
        <v>664</v>
      </c>
      <c r="F53" s="1307">
        <v>17390022.6164947</v>
      </c>
    </row>
    <row r="54" spans="1:6">
      <c r="A54" s="1306" t="s">
        <v>45</v>
      </c>
      <c r="B54" s="1306" t="s">
        <v>46</v>
      </c>
      <c r="C54" s="1307">
        <v>0</v>
      </c>
      <c r="D54" s="1307">
        <v>0</v>
      </c>
      <c r="E54" s="1307">
        <v>2</v>
      </c>
      <c r="F54" s="1307">
        <v>2709015.1427719002</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86</v>
      </c>
      <c r="D57" s="1307">
        <v>3995374.0725658401</v>
      </c>
      <c r="E57" s="1307">
        <v>144</v>
      </c>
      <c r="F57" s="1307">
        <v>2726887.2871608799</v>
      </c>
    </row>
    <row r="58" spans="1:6">
      <c r="A58" s="1306" t="s">
        <v>48</v>
      </c>
      <c r="B58" s="1306" t="s">
        <v>50</v>
      </c>
      <c r="C58" s="1307">
        <v>55</v>
      </c>
      <c r="D58" s="1307">
        <v>3496200.6381363398</v>
      </c>
      <c r="E58" s="1307">
        <v>77</v>
      </c>
      <c r="F58" s="1307">
        <v>1059793.5223489399</v>
      </c>
    </row>
    <row r="59" spans="1:6">
      <c r="A59" s="1306" t="s">
        <v>48</v>
      </c>
      <c r="B59" s="1306" t="s">
        <v>51</v>
      </c>
      <c r="C59" s="1307">
        <v>226</v>
      </c>
      <c r="D59" s="1307">
        <v>15166986.131431701</v>
      </c>
      <c r="E59" s="1307">
        <v>377</v>
      </c>
      <c r="F59" s="1307">
        <v>18201071.206236899</v>
      </c>
    </row>
    <row r="60" spans="1:6">
      <c r="A60" s="1306" t="s">
        <v>48</v>
      </c>
      <c r="B60" s="1306" t="s">
        <v>52</v>
      </c>
      <c r="C60" s="1307">
        <v>178</v>
      </c>
      <c r="D60" s="1307">
        <v>22351417.203300498</v>
      </c>
      <c r="E60" s="1307">
        <v>296</v>
      </c>
      <c r="F60" s="1307">
        <v>12890229.699387001</v>
      </c>
    </row>
    <row r="61" spans="1:6">
      <c r="A61" s="1306" t="s">
        <v>48</v>
      </c>
      <c r="B61" s="1306" t="s">
        <v>53</v>
      </c>
      <c r="C61" s="1307">
        <v>548</v>
      </c>
      <c r="D61" s="1307">
        <v>65354283.839547001</v>
      </c>
      <c r="E61" s="1307">
        <v>1030</v>
      </c>
      <c r="F61" s="1307">
        <v>32995213.792169102</v>
      </c>
    </row>
    <row r="62" spans="1:6">
      <c r="A62" s="1306" t="s">
        <v>48</v>
      </c>
      <c r="B62" s="1306" t="s">
        <v>54</v>
      </c>
      <c r="C62" s="1307">
        <v>3</v>
      </c>
      <c r="D62" s="1307">
        <v>124922.451913688</v>
      </c>
      <c r="E62" s="1307">
        <v>13</v>
      </c>
      <c r="F62" s="1307">
        <v>1288548.6164057001</v>
      </c>
    </row>
    <row r="63" spans="1:6">
      <c r="A63" s="1306" t="s">
        <v>48</v>
      </c>
      <c r="B63" s="1306" t="s">
        <v>28</v>
      </c>
      <c r="C63" s="1307">
        <v>130</v>
      </c>
      <c r="D63" s="1307">
        <v>27923315.646201499</v>
      </c>
      <c r="E63" s="1307">
        <v>114</v>
      </c>
      <c r="F63" s="1307">
        <v>15979469.078299399</v>
      </c>
    </row>
    <row r="64" spans="1:6">
      <c r="A64" s="1306" t="s">
        <v>55</v>
      </c>
      <c r="B64" s="1306" t="s">
        <v>56</v>
      </c>
      <c r="C64" s="1307">
        <v>0</v>
      </c>
      <c r="D64" s="1307">
        <v>0</v>
      </c>
      <c r="E64" s="1307">
        <v>0</v>
      </c>
      <c r="F64" s="1307">
        <v>0</v>
      </c>
    </row>
    <row r="65" spans="1:6">
      <c r="A65" s="1306" t="s">
        <v>55</v>
      </c>
      <c r="B65" s="1306" t="s">
        <v>28</v>
      </c>
      <c r="C65" s="1307">
        <v>6</v>
      </c>
      <c r="D65" s="1307">
        <v>1578667.6147994399</v>
      </c>
      <c r="E65" s="1307">
        <v>4</v>
      </c>
      <c r="F65" s="1307">
        <v>433170.09594099602</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8</v>
      </c>
      <c r="D68" s="1310">
        <v>533896.22273380996</v>
      </c>
      <c r="E68" s="1310">
        <v>26</v>
      </c>
      <c r="F68" s="1310">
        <v>1271427.23757605</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78271932</v>
      </c>
      <c r="E73" s="456"/>
      <c r="F73" s="332"/>
    </row>
    <row r="74" spans="1:6">
      <c r="A74" s="1306" t="s">
        <v>63</v>
      </c>
      <c r="B74" s="1306" t="s">
        <v>724</v>
      </c>
      <c r="C74" s="1320" t="s">
        <v>725</v>
      </c>
      <c r="D74" s="1321">
        <v>3574906.7091813437</v>
      </c>
      <c r="E74" s="456"/>
      <c r="F74" s="332"/>
    </row>
    <row r="75" spans="1:6">
      <c r="A75" s="1306" t="s">
        <v>64</v>
      </c>
      <c r="B75" s="1306" t="s">
        <v>722</v>
      </c>
      <c r="C75" s="1320" t="s">
        <v>726</v>
      </c>
      <c r="D75" s="1321">
        <v>23560519</v>
      </c>
      <c r="E75" s="456"/>
      <c r="F75" s="332"/>
    </row>
    <row r="76" spans="1:6">
      <c r="A76" s="1306" t="s">
        <v>64</v>
      </c>
      <c r="B76" s="1306" t="s">
        <v>724</v>
      </c>
      <c r="C76" s="1320" t="s">
        <v>727</v>
      </c>
      <c r="D76" s="1321">
        <v>138087.70918134367</v>
      </c>
      <c r="E76" s="456"/>
      <c r="F76" s="332"/>
    </row>
    <row r="77" spans="1:6">
      <c r="A77" s="1306" t="s">
        <v>65</v>
      </c>
      <c r="B77" s="1306" t="s">
        <v>722</v>
      </c>
      <c r="C77" s="1320" t="s">
        <v>728</v>
      </c>
      <c r="D77" s="1321">
        <v>272118339</v>
      </c>
      <c r="E77" s="456"/>
      <c r="F77" s="332"/>
    </row>
    <row r="78" spans="1:6">
      <c r="A78" s="1301" t="s">
        <v>65</v>
      </c>
      <c r="B78" s="1301" t="s">
        <v>724</v>
      </c>
      <c r="C78" s="1301" t="s">
        <v>729</v>
      </c>
      <c r="D78" s="1322">
        <v>33288884</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1283522.5816373127</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1794.7919458674874</v>
      </c>
      <c r="C91" s="332"/>
      <c r="D91" s="332"/>
      <c r="E91" s="332"/>
      <c r="F91" s="332"/>
    </row>
    <row r="92" spans="1:6">
      <c r="A92" s="1301" t="s">
        <v>68</v>
      </c>
      <c r="B92" s="1302">
        <v>3216.9127803711503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10093</v>
      </c>
      <c r="C97" s="332"/>
      <c r="D97" s="332"/>
      <c r="E97" s="332"/>
      <c r="F97" s="332"/>
    </row>
    <row r="98" spans="1:6">
      <c r="A98" s="1306" t="s">
        <v>71</v>
      </c>
      <c r="B98" s="1307">
        <v>9</v>
      </c>
      <c r="C98" s="332"/>
      <c r="D98" s="332"/>
      <c r="E98" s="332"/>
      <c r="F98" s="332"/>
    </row>
    <row r="99" spans="1:6">
      <c r="A99" s="1306" t="s">
        <v>72</v>
      </c>
      <c r="B99" s="1307">
        <v>41</v>
      </c>
      <c r="C99" s="332"/>
      <c r="D99" s="332"/>
      <c r="E99" s="332"/>
      <c r="F99" s="332"/>
    </row>
    <row r="100" spans="1:6">
      <c r="A100" s="1306" t="s">
        <v>73</v>
      </c>
      <c r="B100" s="1307">
        <v>801</v>
      </c>
      <c r="C100" s="332"/>
      <c r="D100" s="332"/>
      <c r="E100" s="332"/>
      <c r="F100" s="332"/>
    </row>
    <row r="101" spans="1:6">
      <c r="A101" s="1306" t="s">
        <v>74</v>
      </c>
      <c r="B101" s="1307">
        <v>55</v>
      </c>
      <c r="C101" s="332"/>
      <c r="D101" s="332"/>
      <c r="E101" s="332"/>
      <c r="F101" s="332"/>
    </row>
    <row r="102" spans="1:6">
      <c r="A102" s="1306" t="s">
        <v>75</v>
      </c>
      <c r="B102" s="1307">
        <v>331</v>
      </c>
      <c r="C102" s="332"/>
      <c r="D102" s="332"/>
      <c r="E102" s="332"/>
      <c r="F102" s="332"/>
    </row>
    <row r="103" spans="1:6">
      <c r="A103" s="1306" t="s">
        <v>76</v>
      </c>
      <c r="B103" s="1307">
        <v>206</v>
      </c>
      <c r="C103" s="332"/>
      <c r="D103" s="332"/>
      <c r="E103" s="332"/>
      <c r="F103" s="332"/>
    </row>
    <row r="104" spans="1:6">
      <c r="A104" s="1306" t="s">
        <v>77</v>
      </c>
      <c r="B104" s="1307">
        <v>2710</v>
      </c>
      <c r="C104" s="332"/>
      <c r="D104" s="332"/>
      <c r="E104" s="332"/>
      <c r="F104" s="332"/>
    </row>
    <row r="105" spans="1:6">
      <c r="A105" s="1301" t="s">
        <v>78</v>
      </c>
      <c r="B105" s="1310">
        <v>10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1</v>
      </c>
      <c r="C121" s="1307">
        <v>0</v>
      </c>
      <c r="D121" s="332"/>
      <c r="E121" s="332"/>
      <c r="F121" s="332"/>
    </row>
    <row r="122" spans="1:6">
      <c r="A122" s="1306" t="s">
        <v>86</v>
      </c>
      <c r="B122" s="1307">
        <v>0</v>
      </c>
      <c r="C122" s="1307">
        <v>0</v>
      </c>
      <c r="D122" s="332"/>
      <c r="E122" s="332"/>
      <c r="F122" s="332"/>
    </row>
    <row r="123" spans="1:6">
      <c r="A123" s="1306" t="s">
        <v>87</v>
      </c>
      <c r="B123" s="1307">
        <v>5</v>
      </c>
      <c r="C123" s="1307">
        <v>7</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48</v>
      </c>
      <c r="C129" s="332"/>
      <c r="D129" s="332"/>
      <c r="E129" s="332"/>
      <c r="F129" s="332"/>
    </row>
    <row r="130" spans="1:6">
      <c r="A130" s="1306" t="s">
        <v>294</v>
      </c>
      <c r="B130" s="1307">
        <v>0</v>
      </c>
      <c r="C130" s="332"/>
      <c r="D130" s="332"/>
      <c r="E130" s="332"/>
      <c r="F130" s="332"/>
    </row>
    <row r="131" spans="1:6">
      <c r="A131" s="1306" t="s">
        <v>295</v>
      </c>
      <c r="B131" s="1307">
        <v>4</v>
      </c>
      <c r="C131" s="332"/>
      <c r="D131" s="332"/>
      <c r="E131" s="332"/>
      <c r="F131" s="332"/>
    </row>
    <row r="132" spans="1:6">
      <c r="A132" s="1301" t="s">
        <v>296</v>
      </c>
      <c r="B132" s="1302">
        <v>1</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204781.79731555079</v>
      </c>
      <c r="C3" s="43" t="s">
        <v>169</v>
      </c>
      <c r="D3" s="43"/>
      <c r="E3" s="156"/>
      <c r="F3" s="43"/>
      <c r="G3" s="43"/>
      <c r="H3" s="43"/>
      <c r="I3" s="43"/>
      <c r="J3" s="43"/>
      <c r="K3" s="96"/>
    </row>
    <row r="4" spans="1:11">
      <c r="A4" s="363" t="s">
        <v>170</v>
      </c>
      <c r="B4" s="49">
        <f>IF(ISERROR('SEAP template'!B78+'SEAP template'!C78),0,'SEAP template'!B78+'SEAP template'!C78)</f>
        <v>6379.7047262386377</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325.1011764705882</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0.21570258791431279</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464.43025210084039</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1954.2857142857144</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0.23764705882352943</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2709.0151427719002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2709.0151427719002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0.21570258791431279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584.34157699496041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55047.790002911701</v>
      </c>
      <c r="C5" s="17">
        <f>IF(ISERROR('Eigen informatie GS &amp; warmtenet'!B57),0,'Eigen informatie GS &amp; warmtenet'!B57)</f>
        <v>0</v>
      </c>
      <c r="D5" s="30">
        <f>(SUM(HH_hh_gas_kWh,HH_rest_gas_kWh)/1000)*0.902</f>
        <v>208223.9194094546</v>
      </c>
      <c r="E5" s="17">
        <f>B46*B57</f>
        <v>2448.4591222123977</v>
      </c>
      <c r="F5" s="17">
        <f>B51*B62</f>
        <v>0</v>
      </c>
      <c r="G5" s="18"/>
      <c r="H5" s="17"/>
      <c r="I5" s="17"/>
      <c r="J5" s="17">
        <f>B50*B61+C50*C61</f>
        <v>0</v>
      </c>
      <c r="K5" s="17"/>
      <c r="L5" s="17"/>
      <c r="M5" s="17"/>
      <c r="N5" s="17">
        <f>B48*B59+C48*C59</f>
        <v>11242.825943516509</v>
      </c>
      <c r="O5" s="17">
        <f>B69*B70*B71</f>
        <v>85.983333333333334</v>
      </c>
      <c r="P5" s="17">
        <f>B77*B78*B79/1000-B77*B78*B79/1000/B80</f>
        <v>114.4</v>
      </c>
    </row>
    <row r="6" spans="1:16">
      <c r="A6" s="16" t="s">
        <v>633</v>
      </c>
      <c r="B6" s="779">
        <f>kWh_PV_kleiner_dan_10kW</f>
        <v>1794.7919458674874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56842.581948779189</v>
      </c>
      <c r="C8" s="21">
        <f>C5</f>
        <v>0</v>
      </c>
      <c r="D8" s="21">
        <f>D5</f>
        <v>208223.9194094546</v>
      </c>
      <c r="E8" s="21">
        <f>E5</f>
        <v>2448.4591222123977</v>
      </c>
      <c r="F8" s="21">
        <f>F5</f>
        <v>0</v>
      </c>
      <c r="G8" s="21"/>
      <c r="H8" s="21"/>
      <c r="I8" s="21"/>
      <c r="J8" s="21">
        <f>J5</f>
        <v>0</v>
      </c>
      <c r="K8" s="21"/>
      <c r="L8" s="21">
        <f>L5</f>
        <v>0</v>
      </c>
      <c r="M8" s="21">
        <f>M5</f>
        <v>0</v>
      </c>
      <c r="N8" s="21">
        <f>N5</f>
        <v>11242.825943516509</v>
      </c>
      <c r="O8" s="21">
        <f>O5</f>
        <v>85.983333333333334</v>
      </c>
      <c r="P8" s="21">
        <f>P5</f>
        <v>114.4</v>
      </c>
    </row>
    <row r="9" spans="1:16">
      <c r="B9" s="19"/>
      <c r="C9" s="19"/>
      <c r="D9" s="261"/>
      <c r="E9" s="19"/>
      <c r="F9" s="19"/>
      <c r="G9" s="19"/>
      <c r="H9" s="19"/>
      <c r="I9" s="19"/>
      <c r="J9" s="19"/>
      <c r="K9" s="19"/>
      <c r="L9" s="19"/>
      <c r="M9" s="19"/>
      <c r="N9" s="19"/>
      <c r="O9" s="19"/>
      <c r="P9" s="19"/>
    </row>
    <row r="10" spans="1:16">
      <c r="A10" s="24" t="s">
        <v>213</v>
      </c>
      <c r="B10" s="25">
        <f ca="1">'EF ele_warmte'!B12</f>
        <v>0.21570258791431279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12261.092030083073</v>
      </c>
      <c r="C12" s="23">
        <f ca="1">C10*C8</f>
        <v>0</v>
      </c>
      <c r="D12" s="23">
        <f>D8*D10</f>
        <v>42061.231720709831</v>
      </c>
      <c r="E12" s="23">
        <f>E10*E8</f>
        <v>555.80022074221426</v>
      </c>
      <c r="F12" s="23">
        <f>F10*F8</f>
        <v>0</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10093</v>
      </c>
      <c r="C18" s="168" t="s">
        <v>110</v>
      </c>
      <c r="D18" s="230"/>
      <c r="E18" s="15"/>
    </row>
    <row r="19" spans="1:7">
      <c r="A19" s="173" t="s">
        <v>71</v>
      </c>
      <c r="B19" s="37">
        <f>aantalw2001_ander</f>
        <v>9</v>
      </c>
      <c r="C19" s="168" t="s">
        <v>110</v>
      </c>
      <c r="D19" s="231"/>
      <c r="E19" s="15"/>
    </row>
    <row r="20" spans="1:7">
      <c r="A20" s="173" t="s">
        <v>72</v>
      </c>
      <c r="B20" s="37">
        <f>aantalw2001_propaan</f>
        <v>41</v>
      </c>
      <c r="C20" s="169">
        <f>IF(ISERROR(B20/SUM($B$20,$B$21,$B$22)*100),0,B20/SUM($B$20,$B$21,$B$22)*100)</f>
        <v>4.5707915273132667</v>
      </c>
      <c r="D20" s="231"/>
      <c r="E20" s="15"/>
    </row>
    <row r="21" spans="1:7">
      <c r="A21" s="173" t="s">
        <v>73</v>
      </c>
      <c r="B21" s="37">
        <f>aantalw2001_elektriciteit</f>
        <v>801</v>
      </c>
      <c r="C21" s="169">
        <f>IF(ISERROR(B21/SUM($B$20,$B$21,$B$22)*100),0,B21/SUM($B$20,$B$21,$B$22)*100)</f>
        <v>89.297658862876247</v>
      </c>
      <c r="D21" s="231"/>
      <c r="E21" s="15"/>
    </row>
    <row r="22" spans="1:7">
      <c r="A22" s="173" t="s">
        <v>74</v>
      </c>
      <c r="B22" s="37">
        <f>aantalw2001_hout</f>
        <v>55</v>
      </c>
      <c r="C22" s="169">
        <f>IF(ISERROR(B22/SUM($B$20,$B$21,$B$22)*100),0,B22/SUM($B$20,$B$21,$B$22)*100)</f>
        <v>6.1315496098104791</v>
      </c>
      <c r="D22" s="231"/>
      <c r="E22" s="15"/>
    </row>
    <row r="23" spans="1:7">
      <c r="A23" s="173" t="s">
        <v>75</v>
      </c>
      <c r="B23" s="37">
        <f>aantalw2001_niet_gespec</f>
        <v>331</v>
      </c>
      <c r="C23" s="168" t="s">
        <v>110</v>
      </c>
      <c r="D23" s="230"/>
      <c r="E23" s="15"/>
    </row>
    <row r="24" spans="1:7">
      <c r="A24" s="173" t="s">
        <v>76</v>
      </c>
      <c r="B24" s="37">
        <f>aantalw2001_steenkool</f>
        <v>206</v>
      </c>
      <c r="C24" s="168" t="s">
        <v>110</v>
      </c>
      <c r="D24" s="231"/>
      <c r="E24" s="15"/>
    </row>
    <row r="25" spans="1:7">
      <c r="A25" s="173" t="s">
        <v>77</v>
      </c>
      <c r="B25" s="37">
        <f>aantalw2001_stookolie</f>
        <v>2710</v>
      </c>
      <c r="C25" s="168" t="s">
        <v>110</v>
      </c>
      <c r="D25" s="230"/>
      <c r="E25" s="52"/>
    </row>
    <row r="26" spans="1:7">
      <c r="A26" s="173" t="s">
        <v>78</v>
      </c>
      <c r="B26" s="37">
        <f>aantalw2001_WP</f>
        <v>10</v>
      </c>
      <c r="C26" s="168" t="s">
        <v>110</v>
      </c>
      <c r="D26" s="230"/>
      <c r="E26" s="15"/>
    </row>
    <row r="27" spans="1:7" s="15" customFormat="1">
      <c r="A27" s="173"/>
      <c r="B27" s="29"/>
      <c r="C27" s="36"/>
      <c r="D27" s="230"/>
    </row>
    <row r="28" spans="1:7" s="15" customFormat="1">
      <c r="A28" s="232" t="s">
        <v>742</v>
      </c>
      <c r="B28" s="37">
        <f>aantalHuishoudens</f>
        <v>16288</v>
      </c>
      <c r="C28" s="36"/>
      <c r="D28" s="230"/>
    </row>
    <row r="29" spans="1:7" s="15" customFormat="1">
      <c r="A29" s="232" t="s">
        <v>743</v>
      </c>
      <c r="B29" s="37">
        <f>SUM(HH_hh_gas_aantal,HH_rest_gas_aantal)</f>
        <v>13946</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13946</v>
      </c>
      <c r="C32" s="169">
        <f>IF(ISERROR(B32/SUM($B$32,$B$34,$B$35,$B$36,$B$38,$B$39)*100),0,B32/SUM($B$32,$B$34,$B$35,$B$36,$B$38,$B$39)*100)</f>
        <v>85.652868198010069</v>
      </c>
      <c r="D32" s="235"/>
      <c r="G32" s="15"/>
    </row>
    <row r="33" spans="1:7">
      <c r="A33" s="173" t="s">
        <v>71</v>
      </c>
      <c r="B33" s="34" t="s">
        <v>110</v>
      </c>
      <c r="C33" s="169"/>
      <c r="D33" s="235"/>
      <c r="G33" s="15"/>
    </row>
    <row r="34" spans="1:7">
      <c r="A34" s="173" t="s">
        <v>72</v>
      </c>
      <c r="B34" s="33">
        <f>IF((($B$28-$B$32-$B$39-$B$77-$B$38)*C20/100)&lt;0,0,($B$28-$B$32-$B$39-$B$77-$B$38)*C20/100)</f>
        <v>106.7736900780379</v>
      </c>
      <c r="C34" s="169">
        <f>IF(ISERROR(B34/SUM($B$32,$B$34,$B$35,$B$36,$B$38,$B$39)*100),0,B34/SUM($B$32,$B$34,$B$35,$B$36,$B$38,$B$39)*100)</f>
        <v>0.65577748481782283</v>
      </c>
      <c r="D34" s="235"/>
      <c r="G34" s="15"/>
    </row>
    <row r="35" spans="1:7">
      <c r="A35" s="173" t="s">
        <v>73</v>
      </c>
      <c r="B35" s="33">
        <f>IF((($B$28-$B$32-$B$39-$B$77-$B$38)*C21/100)&lt;0,0,($B$28-$B$32-$B$39-$B$77-$B$38)*C21/100)</f>
        <v>2085.9933110367892</v>
      </c>
      <c r="C35" s="169">
        <f>IF(ISERROR(B35/SUM($B$32,$B$34,$B$35,$B$36,$B$38,$B$39)*100),0,B35/SUM($B$32,$B$34,$B$35,$B$36,$B$38,$B$39)*100)</f>
        <v>12.811652813148196</v>
      </c>
      <c r="D35" s="235"/>
      <c r="G35" s="15"/>
    </row>
    <row r="36" spans="1:7">
      <c r="A36" s="173" t="s">
        <v>74</v>
      </c>
      <c r="B36" s="33">
        <f>IF((($B$28-$B$32-$B$39-$B$77-$B$38)*C22/100)&lt;0,0,($B$28-$B$32-$B$39-$B$77-$B$38)*C22/100)</f>
        <v>143.2329988851728</v>
      </c>
      <c r="C36" s="169">
        <f>IF(ISERROR(B36/SUM($B$32,$B$34,$B$35,$B$36,$B$38,$B$39)*100),0,B36/SUM($B$32,$B$34,$B$35,$B$36,$B$38,$B$39)*100)</f>
        <v>0.87970150402390868</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0</v>
      </c>
      <c r="C39" s="169">
        <f>IF(ISERROR(B39/SUM($B$32,$B$34,$B$35,$B$36,$B$38,$B$39)*100),0,B39/SUM($B$32,$B$34,$B$35,$B$36,$B$38,$B$39)*100)</f>
        <v>0</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13946</v>
      </c>
      <c r="C44" s="34" t="s">
        <v>110</v>
      </c>
      <c r="D44" s="176"/>
    </row>
    <row r="45" spans="1:7">
      <c r="A45" s="173" t="s">
        <v>71</v>
      </c>
      <c r="B45" s="33" t="str">
        <f t="shared" si="0"/>
        <v>-</v>
      </c>
      <c r="C45" s="34" t="s">
        <v>110</v>
      </c>
      <c r="D45" s="176"/>
    </row>
    <row r="46" spans="1:7">
      <c r="A46" s="173" t="s">
        <v>72</v>
      </c>
      <c r="B46" s="33">
        <f t="shared" si="0"/>
        <v>106.7736900780379</v>
      </c>
      <c r="C46" s="34" t="s">
        <v>110</v>
      </c>
      <c r="D46" s="176"/>
    </row>
    <row r="47" spans="1:7">
      <c r="A47" s="173" t="s">
        <v>73</v>
      </c>
      <c r="B47" s="33">
        <f t="shared" si="0"/>
        <v>2085.9933110367892</v>
      </c>
      <c r="C47" s="34" t="s">
        <v>110</v>
      </c>
      <c r="D47" s="176"/>
    </row>
    <row r="48" spans="1:7">
      <c r="A48" s="173" t="s">
        <v>74</v>
      </c>
      <c r="B48" s="33">
        <f t="shared" si="0"/>
        <v>143.2329988851728</v>
      </c>
      <c r="C48" s="33">
        <f>B48*10</f>
        <v>1432.3299888517281</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0</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55</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6</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85141.213202007915</v>
      </c>
      <c r="C5" s="17">
        <f>IF(ISERROR('Eigen informatie GS &amp; warmtenet'!B58),0,'Eigen informatie GS &amp; warmtenet'!B58)</f>
        <v>0</v>
      </c>
      <c r="D5" s="30">
        <f>SUM(D6:D12)</f>
        <v>124848.0749847531</v>
      </c>
      <c r="E5" s="17">
        <f>SUM(E6:E12)</f>
        <v>1325.3336506074133</v>
      </c>
      <c r="F5" s="17">
        <f>SUM(F6:F12)</f>
        <v>16501.887397034472</v>
      </c>
      <c r="G5" s="18"/>
      <c r="H5" s="17"/>
      <c r="I5" s="17"/>
      <c r="J5" s="17">
        <f>SUM(J6:J12)</f>
        <v>0</v>
      </c>
      <c r="K5" s="17"/>
      <c r="L5" s="17"/>
      <c r="M5" s="17"/>
      <c r="N5" s="17">
        <f>SUM(N6:N12)</f>
        <v>3253.7332860755769</v>
      </c>
      <c r="O5" s="17">
        <f>B38*B39*B40</f>
        <v>0</v>
      </c>
      <c r="P5" s="17">
        <f>B46*B47*B48/1000-B46*B47*B48/1000/B49</f>
        <v>95.333333333333343</v>
      </c>
      <c r="R5" s="32"/>
    </row>
    <row r="6" spans="1:18">
      <c r="A6" s="32" t="s">
        <v>53</v>
      </c>
      <c r="B6" s="37">
        <f>B26</f>
        <v>32995.213792169103</v>
      </c>
      <c r="C6" s="33"/>
      <c r="D6" s="37">
        <f>IF(ISERROR(TER_kantoor_gas_kWh/1000),0,TER_kantoor_gas_kWh/1000)*0.902</f>
        <v>58949.564023271399</v>
      </c>
      <c r="E6" s="33">
        <f>$C$26*'E Balans VL '!I12/100/3.6*1000000</f>
        <v>128.19339107634545</v>
      </c>
      <c r="F6" s="33">
        <f>$C$26*('E Balans VL '!L12+'E Balans VL '!N12)/100/3.6*1000000</f>
        <v>5018.2717852800233</v>
      </c>
      <c r="G6" s="34"/>
      <c r="H6" s="33"/>
      <c r="I6" s="33"/>
      <c r="J6" s="33">
        <f>$C$26*('E Balans VL '!D12+'E Balans VL '!E12)/100/3.6*1000000</f>
        <v>0</v>
      </c>
      <c r="K6" s="33"/>
      <c r="L6" s="33"/>
      <c r="M6" s="33"/>
      <c r="N6" s="33">
        <f>$C$26*'E Balans VL '!Y12/100/3.6*1000000</f>
        <v>18.184315528753839</v>
      </c>
      <c r="O6" s="33"/>
      <c r="P6" s="33"/>
      <c r="R6" s="32"/>
    </row>
    <row r="7" spans="1:18">
      <c r="A7" s="32" t="s">
        <v>52</v>
      </c>
      <c r="B7" s="37">
        <f t="shared" ref="B7:B12" si="0">B27</f>
        <v>12890.229699387</v>
      </c>
      <c r="C7" s="33"/>
      <c r="D7" s="37">
        <f>IF(ISERROR(TER_horeca_gas_kWh/1000),0,TER_horeca_gas_kWh/1000)*0.902</f>
        <v>20160.978317377048</v>
      </c>
      <c r="E7" s="33">
        <f>$C$27*'E Balans VL '!I9/100/3.6*1000000</f>
        <v>726.11008524290366</v>
      </c>
      <c r="F7" s="33">
        <f>$C$27*('E Balans VL '!L9+'E Balans VL '!N9)/100/3.6*1000000</f>
        <v>3716.7705230050451</v>
      </c>
      <c r="G7" s="34"/>
      <c r="H7" s="33"/>
      <c r="I7" s="33"/>
      <c r="J7" s="33">
        <f>$C$27*('E Balans VL '!D9+'E Balans VL '!E9)/100/3.6*1000000</f>
        <v>0</v>
      </c>
      <c r="K7" s="33"/>
      <c r="L7" s="33"/>
      <c r="M7" s="33"/>
      <c r="N7" s="33">
        <f>$C$27*'E Balans VL '!Y9/100/3.6*1000000</f>
        <v>3.5589254360649192</v>
      </c>
      <c r="O7" s="33"/>
      <c r="P7" s="33"/>
      <c r="R7" s="32"/>
    </row>
    <row r="8" spans="1:18">
      <c r="A8" s="6" t="s">
        <v>51</v>
      </c>
      <c r="B8" s="37">
        <f t="shared" si="0"/>
        <v>18201.071206236898</v>
      </c>
      <c r="C8" s="33"/>
      <c r="D8" s="37">
        <f>IF(ISERROR(TER_handel_gas_kWh/1000),0,TER_handel_gas_kWh/1000)*0.902</f>
        <v>13680.621490551393</v>
      </c>
      <c r="E8" s="33">
        <f>$C$28*'E Balans VL '!I13/100/3.6*1000000</f>
        <v>262.33918617384433</v>
      </c>
      <c r="F8" s="33">
        <f>$C$28*('E Balans VL '!L13+'E Balans VL '!N13)/100/3.6*1000000</f>
        <v>3161.9499428691888</v>
      </c>
      <c r="G8" s="34"/>
      <c r="H8" s="33"/>
      <c r="I8" s="33"/>
      <c r="J8" s="33">
        <f>$C$28*('E Balans VL '!D13+'E Balans VL '!E13)/100/3.6*1000000</f>
        <v>0</v>
      </c>
      <c r="K8" s="33"/>
      <c r="L8" s="33"/>
      <c r="M8" s="33"/>
      <c r="N8" s="33">
        <f>$C$28*'E Balans VL '!Y13/100/3.6*1000000</f>
        <v>54.532435518872148</v>
      </c>
      <c r="O8" s="33"/>
      <c r="P8" s="33"/>
      <c r="R8" s="32"/>
    </row>
    <row r="9" spans="1:18">
      <c r="A9" s="32" t="s">
        <v>50</v>
      </c>
      <c r="B9" s="37">
        <f t="shared" si="0"/>
        <v>1059.7935223489399</v>
      </c>
      <c r="C9" s="33"/>
      <c r="D9" s="37">
        <f>IF(ISERROR(TER_gezond_gas_kWh/1000),0,TER_gezond_gas_kWh/1000)*0.902</f>
        <v>3153.5729755989787</v>
      </c>
      <c r="E9" s="33">
        <f>$C$29*'E Balans VL '!I10/100/3.6*1000000</f>
        <v>1.1321341702620491</v>
      </c>
      <c r="F9" s="33">
        <f>$C$29*('E Balans VL '!L10+'E Balans VL '!N10)/100/3.6*1000000</f>
        <v>172.88453182888173</v>
      </c>
      <c r="G9" s="34"/>
      <c r="H9" s="33"/>
      <c r="I9" s="33"/>
      <c r="J9" s="33">
        <f>$C$29*('E Balans VL '!D10+'E Balans VL '!E10)/100/3.6*1000000</f>
        <v>0</v>
      </c>
      <c r="K9" s="33"/>
      <c r="L9" s="33"/>
      <c r="M9" s="33"/>
      <c r="N9" s="33">
        <f>$C$29*'E Balans VL '!Y10/100/3.6*1000000</f>
        <v>10.909969606462555</v>
      </c>
      <c r="O9" s="33"/>
      <c r="P9" s="33"/>
      <c r="R9" s="32"/>
    </row>
    <row r="10" spans="1:18">
      <c r="A10" s="32" t="s">
        <v>49</v>
      </c>
      <c r="B10" s="37">
        <f t="shared" si="0"/>
        <v>2726.8872871608801</v>
      </c>
      <c r="C10" s="33"/>
      <c r="D10" s="37">
        <f>IF(ISERROR(TER_ander_gas_kWh/1000),0,TER_ander_gas_kWh/1000)*0.902</f>
        <v>3603.8274134543876</v>
      </c>
      <c r="E10" s="33">
        <f>$C$30*'E Balans VL '!I14/100/3.6*1000000</f>
        <v>12.540539843305115</v>
      </c>
      <c r="F10" s="33">
        <f>$C$30*('E Balans VL '!L14+'E Balans VL '!N14)/100/3.6*1000000</f>
        <v>817.33413371792278</v>
      </c>
      <c r="G10" s="34"/>
      <c r="H10" s="33"/>
      <c r="I10" s="33"/>
      <c r="J10" s="33">
        <f>$C$30*('E Balans VL '!D14+'E Balans VL '!E14)/100/3.6*1000000</f>
        <v>0</v>
      </c>
      <c r="K10" s="33"/>
      <c r="L10" s="33"/>
      <c r="M10" s="33"/>
      <c r="N10" s="33">
        <f>$C$30*'E Balans VL '!Y14/100/3.6*1000000</f>
        <v>1898.093555789917</v>
      </c>
      <c r="O10" s="33"/>
      <c r="P10" s="33"/>
      <c r="R10" s="32"/>
    </row>
    <row r="11" spans="1:18">
      <c r="A11" s="32" t="s">
        <v>54</v>
      </c>
      <c r="B11" s="37">
        <f t="shared" si="0"/>
        <v>1288.5486164057002</v>
      </c>
      <c r="C11" s="33"/>
      <c r="D11" s="37">
        <f>IF(ISERROR(TER_onderwijs_gas_kWh/1000),0,TER_onderwijs_gas_kWh/1000)*0.902</f>
        <v>112.68005162614658</v>
      </c>
      <c r="E11" s="33">
        <f>$C$31*'E Balans VL '!I11/100/3.6*1000000</f>
        <v>1.1952982971705119</v>
      </c>
      <c r="F11" s="33">
        <f>$C$31*('E Balans VL '!L11+'E Balans VL '!N11)/100/3.6*1000000</f>
        <v>452.63751378259218</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15979.4690782994</v>
      </c>
      <c r="C12" s="33"/>
      <c r="D12" s="37">
        <f>IF(ISERROR(TER_rest_gas_kWh/1000),0,TER_rest_gas_kWh/1000)*0.902</f>
        <v>25186.830712873754</v>
      </c>
      <c r="E12" s="33">
        <f>$C$32*'E Balans VL '!I8/100/3.6*1000000</f>
        <v>193.82301580358228</v>
      </c>
      <c r="F12" s="33">
        <f>$C$32*('E Balans VL '!L8+'E Balans VL '!N8)/100/3.6*1000000</f>
        <v>3162.0389665508164</v>
      </c>
      <c r="G12" s="34"/>
      <c r="H12" s="33"/>
      <c r="I12" s="33"/>
      <c r="J12" s="33">
        <f>$C$32*('E Balans VL '!D8+'E Balans VL '!E8)/100/3.6*1000000</f>
        <v>0</v>
      </c>
      <c r="K12" s="33"/>
      <c r="L12" s="33"/>
      <c r="M12" s="33"/>
      <c r="N12" s="33">
        <f>$C$32*'E Balans VL '!Y8/100/3.6*1000000</f>
        <v>1268.4540841955065</v>
      </c>
      <c r="O12" s="33"/>
      <c r="P12" s="33"/>
      <c r="R12" s="32"/>
    </row>
    <row r="13" spans="1:18">
      <c r="A13" s="16" t="s">
        <v>496</v>
      </c>
      <c r="B13" s="249">
        <f ca="1">'lokale energieproductie'!N39+'lokale energieproductie'!N32</f>
        <v>1350</v>
      </c>
      <c r="C13" s="249">
        <f ca="1">'lokale energieproductie'!O39+'lokale energieproductie'!O32</f>
        <v>1928.5714285714287</v>
      </c>
      <c r="D13" s="310">
        <f ca="1">('lokale energieproductie'!P32+'lokale energieproductie'!P39)*(-1)</f>
        <v>-3857.1428571428573</v>
      </c>
      <c r="E13" s="250"/>
      <c r="F13" s="310">
        <f ca="1">('lokale energieproductie'!S32+'lokale energieproductie'!S39)*(-1)</f>
        <v>0</v>
      </c>
      <c r="G13" s="251"/>
      <c r="H13" s="250"/>
      <c r="I13" s="250"/>
      <c r="J13" s="250"/>
      <c r="K13" s="250"/>
      <c r="L13" s="310">
        <f ca="1">('lokale energieproductie'!U32+'lokale energieproductie'!T32+'lokale energieproductie'!U39+'lokale energieproductie'!T39)*(-1)</f>
        <v>0</v>
      </c>
      <c r="M13" s="250"/>
      <c r="N13" s="310">
        <f ca="1">('lokale energieproductie'!Q32+'lokale energieproductie'!R32+'lokale energieproductie'!V32+'lokale energieproductie'!Q39+'lokale energieproductie'!R39+'lokale energieproductie'!V39)*(-1)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86491.213202007915</v>
      </c>
      <c r="C16" s="21">
        <f t="shared" ca="1" si="1"/>
        <v>1928.5714285714287</v>
      </c>
      <c r="D16" s="21">
        <f t="shared" ca="1" si="1"/>
        <v>120990.93212761024</v>
      </c>
      <c r="E16" s="21">
        <f t="shared" si="1"/>
        <v>1325.3336506074133</v>
      </c>
      <c r="F16" s="21">
        <f t="shared" ca="1" si="1"/>
        <v>16501.887397034472</v>
      </c>
      <c r="G16" s="21">
        <f t="shared" si="1"/>
        <v>0</v>
      </c>
      <c r="H16" s="21">
        <f t="shared" si="1"/>
        <v>0</v>
      </c>
      <c r="I16" s="21">
        <f t="shared" si="1"/>
        <v>0</v>
      </c>
      <c r="J16" s="21">
        <f t="shared" si="1"/>
        <v>0</v>
      </c>
      <c r="K16" s="21">
        <f t="shared" si="1"/>
        <v>0</v>
      </c>
      <c r="L16" s="21">
        <f t="shared" ca="1" si="1"/>
        <v>0</v>
      </c>
      <c r="M16" s="21">
        <f t="shared" si="1"/>
        <v>0</v>
      </c>
      <c r="N16" s="21">
        <f t="shared" ca="1" si="1"/>
        <v>3253.7332860755769</v>
      </c>
      <c r="O16" s="21">
        <f>O5</f>
        <v>0</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0.21570258791431279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18656.378519521684</v>
      </c>
      <c r="C20" s="23">
        <f t="shared" ref="C20:P20" ca="1" si="2">C16*C18</f>
        <v>458.31932773109253</v>
      </c>
      <c r="D20" s="23">
        <f t="shared" ca="1" si="2"/>
        <v>24440.16828977727</v>
      </c>
      <c r="E20" s="23">
        <f t="shared" si="2"/>
        <v>300.85073868788282</v>
      </c>
      <c r="F20" s="23">
        <f t="shared" ca="1" si="2"/>
        <v>4406.0039350082043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32995.213792169103</v>
      </c>
      <c r="C26" s="39">
        <f>IF(ISERROR(B26*3.6/1000000/'E Balans VL '!Z12*100),0,B26*3.6/1000000/'E Balans VL '!Z12*100)</f>
        <v>0.70083468464993182</v>
      </c>
      <c r="D26" s="239" t="s">
        <v>689</v>
      </c>
      <c r="F26" s="6"/>
    </row>
    <row r="27" spans="1:18">
      <c r="A27" s="233" t="s">
        <v>52</v>
      </c>
      <c r="B27" s="33">
        <f>IF(ISERROR(TER_horeca_ele_kWh/1000),0,TER_horeca_ele_kWh/1000)</f>
        <v>12890.229699387</v>
      </c>
      <c r="C27" s="39">
        <f>IF(ISERROR(B27*3.6/1000000/'E Balans VL '!Z9*100),0,B27*3.6/1000000/'E Balans VL '!Z9*100)</f>
        <v>1.0022938616354591</v>
      </c>
      <c r="D27" s="239" t="s">
        <v>689</v>
      </c>
      <c r="F27" s="6"/>
    </row>
    <row r="28" spans="1:18">
      <c r="A28" s="173" t="s">
        <v>51</v>
      </c>
      <c r="B28" s="33">
        <f>IF(ISERROR(TER_handel_ele_kWh/1000),0,TER_handel_ele_kWh/1000)</f>
        <v>18201.071206236898</v>
      </c>
      <c r="C28" s="39">
        <f>IF(ISERROR(B28*3.6/1000000/'E Balans VL '!Z13*100),0,B28*3.6/1000000/'E Balans VL '!Z13*100)</f>
        <v>0.52075406772844424</v>
      </c>
      <c r="D28" s="239" t="s">
        <v>689</v>
      </c>
      <c r="F28" s="6"/>
    </row>
    <row r="29" spans="1:18">
      <c r="A29" s="233" t="s">
        <v>50</v>
      </c>
      <c r="B29" s="33">
        <f>IF(ISERROR(TER_gezond_ele_kWh/1000),0,TER_gezond_ele_kWh/1000)</f>
        <v>1059.7935223489399</v>
      </c>
      <c r="C29" s="39">
        <f>IF(ISERROR(B29*3.6/1000000/'E Balans VL '!Z10*100),0,B29*3.6/1000000/'E Balans VL '!Z10*100)</f>
        <v>0.11554212058397498</v>
      </c>
      <c r="D29" s="239" t="s">
        <v>689</v>
      </c>
      <c r="F29" s="6"/>
    </row>
    <row r="30" spans="1:18">
      <c r="A30" s="233" t="s">
        <v>49</v>
      </c>
      <c r="B30" s="33">
        <f>IF(ISERROR(TER_ander_ele_kWh/1000),0,TER_ander_ele_kWh/1000)</f>
        <v>2726.8872871608801</v>
      </c>
      <c r="C30" s="39">
        <f>IF(ISERROR(B30*3.6/1000000/'E Balans VL '!Z14*100),0,B30*3.6/1000000/'E Balans VL '!Z14*100)</f>
        <v>0.19954742587725938</v>
      </c>
      <c r="D30" s="239" t="s">
        <v>689</v>
      </c>
      <c r="F30" s="6"/>
    </row>
    <row r="31" spans="1:18">
      <c r="A31" s="233" t="s">
        <v>54</v>
      </c>
      <c r="B31" s="33">
        <f>IF(ISERROR(TER_onderwijs_ele_kWh/1000),0,TER_onderwijs_ele_kWh/1000)</f>
        <v>1288.5486164057002</v>
      </c>
      <c r="C31" s="39">
        <f>IF(ISERROR(B31*3.6/1000000/'E Balans VL '!Z11*100),0,B31*3.6/1000000/'E Balans VL '!Z11*100)</f>
        <v>0.25880594645490235</v>
      </c>
      <c r="D31" s="239" t="s">
        <v>689</v>
      </c>
    </row>
    <row r="32" spans="1:18">
      <c r="A32" s="233" t="s">
        <v>259</v>
      </c>
      <c r="B32" s="33">
        <f>IF(ISERROR(TER_rest_ele_kWh/1000),0,TER_rest_ele_kWh/1000)</f>
        <v>15979.4690782994</v>
      </c>
      <c r="C32" s="39">
        <f>IF(ISERROR(B32*3.6/1000000/'E Balans VL '!Z8*100),0,B32*3.6/1000000/'E Balans VL '!Z8*100)</f>
        <v>0.13022297554107595</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5</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41282.324025504407</v>
      </c>
      <c r="C5" s="17">
        <f>IF(ISERROR('Eigen informatie GS &amp; warmtenet'!B59),0,'Eigen informatie GS &amp; warmtenet'!B59)</f>
        <v>0</v>
      </c>
      <c r="D5" s="30">
        <f>SUM(D6:D15)</f>
        <v>17913.948677445514</v>
      </c>
      <c r="E5" s="17">
        <f>SUM(E6:E15)</f>
        <v>2534.9015276064347</v>
      </c>
      <c r="F5" s="17">
        <f>SUM(F6:F15)</f>
        <v>13152.81302591122</v>
      </c>
      <c r="G5" s="18"/>
      <c r="H5" s="17"/>
      <c r="I5" s="17"/>
      <c r="J5" s="17">
        <f>SUM(J6:J15)</f>
        <v>79.999769738366567</v>
      </c>
      <c r="K5" s="17"/>
      <c r="L5" s="17"/>
      <c r="M5" s="17"/>
      <c r="N5" s="17">
        <f>SUM(N6:N15)</f>
        <v>2589.9533423652865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734.34998397185007</v>
      </c>
      <c r="C8" s="33"/>
      <c r="D8" s="37">
        <f>IF( ISERROR(IND_metaal_Gas_kWH/1000),0,IND_metaal_Gas_kWH/1000)*0.902</f>
        <v>620.77326111610876</v>
      </c>
      <c r="E8" s="33">
        <f>C30*'E Balans VL '!I18/100/3.6*1000000</f>
        <v>21.093287951358754</v>
      </c>
      <c r="F8" s="33">
        <f>C30*'E Balans VL '!L18/100/3.6*1000000+C30*'E Balans VL '!N18/100/3.6*1000000</f>
        <v>188.34664730886996</v>
      </c>
      <c r="G8" s="34"/>
      <c r="H8" s="33"/>
      <c r="I8" s="33"/>
      <c r="J8" s="40">
        <f>C30*'E Balans VL '!D18/100/3.6*1000000+C30*'E Balans VL '!E18/100/3.6*1000000</f>
        <v>0</v>
      </c>
      <c r="K8" s="33"/>
      <c r="L8" s="33"/>
      <c r="M8" s="33"/>
      <c r="N8" s="33">
        <f>C30*'E Balans VL '!Y18/100/3.6*1000000</f>
        <v>19.939101085530851</v>
      </c>
      <c r="O8" s="33"/>
      <c r="P8" s="33"/>
      <c r="R8" s="32"/>
    </row>
    <row r="9" spans="1:18">
      <c r="A9" s="6" t="s">
        <v>32</v>
      </c>
      <c r="B9" s="37">
        <f t="shared" si="0"/>
        <v>1919.23066115436</v>
      </c>
      <c r="C9" s="33"/>
      <c r="D9" s="37">
        <f>IF( ISERROR(IND_andere_gas_kWh/1000),0,IND_andere_gas_kWh/1000)*0.902</f>
        <v>4405.8471496083966</v>
      </c>
      <c r="E9" s="33">
        <f>C31*'E Balans VL '!I19/100/3.6*1000000</f>
        <v>519.48855177259463</v>
      </c>
      <c r="F9" s="33">
        <f>C31*'E Balans VL '!L19/100/3.6*1000000+C31*'E Balans VL '!N19/100/3.6*1000000</f>
        <v>1278.4107173577431</v>
      </c>
      <c r="G9" s="34"/>
      <c r="H9" s="33"/>
      <c r="I9" s="33"/>
      <c r="J9" s="40">
        <f>C31*'E Balans VL '!D19/100/3.6*1000000+C31*'E Balans VL '!E19/100/3.6*1000000</f>
        <v>0</v>
      </c>
      <c r="K9" s="33"/>
      <c r="L9" s="33"/>
      <c r="M9" s="33"/>
      <c r="N9" s="33">
        <f>C31*'E Balans VL '!Y19/100/3.6*1000000</f>
        <v>162.25823894926799</v>
      </c>
      <c r="O9" s="33"/>
      <c r="P9" s="33"/>
      <c r="R9" s="32"/>
    </row>
    <row r="10" spans="1:18">
      <c r="A10" s="6" t="s">
        <v>40</v>
      </c>
      <c r="B10" s="37">
        <f t="shared" si="0"/>
        <v>2859.3809004894501</v>
      </c>
      <c r="C10" s="33"/>
      <c r="D10" s="37">
        <f>IF( ISERROR(IND_voed_gas_kWh/1000),0,IND_voed_gas_kWh/1000)*0.902</f>
        <v>505.19161417135729</v>
      </c>
      <c r="E10" s="33">
        <f>C32*'E Balans VL '!I20/100/3.6*1000000</f>
        <v>233.21767550059752</v>
      </c>
      <c r="F10" s="33">
        <f>C32*'E Balans VL '!L20/100/3.6*1000000+C32*'E Balans VL '!N20/100/3.6*1000000</f>
        <v>4263.5963483962823</v>
      </c>
      <c r="G10" s="34"/>
      <c r="H10" s="33"/>
      <c r="I10" s="33"/>
      <c r="J10" s="40">
        <f>C32*'E Balans VL '!D20/100/3.6*1000000+C32*'E Balans VL '!E20/100/3.6*1000000</f>
        <v>3.7826138490675232E-2</v>
      </c>
      <c r="K10" s="33"/>
      <c r="L10" s="33"/>
      <c r="M10" s="33"/>
      <c r="N10" s="33">
        <f>C32*'E Balans VL '!Y20/100/3.6*1000000</f>
        <v>839.9852118912944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12.478123805565799</v>
      </c>
      <c r="C12" s="33"/>
      <c r="D12" s="37">
        <f>IF( ISERROR(IND_min_gas_kWh/1000),0,IND_min_gas_kWh/1000)*0.902</f>
        <v>7.0730708916066565</v>
      </c>
      <c r="E12" s="33">
        <f>C34*'E Balans VL '!I22/100/3.6*1000000</f>
        <v>9.7201865577910426E-2</v>
      </c>
      <c r="F12" s="33">
        <f>C34*'E Balans VL '!L22/100/3.6*1000000+C34*'E Balans VL '!N22/100/3.6*1000000</f>
        <v>4.705981495331649</v>
      </c>
      <c r="G12" s="34"/>
      <c r="H12" s="33"/>
      <c r="I12" s="33"/>
      <c r="J12" s="40">
        <f>C34*'E Balans VL '!D22/100/3.6*1000000+C34*'E Balans VL '!E22/100/3.6*1000000</f>
        <v>6.8628589931718678E-2</v>
      </c>
      <c r="K12" s="33"/>
      <c r="L12" s="33"/>
      <c r="M12" s="33"/>
      <c r="N12" s="33">
        <f>C34*'E Balans VL '!Y22/100/3.6*1000000</f>
        <v>0</v>
      </c>
      <c r="O12" s="33"/>
      <c r="P12" s="33"/>
      <c r="R12" s="32"/>
    </row>
    <row r="13" spans="1:18">
      <c r="A13" s="6" t="s">
        <v>38</v>
      </c>
      <c r="B13" s="37">
        <f t="shared" si="0"/>
        <v>61.1756698279166</v>
      </c>
      <c r="C13" s="33"/>
      <c r="D13" s="37">
        <f>IF( ISERROR(IND_papier_gas_kWh/1000),0,IND_papier_gas_kWh/1000)*0.902</f>
        <v>75.307132891978512</v>
      </c>
      <c r="E13" s="33">
        <f>C35*'E Balans VL '!I23/100/3.6*1000000</f>
        <v>0.64092658991665341</v>
      </c>
      <c r="F13" s="33">
        <f>C35*'E Balans VL '!L23/100/3.6*1000000+C35*'E Balans VL '!N23/100/3.6*1000000</f>
        <v>4.5649393257039304</v>
      </c>
      <c r="G13" s="34"/>
      <c r="H13" s="33"/>
      <c r="I13" s="33"/>
      <c r="J13" s="40">
        <f>C35*'E Balans VL '!D23/100/3.6*1000000+C35*'E Balans VL '!E23/100/3.6*1000000</f>
        <v>0</v>
      </c>
      <c r="K13" s="33"/>
      <c r="L13" s="33"/>
      <c r="M13" s="33"/>
      <c r="N13" s="33">
        <f>C35*'E Balans VL '!Y23/100/3.6*1000000</f>
        <v>11.285588313464119</v>
      </c>
      <c r="O13" s="33"/>
      <c r="P13" s="33"/>
      <c r="R13" s="32"/>
    </row>
    <row r="14" spans="1:18">
      <c r="A14" s="6" t="s">
        <v>33</v>
      </c>
      <c r="B14" s="37">
        <f t="shared" si="0"/>
        <v>4524.6767778233698</v>
      </c>
      <c r="C14" s="33"/>
      <c r="D14" s="37">
        <f>IF( ISERROR(IND_chemie_gas_kWh/1000),0,IND_chemie_gas_kWh/1000)*0.902</f>
        <v>6635.4315063370286</v>
      </c>
      <c r="E14" s="33">
        <f>C36*'E Balans VL '!I24/100/3.6*1000000</f>
        <v>21.38920965965249</v>
      </c>
      <c r="F14" s="33">
        <f>C36*'E Balans VL '!L24/100/3.6*1000000+C36*'E Balans VL '!N24/100/3.6*1000000</f>
        <v>85.513962430583888</v>
      </c>
      <c r="G14" s="34"/>
      <c r="H14" s="33"/>
      <c r="I14" s="33"/>
      <c r="J14" s="40">
        <f>C36*'E Balans VL '!D24/100/3.6*1000000+C36*'E Balans VL '!E24/100/3.6*1000000</f>
        <v>0</v>
      </c>
      <c r="K14" s="33"/>
      <c r="L14" s="33"/>
      <c r="M14" s="33"/>
      <c r="N14" s="33">
        <f>C36*'E Balans VL '!Y24/100/3.6*1000000</f>
        <v>109.84384504304175</v>
      </c>
      <c r="O14" s="33"/>
      <c r="P14" s="33"/>
      <c r="R14" s="32"/>
    </row>
    <row r="15" spans="1:18">
      <c r="A15" s="6" t="s">
        <v>269</v>
      </c>
      <c r="B15" s="37">
        <f t="shared" si="0"/>
        <v>31171.031908431898</v>
      </c>
      <c r="C15" s="33"/>
      <c r="D15" s="37">
        <f>IF( ISERROR(IND_rest_gas_kWh/1000),0,IND_rest_gas_kWh/1000)*0.902</f>
        <v>5664.3249424290352</v>
      </c>
      <c r="E15" s="33">
        <f>C37*'E Balans VL '!I15/100/3.6*1000000</f>
        <v>1738.9746742667367</v>
      </c>
      <c r="F15" s="33">
        <f>C37*'E Balans VL '!L15/100/3.6*1000000+C37*'E Balans VL '!N15/100/3.6*1000000</f>
        <v>7327.6744295967055</v>
      </c>
      <c r="G15" s="34"/>
      <c r="H15" s="33"/>
      <c r="I15" s="33"/>
      <c r="J15" s="40">
        <f>C37*'E Balans VL '!D15/100/3.6*1000000+C37*'E Balans VL '!E15/100/3.6*1000000</f>
        <v>79.893315009944175</v>
      </c>
      <c r="K15" s="33"/>
      <c r="L15" s="33"/>
      <c r="M15" s="33"/>
      <c r="N15" s="33">
        <f>C37*'E Balans VL '!Y15/100/3.6*1000000</f>
        <v>1446.6413570826871</v>
      </c>
      <c r="O15" s="33"/>
      <c r="P15" s="33"/>
      <c r="R15" s="32"/>
    </row>
    <row r="16" spans="1:18">
      <c r="A16" s="16" t="s">
        <v>496</v>
      </c>
      <c r="B16" s="249">
        <f>'lokale energieproductie'!N38+'lokale energieproductie'!N31</f>
        <v>0</v>
      </c>
      <c r="C16" s="249">
        <f>'lokale energieproductie'!O38+'lokale energieproductie'!O31</f>
        <v>0</v>
      </c>
      <c r="D16" s="310">
        <f>('lokale energieproductie'!P31+'lokale energieproductie'!P38)*(-1)</f>
        <v>0</v>
      </c>
      <c r="E16" s="250"/>
      <c r="F16" s="310">
        <f>('lokale energieproductie'!S31+'lokale energieproductie'!S38)*(-1)</f>
        <v>0</v>
      </c>
      <c r="G16" s="251"/>
      <c r="H16" s="250"/>
      <c r="I16" s="250"/>
      <c r="J16" s="250"/>
      <c r="K16" s="250"/>
      <c r="L16" s="310">
        <f>('lokale energieproductie'!T31+'lokale energieproductie'!U31+'lokale energieproductie'!T38+'lokale energieproductie'!U38)*(-1)</f>
        <v>0</v>
      </c>
      <c r="M16" s="250"/>
      <c r="N16" s="310">
        <f>('lokale energieproductie'!Q31+'lokale energieproductie'!R31+'lokale energieproductie'!V31+'lokale energieproductie'!Q38+'lokale energieproductie'!R38+'lokale energieproductie'!V38)*(-1)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41282.324025504407</v>
      </c>
      <c r="C18" s="21">
        <f>C5+C16</f>
        <v>0</v>
      </c>
      <c r="D18" s="21">
        <f>MAX((D5+D16),0)</f>
        <v>17913.948677445514</v>
      </c>
      <c r="E18" s="21">
        <f>MAX((E5+E16),0)</f>
        <v>2534.9015276064347</v>
      </c>
      <c r="F18" s="21">
        <f>MAX((F5+F16),0)</f>
        <v>13152.81302591122</v>
      </c>
      <c r="G18" s="21"/>
      <c r="H18" s="21"/>
      <c r="I18" s="21"/>
      <c r="J18" s="21">
        <f>MAX((J5+J16),0)</f>
        <v>79.999769738366567</v>
      </c>
      <c r="K18" s="21"/>
      <c r="L18" s="21">
        <f>MAX((L5+L16),0)</f>
        <v>0</v>
      </c>
      <c r="M18" s="21"/>
      <c r="N18" s="21">
        <f>MAX((N5+N16),0)</f>
        <v>2589.9533423652865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0.21570258791431279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8904.7041274185121</v>
      </c>
      <c r="C22" s="23">
        <f ca="1">C18*C20</f>
        <v>0</v>
      </c>
      <c r="D22" s="23">
        <f>D18*D20</f>
        <v>3618.6176328439942</v>
      </c>
      <c r="E22" s="23">
        <f>E18*E20</f>
        <v>575.4226467666607</v>
      </c>
      <c r="F22" s="23">
        <f>F18*F20</f>
        <v>3511.801077918296</v>
      </c>
      <c r="G22" s="23"/>
      <c r="H22" s="23"/>
      <c r="I22" s="23"/>
      <c r="J22" s="23">
        <f>J18*J20</f>
        <v>28.319918487381763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734.34998397185007</v>
      </c>
      <c r="C30" s="39">
        <f>IF(ISERROR(B30*3.6/1000000/'E Balans VL '!Z18*100),0,B30*3.6/1000000/'E Balans VL '!Z18*100)</f>
        <v>7.2258163827012389E-2</v>
      </c>
      <c r="D30" s="239" t="s">
        <v>689</v>
      </c>
    </row>
    <row r="31" spans="1:18">
      <c r="A31" s="6" t="s">
        <v>32</v>
      </c>
      <c r="B31" s="37">
        <f>IF( ISERROR(IND_ander_ele_kWh/1000),0,IND_ander_ele_kWh/1000)</f>
        <v>1919.23066115436</v>
      </c>
      <c r="C31" s="39">
        <f>IF(ISERROR(B31*3.6/1000000/'E Balans VL '!Z19*100),0,B31*3.6/1000000/'E Balans VL '!Z19*100)</f>
        <v>8.3580964338054883E-2</v>
      </c>
      <c r="D31" s="239" t="s">
        <v>689</v>
      </c>
    </row>
    <row r="32" spans="1:18">
      <c r="A32" s="173" t="s">
        <v>40</v>
      </c>
      <c r="B32" s="37">
        <f>IF( ISERROR(IND_voed_ele_kWh/1000),0,IND_voed_ele_kWh/1000)</f>
        <v>2859.3809004894501</v>
      </c>
      <c r="C32" s="39">
        <f>IF(ISERROR(B32*3.6/1000000/'E Balans VL '!Z20*100),0,B32*3.6/1000000/'E Balans VL '!Z20*100)</f>
        <v>0.54252628910926481</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12.478123805565799</v>
      </c>
      <c r="C34" s="39">
        <f>IF(ISERROR(B34*3.6/1000000/'E Balans VL '!Z22*100),0,B34*3.6/1000000/'E Balans VL '!Z22*100)</f>
        <v>1.7545495084762082E-3</v>
      </c>
      <c r="D34" s="239" t="s">
        <v>689</v>
      </c>
    </row>
    <row r="35" spans="1:5">
      <c r="A35" s="173" t="s">
        <v>38</v>
      </c>
      <c r="B35" s="37">
        <f>IF( ISERROR(IND_papier_ele_kWh/1000),0,IND_papier_ele_kWh/1000)</f>
        <v>61.1756698279166</v>
      </c>
      <c r="C35" s="39">
        <f>IF(ISERROR(B35*3.6/1000000/'E Balans VL '!Z22*100),0,B35*3.6/1000000/'E Balans VL '!Z22*100)</f>
        <v>8.6019134847337662E-3</v>
      </c>
      <c r="D35" s="239" t="s">
        <v>689</v>
      </c>
    </row>
    <row r="36" spans="1:5">
      <c r="A36" s="173" t="s">
        <v>33</v>
      </c>
      <c r="B36" s="37">
        <f>IF( ISERROR(IND_chemie_ele_kWh/1000),0,IND_chemie_ele_kWh/1000)</f>
        <v>4524.6767778233698</v>
      </c>
      <c r="C36" s="39">
        <f>IF(ISERROR(B36*3.6/1000000/'E Balans VL '!Z24*100),0,B36*3.6/1000000/'E Balans VL '!Z24*100)</f>
        <v>0.13186245146518139</v>
      </c>
      <c r="D36" s="239" t="s">
        <v>689</v>
      </c>
    </row>
    <row r="37" spans="1:5">
      <c r="A37" s="173" t="s">
        <v>269</v>
      </c>
      <c r="B37" s="37">
        <f>IF( ISERROR(IND_rest_ele_kWh/1000),0,IND_rest_ele_kWh/1000)</f>
        <v>31171.031908431898</v>
      </c>
      <c r="C37" s="39">
        <f>IF(ISERROR(B37*3.6/1000000/'E Balans VL '!Z15*100),0,B37*3.6/1000000/'E Balans VL '!Z15*100)</f>
        <v>0.24021108677347217</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50.4969815197814</v>
      </c>
      <c r="C5" s="17">
        <f>'Eigen informatie GS &amp; warmtenet'!B60</f>
        <v>0</v>
      </c>
      <c r="D5" s="30">
        <f>IF(ISERROR(SUM(LB_lb_gas_kWh,LB_rest_gas_kWh)/1000),0,SUM(LB_lb_gas_kWh,LB_rest_gas_kWh)/1000)*0.902</f>
        <v>80.10636681073089</v>
      </c>
      <c r="E5" s="17">
        <f>B17*'E Balans VL '!I25/3.6*1000000/100</f>
        <v>0.63632702048812551</v>
      </c>
      <c r="F5" s="17">
        <f>B17*('E Balans VL '!L25/3.6*1000000+'E Balans VL '!N25/3.6*1000000)/100</f>
        <v>174.22723649299999</v>
      </c>
      <c r="G5" s="18"/>
      <c r="H5" s="17"/>
      <c r="I5" s="17"/>
      <c r="J5" s="17">
        <f>('E Balans VL '!D25+'E Balans VL '!E25)/3.6*1000000*landbouw!B17/100</f>
        <v>7.5941719911485901</v>
      </c>
      <c r="K5" s="17"/>
      <c r="L5" s="17">
        <f>L6*(-1)</f>
        <v>0</v>
      </c>
      <c r="M5" s="17"/>
      <c r="N5" s="17">
        <f>N6*(-1)</f>
        <v>0</v>
      </c>
      <c r="O5" s="17"/>
      <c r="P5" s="17"/>
      <c r="R5" s="32"/>
    </row>
    <row r="6" spans="1:18">
      <c r="A6" s="16" t="s">
        <v>496</v>
      </c>
      <c r="B6" s="17" t="s">
        <v>210</v>
      </c>
      <c r="C6" s="17">
        <f>'lokale energieproductie'!O40+'lokale energieproductie'!O33</f>
        <v>25.714285714285715</v>
      </c>
      <c r="D6" s="310">
        <f>('lokale energieproductie'!P33+'lokale energieproductie'!P40)*(-1)</f>
        <v>-51.428571428571431</v>
      </c>
      <c r="E6" s="250"/>
      <c r="F6" s="310">
        <f>('lokale energieproductie'!S33+'lokale energieproductie'!S40)*(-1)</f>
        <v>0</v>
      </c>
      <c r="G6" s="251"/>
      <c r="H6" s="250"/>
      <c r="I6" s="250"/>
      <c r="J6" s="250"/>
      <c r="K6" s="250"/>
      <c r="L6" s="310">
        <f>('lokale energieproductie'!T33+'lokale energieproductie'!U33+'lokale energieproductie'!T40+'lokale energieproductie'!U40)*(-1)</f>
        <v>0</v>
      </c>
      <c r="M6" s="250"/>
      <c r="N6" s="1030">
        <f>('lokale energieproductie'!V33+'lokale energieproductie'!R33+'lokale energieproductie'!Q33+'lokale energieproductie'!Q40+'lokale energieproductie'!R40+'lokale energieproductie'!V40)*(-1)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50.4969815197814</v>
      </c>
      <c r="C8" s="21">
        <f>C5+C6</f>
        <v>25.714285714285715</v>
      </c>
      <c r="D8" s="21">
        <f>MAX((D5+D6),0)</f>
        <v>28.677795382159459</v>
      </c>
      <c r="E8" s="21">
        <f>MAX((E5+E6),0)</f>
        <v>0.63632702048812551</v>
      </c>
      <c r="F8" s="21">
        <f>MAX((F5+F6),0)</f>
        <v>174.22723649299999</v>
      </c>
      <c r="G8" s="21"/>
      <c r="H8" s="21"/>
      <c r="I8" s="21"/>
      <c r="J8" s="21">
        <f>MAX((J5+J6),0)</f>
        <v>7.5941719911485901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0.21570258791431279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10.892329595678076</v>
      </c>
      <c r="C12" s="23">
        <f ca="1">C8*C10</f>
        <v>6.1109243697478997</v>
      </c>
      <c r="D12" s="23">
        <f>D8*D10</f>
        <v>5.7929146671962108</v>
      </c>
      <c r="E12" s="23">
        <f>E8*E10</f>
        <v>0.1444462336508045</v>
      </c>
      <c r="F12" s="23">
        <f>F8*F10</f>
        <v>46.518672143631001</v>
      </c>
      <c r="G12" s="23"/>
      <c r="H12" s="23"/>
      <c r="I12" s="23"/>
      <c r="J12" s="23">
        <f>J8*J10</f>
        <v>2.6883368848666009</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7.0427373495368963E-3</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4.1919690389163868</v>
      </c>
      <c r="C26" s="249">
        <f>B26*'GWP N2O_CH4'!B5</f>
        <v>88.03134981724412</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0.25563280051060161</v>
      </c>
      <c r="C27" s="249">
        <f>B27*'GWP N2O_CH4'!B5</f>
        <v>5.3682888107226336</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5.631986527492356E-2</v>
      </c>
      <c r="C28" s="249">
        <f>B28*'GWP N2O_CH4'!B4</f>
        <v>17.459158235226305</v>
      </c>
      <c r="D28" s="50"/>
    </row>
    <row r="29" spans="1:4">
      <c r="A29" s="41" t="s">
        <v>276</v>
      </c>
      <c r="B29" s="249">
        <f>B34*'ha_N2O bodem landbouw'!B4</f>
        <v>2.513695393696322</v>
      </c>
      <c r="C29" s="249">
        <f>B29*'GWP N2O_CH4'!B4</f>
        <v>779.24557204585983</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6.2764462226056177E-4</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5.8116234502545499E-5</v>
      </c>
      <c r="C5" s="444" t="s">
        <v>210</v>
      </c>
      <c r="D5" s="429">
        <f>SUM(D6:D11)</f>
        <v>8.9794657635275027E-5</v>
      </c>
      <c r="E5" s="429">
        <f>SUM(E6:E11)</f>
        <v>3.7546978903555952E-3</v>
      </c>
      <c r="F5" s="442" t="s">
        <v>210</v>
      </c>
      <c r="G5" s="429">
        <f>SUM(G6:G11)</f>
        <v>1.036261795976956</v>
      </c>
      <c r="H5" s="429">
        <f>SUM(H6:H11)</f>
        <v>0.1701849242828565</v>
      </c>
      <c r="I5" s="444" t="s">
        <v>210</v>
      </c>
      <c r="J5" s="444" t="s">
        <v>210</v>
      </c>
      <c r="K5" s="444" t="s">
        <v>210</v>
      </c>
      <c r="L5" s="444" t="s">
        <v>210</v>
      </c>
      <c r="M5" s="429">
        <f>SUM(M6:M11)</f>
        <v>5.454606565135528E-2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1.2164354446421399E-5</v>
      </c>
      <c r="C6" s="883"/>
      <c r="D6" s="883">
        <f>vkm_GW_PW*SUMIFS(TableVerdeelsleutelVkm[CNG],TableVerdeelsleutelVkm[Voertuigtype],"Lichte voertuigen")*SUMIFS(TableECFTransport[EnergieConsumptieFactor (PJ per km)],TableECFTransport[Index],CONCATENATE($A6,"_CNG_CNG"))</f>
        <v>1.8027210966709944E-5</v>
      </c>
      <c r="E6" s="883">
        <f>vkm_GW_PW*SUMIFS(TableVerdeelsleutelVkm[LPG],TableVerdeelsleutelVkm[Voertuigtype],"Lichte voertuigen")*SUMIFS(TableECFTransport[EnergieConsumptieFactor (PJ per km)],TableECFTransport[Index],CONCATENATE($A6,"_LPG_LPG"))</f>
        <v>6.4566882471459963E-4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0.12994279332511194</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3.3195743886431733E-2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7.3802972732855826E-3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3.3847912630168911E-2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7.8643408801299856E-7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1.5282860874688523E-3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3.6615744205425498E-6</v>
      </c>
      <c r="C8" s="883"/>
      <c r="D8" s="432">
        <f>vkm_NGW_PW*SUMIFS(TableVerdeelsleutelVkm[CNG],TableVerdeelsleutelVkm[Voertuigtype],"Lichte voertuigen")*SUMIFS(TableECFTransport[EnergieConsumptieFactor (PJ per km)],TableECFTransport[Index],CONCATENATE($A8,"_CNG_CNG"))</f>
        <v>9.2086425608039618E-6</v>
      </c>
      <c r="E8" s="432">
        <f>vkm_NGW_PW*SUMIFS(TableVerdeelsleutelVkm[LPG],TableVerdeelsleutelVkm[Voertuigtype],"Lichte voertuigen")*SUMIFS(TableECFTransport[EnergieConsumptieFactor (PJ per km)],TableECFTransport[Index],CONCATENATE($A8,"_LPG_LPG"))</f>
        <v>3.1186562622455803E-4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5.962061949766953E-2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1.6294191428405113E-2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3.4347142913275356E-3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1.6887935539717151E-3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4.5480424024449557E-8</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7.6251949526968322E-5</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4.2290305635581551E-5</v>
      </c>
      <c r="C10" s="883"/>
      <c r="D10" s="432">
        <f>vkm_SW_PW*SUMIFS(TableVerdeelsleutelVkm[CNG],TableVerdeelsleutelVkm[Voertuigtype],"Lichte voertuigen")*SUMIFS(TableECFTransport[EnergieConsumptieFactor (PJ per km)],TableECFTransport[Index],CONCATENATE($A10,"_CNG_CNG"))</f>
        <v>6.2558804107761123E-5</v>
      </c>
      <c r="E10" s="432">
        <f>vkm_SW_PW*SUMIFS(TableVerdeelsleutelVkm[LPG],TableVerdeelsleutelVkm[Voertuigtype],"Lichte voertuigen")*SUMIFS(TableECFTransport[EnergieConsumptieFactor (PJ per km)],TableECFTransport[Index],CONCATENATE($A10,"_LPG_LPG"))</f>
        <v>2.7971634394164378E-3</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0.51032081712718991</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0.12068670115923279</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2.8543060407856882E-2</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0.30084085984284403</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7.4558942748360844E-6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1.3583455641889461E-2</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16.143398472929306</v>
      </c>
      <c r="C14" s="21"/>
      <c r="D14" s="21">
        <f t="shared" ref="D14:M14" si="0">((D5)*10^9/3600)+D12</f>
        <v>24.942960454243064</v>
      </c>
      <c r="E14" s="21">
        <f t="shared" si="0"/>
        <v>1042.9716362098877</v>
      </c>
      <c r="F14" s="21"/>
      <c r="G14" s="21">
        <f t="shared" si="0"/>
        <v>287850.49888248777</v>
      </c>
      <c r="H14" s="21">
        <f t="shared" si="0"/>
        <v>47273.590078571251</v>
      </c>
      <c r="I14" s="21"/>
      <c r="J14" s="21"/>
      <c r="K14" s="21"/>
      <c r="L14" s="21"/>
      <c r="M14" s="21">
        <f t="shared" si="0"/>
        <v>15151.684903154244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0.21570258791431279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3.4821728283428164</v>
      </c>
      <c r="C18" s="23"/>
      <c r="D18" s="23">
        <f t="shared" ref="D18:M18" si="1">D14*D16</f>
        <v>5.0384780117570989</v>
      </c>
      <c r="E18" s="23">
        <f t="shared" si="1"/>
        <v>236.75456141964452</v>
      </c>
      <c r="F18" s="23"/>
      <c r="G18" s="23">
        <f t="shared" si="1"/>
        <v>76856.083201624235</v>
      </c>
      <c r="H18" s="23">
        <f t="shared" si="1"/>
        <v>11771.123929564241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1.6718298822005935E-2</v>
      </c>
      <c r="H50" s="321">
        <f t="shared" si="2"/>
        <v>0</v>
      </c>
      <c r="I50" s="321">
        <f t="shared" si="2"/>
        <v>0</v>
      </c>
      <c r="J50" s="321">
        <f t="shared" si="2"/>
        <v>0</v>
      </c>
      <c r="K50" s="321">
        <f t="shared" si="2"/>
        <v>0</v>
      </c>
      <c r="L50" s="321">
        <f t="shared" si="2"/>
        <v>0</v>
      </c>
      <c r="M50" s="321">
        <f t="shared" si="2"/>
        <v>7.4414531148542977E-4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1.6718298822005935E-2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7.4414531148542977E-4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4643.9718950016486</v>
      </c>
      <c r="H54" s="21">
        <f t="shared" si="3"/>
        <v>0</v>
      </c>
      <c r="I54" s="21">
        <f t="shared" si="3"/>
        <v>0</v>
      </c>
      <c r="J54" s="21">
        <f t="shared" si="3"/>
        <v>0</v>
      </c>
      <c r="K54" s="21">
        <f t="shared" si="3"/>
        <v>0</v>
      </c>
      <c r="L54" s="21">
        <f t="shared" si="3"/>
        <v>0</v>
      </c>
      <c r="M54" s="21">
        <f t="shared" si="3"/>
        <v>206.70703096817493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0.21570258791431279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1239.9404959654403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67" zoomScale="65" zoomScaleNormal="65" workbookViewId="0">
      <selection activeCell="M29" sqref="M2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5011.7047262386377</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N30</f>
        <v>1368</v>
      </c>
      <c r="C8" s="556">
        <f>B49</f>
        <v>1609.4117647058822</v>
      </c>
      <c r="D8" s="1015"/>
      <c r="E8" s="1015">
        <f>E49</f>
        <v>0</v>
      </c>
      <c r="F8" s="1016"/>
      <c r="G8" s="557"/>
      <c r="H8" s="1015">
        <f>I49</f>
        <v>0</v>
      </c>
      <c r="I8" s="1015">
        <f>G49+F49</f>
        <v>0</v>
      </c>
      <c r="J8" s="1015">
        <f>H49+D49+C49</f>
        <v>0</v>
      </c>
      <c r="K8" s="1015"/>
      <c r="L8" s="1015"/>
      <c r="M8" s="1015"/>
      <c r="N8" s="558"/>
      <c r="O8" s="559">
        <f>C8*$C$12+D8*$D$12+E8*$E$12+F8*$F$12+G8*$G$12+H8*$H$12+I8*$I$12+J8*$J$12</f>
        <v>325.1011764705882</v>
      </c>
      <c r="P8" s="1254"/>
      <c r="Q8" s="1255"/>
      <c r="S8" s="1027"/>
      <c r="T8" s="1275"/>
      <c r="U8" s="1275"/>
    </row>
    <row r="9" spans="1:21" s="544" customFormat="1" ht="17.45" customHeight="1" thickBot="1">
      <c r="A9" s="560" t="s">
        <v>247</v>
      </c>
      <c r="B9" s="561">
        <f>N37+'Eigen informatie GS &amp; warmtenet'!B12</f>
        <v>0</v>
      </c>
      <c r="C9" s="56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6379.7047262386377</v>
      </c>
      <c r="C10" s="569">
        <f t="shared" ref="C10:L10" si="0">SUM(C8:C9)</f>
        <v>1609.4117647058822</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325.1011764705882</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O30</f>
        <v>1954.2857142857144</v>
      </c>
      <c r="C17" s="581">
        <f>B50</f>
        <v>2299.1596638655465</v>
      </c>
      <c r="D17" s="582"/>
      <c r="E17" s="582">
        <f>E50</f>
        <v>0</v>
      </c>
      <c r="F17" s="1021"/>
      <c r="G17" s="583"/>
      <c r="H17" s="581">
        <f>I50</f>
        <v>0</v>
      </c>
      <c r="I17" s="582">
        <f>G50+F50</f>
        <v>0</v>
      </c>
      <c r="J17" s="582">
        <f>H50+D50+C50</f>
        <v>0</v>
      </c>
      <c r="K17" s="582"/>
      <c r="L17" s="582"/>
      <c r="M17" s="582"/>
      <c r="N17" s="1022"/>
      <c r="O17" s="584">
        <f>C17*$C$22+E17*$E$22+H17*$H$22+I17*$I$22+J17*$J$22+D17*$D$22+F17*$F$22+G17*$G$22+K17*$K$22+L17*$L$22</f>
        <v>464.43025210084039</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1954.2857142857144</v>
      </c>
      <c r="C20" s="568">
        <f>SUM(C17:C19)</f>
        <v>2299.1596638655465</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464.43025210084039</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23088</v>
      </c>
      <c r="C28" s="787">
        <v>1800</v>
      </c>
      <c r="D28" s="640" t="s">
        <v>920</v>
      </c>
      <c r="E28" s="639" t="s">
        <v>921</v>
      </c>
      <c r="F28" s="639" t="s">
        <v>922</v>
      </c>
      <c r="G28" s="639" t="s">
        <v>923</v>
      </c>
      <c r="H28" s="639" t="s">
        <v>924</v>
      </c>
      <c r="I28" s="639" t="s">
        <v>925</v>
      </c>
      <c r="J28" s="786">
        <v>38307</v>
      </c>
      <c r="K28" s="786">
        <v>38473</v>
      </c>
      <c r="L28" s="639" t="s">
        <v>926</v>
      </c>
      <c r="M28" s="639">
        <v>300</v>
      </c>
      <c r="N28" s="639">
        <v>1350</v>
      </c>
      <c r="O28" s="639">
        <v>1928.5714285714287</v>
      </c>
      <c r="P28" s="639">
        <v>3857.1428571428573</v>
      </c>
      <c r="Q28" s="639">
        <v>0</v>
      </c>
      <c r="R28" s="639">
        <v>0</v>
      </c>
      <c r="S28" s="639">
        <v>0</v>
      </c>
      <c r="T28" s="639">
        <v>0</v>
      </c>
      <c r="U28" s="639">
        <v>0</v>
      </c>
      <c r="V28" s="639">
        <v>0</v>
      </c>
      <c r="W28" s="639">
        <v>0</v>
      </c>
      <c r="X28" s="639">
        <v>1300</v>
      </c>
      <c r="Y28" s="639" t="s">
        <v>53</v>
      </c>
      <c r="Z28" s="641" t="s">
        <v>155</v>
      </c>
    </row>
    <row r="29" spans="1:26" s="593" customFormat="1" ht="25.5">
      <c r="A29" s="592"/>
      <c r="B29" s="787">
        <v>23088</v>
      </c>
      <c r="C29" s="787">
        <v>1800</v>
      </c>
      <c r="D29" s="640" t="s">
        <v>927</v>
      </c>
      <c r="E29" s="639" t="s">
        <v>928</v>
      </c>
      <c r="F29" s="639" t="s">
        <v>929</v>
      </c>
      <c r="G29" s="639" t="s">
        <v>923</v>
      </c>
      <c r="H29" s="639" t="s">
        <v>924</v>
      </c>
      <c r="I29" s="639" t="s">
        <v>928</v>
      </c>
      <c r="J29" s="786">
        <v>41262</v>
      </c>
      <c r="K29" s="786">
        <v>41262</v>
      </c>
      <c r="L29" s="639" t="s">
        <v>926</v>
      </c>
      <c r="M29" s="639">
        <v>4</v>
      </c>
      <c r="N29" s="639">
        <v>18</v>
      </c>
      <c r="O29" s="639">
        <v>25.714285714285715</v>
      </c>
      <c r="P29" s="639">
        <v>51.428571428571431</v>
      </c>
      <c r="Q29" s="639">
        <v>0</v>
      </c>
      <c r="R29" s="639">
        <v>0</v>
      </c>
      <c r="S29" s="639">
        <v>0</v>
      </c>
      <c r="T29" s="639">
        <v>0</v>
      </c>
      <c r="U29" s="639">
        <v>0</v>
      </c>
      <c r="V29" s="639">
        <v>0</v>
      </c>
      <c r="W29" s="639">
        <v>0</v>
      </c>
      <c r="X29" s="639">
        <v>10</v>
      </c>
      <c r="Y29" s="639" t="s">
        <v>111</v>
      </c>
      <c r="Z29" s="641" t="s">
        <v>111</v>
      </c>
    </row>
    <row r="30" spans="1:26" s="576" customFormat="1">
      <c r="A30" s="595" t="s">
        <v>279</v>
      </c>
      <c r="B30" s="596"/>
      <c r="C30" s="596"/>
      <c r="D30" s="596"/>
      <c r="E30" s="596"/>
      <c r="F30" s="596"/>
      <c r="G30" s="596"/>
      <c r="H30" s="596"/>
      <c r="I30" s="596"/>
      <c r="J30" s="596"/>
      <c r="K30" s="596"/>
      <c r="L30" s="597"/>
      <c r="M30" s="597">
        <f>SUM(M28:M29)</f>
        <v>304</v>
      </c>
      <c r="N30" s="597">
        <f>SUM(N28:N29)</f>
        <v>1368</v>
      </c>
      <c r="O30" s="597">
        <f>SUM(O28:O29)</f>
        <v>1954.2857142857144</v>
      </c>
      <c r="P30" s="597">
        <f>SUM(P28:P29)</f>
        <v>3908.5714285714289</v>
      </c>
      <c r="Q30" s="597">
        <f>SUM(Q28:Q29)</f>
        <v>0</v>
      </c>
      <c r="R30" s="597">
        <f>SUM(R28:R29)</f>
        <v>0</v>
      </c>
      <c r="S30" s="597">
        <f>SUM(S28:S29)</f>
        <v>0</v>
      </c>
      <c r="T30" s="597">
        <f>SUM(T28:T29)</f>
        <v>0</v>
      </c>
      <c r="U30" s="597">
        <f>SUM(U28:U29)</f>
        <v>0</v>
      </c>
      <c r="V30" s="597">
        <f>SUM(V28:V29)</f>
        <v>0</v>
      </c>
      <c r="W30" s="597">
        <f>SUM(W28:W29)</f>
        <v>0</v>
      </c>
      <c r="X30" s="598"/>
      <c r="Y30" s="598"/>
      <c r="Z30" s="599"/>
    </row>
    <row r="31" spans="1:26" s="576" customFormat="1">
      <c r="A31" s="595" t="s">
        <v>286</v>
      </c>
      <c r="B31" s="596"/>
      <c r="C31" s="596"/>
      <c r="D31" s="596"/>
      <c r="E31" s="596"/>
      <c r="F31" s="596"/>
      <c r="G31" s="596"/>
      <c r="H31" s="596"/>
      <c r="I31" s="596"/>
      <c r="J31" s="596"/>
      <c r="K31" s="596"/>
      <c r="L31" s="597"/>
      <c r="M31" s="597">
        <f>SUMIF($Z$28:$Z$29,"industrie",M28:M29)</f>
        <v>0</v>
      </c>
      <c r="N31" s="597">
        <f>SUMIF($Z$28:$Z$29,"industrie",N28:N29)</f>
        <v>0</v>
      </c>
      <c r="O31" s="597">
        <f>SUMIF($Z$28:$Z$29,"industrie",O28:O29)</f>
        <v>0</v>
      </c>
      <c r="P31" s="597">
        <f>SUMIF($Z$28:$Z$29,"industrie",P28:P29)</f>
        <v>0</v>
      </c>
      <c r="Q31" s="597">
        <f>SUMIF($Z$28:$Z$29,"industrie",Q28:Q29)</f>
        <v>0</v>
      </c>
      <c r="R31" s="597">
        <f>SUMIF($Z$28:$Z$29,"industrie",R28:R29)</f>
        <v>0</v>
      </c>
      <c r="S31" s="597">
        <f>SUMIF($Z$28:$Z$29,"industrie",S28:S29)</f>
        <v>0</v>
      </c>
      <c r="T31" s="597">
        <f>SUMIF($Z$28:$Z$29,"industrie",T28:T29)</f>
        <v>0</v>
      </c>
      <c r="U31" s="597">
        <f>SUMIF($Z$28:$Z$29,"industrie",U28:U29)</f>
        <v>0</v>
      </c>
      <c r="V31" s="597">
        <f>SUMIF($Z$28:$Z$29,"industrie",V28:V29)</f>
        <v>0</v>
      </c>
      <c r="W31" s="597">
        <f>SUMIF($Z$28:$Z$29,"industrie",W28:W29)</f>
        <v>0</v>
      </c>
      <c r="X31" s="598"/>
      <c r="Y31" s="598"/>
      <c r="Z31" s="599"/>
    </row>
    <row r="32" spans="1:26" s="576" customFormat="1">
      <c r="A32" s="595" t="s">
        <v>287</v>
      </c>
      <c r="B32" s="596"/>
      <c r="C32" s="596"/>
      <c r="D32" s="596"/>
      <c r="E32" s="596"/>
      <c r="F32" s="596"/>
      <c r="G32" s="596"/>
      <c r="H32" s="596"/>
      <c r="I32" s="596"/>
      <c r="J32" s="596"/>
      <c r="K32" s="596"/>
      <c r="L32" s="597"/>
      <c r="M32" s="597">
        <f ca="1">SUMIF($Z$28:AC29,"tertiair",M28:M29)</f>
        <v>300</v>
      </c>
      <c r="N32" s="597">
        <f ca="1">SUMIF($Z$28:AD29,"tertiair",N28:N29)</f>
        <v>1350</v>
      </c>
      <c r="O32" s="597">
        <f ca="1">SUMIF($Z$28:AE29,"tertiair",O28:O29)</f>
        <v>1928.5714285714287</v>
      </c>
      <c r="P32" s="597">
        <f ca="1">SUMIF($Z$28:AF29,"tertiair",P28:P29)</f>
        <v>3857.1428571428573</v>
      </c>
      <c r="Q32" s="597">
        <f ca="1">SUMIF($Z$28:AG29,"tertiair",Q28:Q29)</f>
        <v>0</v>
      </c>
      <c r="R32" s="597">
        <f ca="1">SUMIF($Z$28:AH29,"tertiair",R28:R29)</f>
        <v>0</v>
      </c>
      <c r="S32" s="597">
        <f ca="1">SUMIF($Z$28:AI29,"tertiair",S28:S29)</f>
        <v>0</v>
      </c>
      <c r="T32" s="597">
        <f ca="1">SUMIF($Z$28:AJ29,"tertiair",T28:T29)</f>
        <v>0</v>
      </c>
      <c r="U32" s="597">
        <f ca="1">SUMIF($Z$28:AK29,"tertiair",U28:U29)</f>
        <v>0</v>
      </c>
      <c r="V32" s="597">
        <f ca="1">SUMIF($Z$28:AL29,"tertiair",V28:V29)</f>
        <v>0</v>
      </c>
      <c r="W32" s="597">
        <f ca="1">SUMIF($Z$28:AM29,"tertiair",W28:W29)</f>
        <v>0</v>
      </c>
      <c r="X32" s="598"/>
      <c r="Y32" s="598"/>
      <c r="Z32" s="599"/>
    </row>
    <row r="33" spans="1:27" s="576" customFormat="1" ht="15.75" thickBot="1">
      <c r="A33" s="600" t="s">
        <v>288</v>
      </c>
      <c r="B33" s="601"/>
      <c r="C33" s="601"/>
      <c r="D33" s="601"/>
      <c r="E33" s="601"/>
      <c r="F33" s="601"/>
      <c r="G33" s="601"/>
      <c r="H33" s="601"/>
      <c r="I33" s="601"/>
      <c r="J33" s="601"/>
      <c r="K33" s="601"/>
      <c r="L33" s="602"/>
      <c r="M33" s="602">
        <f>SUMIF($Z$28:$Z$29,"landbouw",M28:M29)</f>
        <v>4</v>
      </c>
      <c r="N33" s="602">
        <f>SUMIF($Z$28:$Z$29,"landbouw",N28:N29)</f>
        <v>18</v>
      </c>
      <c r="O33" s="602">
        <f>SUMIF($Z$28:$Z$29,"landbouw",O28:O29)</f>
        <v>25.714285714285715</v>
      </c>
      <c r="P33" s="602">
        <f>SUMIF($Z$28:$Z$29,"landbouw",P28:P29)</f>
        <v>51.428571428571431</v>
      </c>
      <c r="Q33" s="602">
        <f>SUMIF($Z$28:$Z$29,"landbouw",Q28:Q29)</f>
        <v>0</v>
      </c>
      <c r="R33" s="602">
        <f>SUMIF($Z$28:$Z$29,"landbouw",R28:R29)</f>
        <v>0</v>
      </c>
      <c r="S33" s="602">
        <f>SUMIF($Z$28:$Z$29,"landbouw",S28:S29)</f>
        <v>0</v>
      </c>
      <c r="T33" s="602">
        <f>SUMIF($Z$28:$Z$29,"landbouw",T28:T29)</f>
        <v>0</v>
      </c>
      <c r="U33" s="602">
        <f>SUMIF($Z$28:$Z$29,"landbouw",U28:U29)</f>
        <v>0</v>
      </c>
      <c r="V33" s="602">
        <f>SUMIF($Z$28:$Z$29,"landbouw",V28:V29)</f>
        <v>0</v>
      </c>
      <c r="W33" s="602">
        <f>SUMIF($Z$28:$Z$29,"landbouw",W28:W29)</f>
        <v>0</v>
      </c>
      <c r="X33" s="603"/>
      <c r="Y33" s="603"/>
      <c r="Z33" s="604"/>
    </row>
    <row r="34" spans="1:27" s="544" customFormat="1" ht="15.75" thickBot="1">
      <c r="A34" s="605"/>
      <c r="B34" s="606"/>
      <c r="C34" s="606"/>
      <c r="D34" s="606"/>
      <c r="E34" s="606"/>
      <c r="F34" s="606"/>
      <c r="G34" s="606"/>
      <c r="H34" s="606"/>
      <c r="I34" s="606"/>
      <c r="J34" s="606"/>
      <c r="K34" s="606"/>
      <c r="L34" s="589"/>
      <c r="M34" s="589"/>
      <c r="N34" s="589"/>
      <c r="O34" s="590"/>
      <c r="P34" s="590"/>
    </row>
    <row r="35" spans="1:27" s="544" customFormat="1" ht="45">
      <c r="A35" s="607" t="s">
        <v>280</v>
      </c>
      <c r="B35" s="636" t="s">
        <v>89</v>
      </c>
      <c r="C35" s="636" t="s">
        <v>90</v>
      </c>
      <c r="D35" s="636" t="s">
        <v>91</v>
      </c>
      <c r="E35" s="636" t="s">
        <v>92</v>
      </c>
      <c r="F35" s="636" t="s">
        <v>93</v>
      </c>
      <c r="G35" s="636" t="s">
        <v>94</v>
      </c>
      <c r="H35" s="636" t="s">
        <v>95</v>
      </c>
      <c r="I35" s="636" t="s">
        <v>96</v>
      </c>
      <c r="J35" s="636" t="s">
        <v>97</v>
      </c>
      <c r="K35" s="636" t="s">
        <v>98</v>
      </c>
      <c r="L35" s="636" t="s">
        <v>99</v>
      </c>
      <c r="M35" s="637" t="s">
        <v>297</v>
      </c>
      <c r="N35" s="637" t="s">
        <v>100</v>
      </c>
      <c r="O35" s="637" t="s">
        <v>101</v>
      </c>
      <c r="P35" s="637" t="s">
        <v>546</v>
      </c>
      <c r="Q35" s="637" t="s">
        <v>102</v>
      </c>
      <c r="R35" s="637" t="s">
        <v>103</v>
      </c>
      <c r="S35" s="637" t="s">
        <v>104</v>
      </c>
      <c r="T35" s="637" t="s">
        <v>105</v>
      </c>
      <c r="U35" s="637" t="s">
        <v>106</v>
      </c>
      <c r="V35" s="637" t="s">
        <v>107</v>
      </c>
      <c r="W35" s="636" t="s">
        <v>108</v>
      </c>
      <c r="X35" s="636" t="s">
        <v>298</v>
      </c>
      <c r="Y35" s="636" t="s">
        <v>109</v>
      </c>
      <c r="Z35" s="638" t="s">
        <v>299</v>
      </c>
    </row>
    <row r="36" spans="1:27" s="608" customFormat="1" ht="12.75">
      <c r="A36" s="594"/>
      <c r="B36" s="787"/>
      <c r="C36" s="787"/>
      <c r="D36" s="642"/>
      <c r="E36" s="642"/>
      <c r="F36" s="642"/>
      <c r="G36" s="642"/>
      <c r="H36" s="642"/>
      <c r="I36" s="642"/>
      <c r="J36" s="786"/>
      <c r="K36" s="786"/>
      <c r="L36" s="642"/>
      <c r="M36" s="642"/>
      <c r="N36" s="642"/>
      <c r="O36" s="642"/>
      <c r="P36" s="642"/>
      <c r="Q36" s="642"/>
      <c r="R36" s="642"/>
      <c r="S36" s="642"/>
      <c r="T36" s="642"/>
      <c r="U36" s="642"/>
      <c r="V36" s="642"/>
      <c r="W36" s="642"/>
      <c r="X36" s="642"/>
      <c r="Y36" s="642"/>
      <c r="Z36" s="643"/>
    </row>
    <row r="37" spans="1:27" s="576" customFormat="1">
      <c r="A37" s="595" t="s">
        <v>279</v>
      </c>
      <c r="B37" s="596"/>
      <c r="C37" s="596"/>
      <c r="D37" s="596"/>
      <c r="E37" s="596"/>
      <c r="F37" s="596"/>
      <c r="G37" s="596"/>
      <c r="H37" s="596"/>
      <c r="I37" s="596"/>
      <c r="J37" s="596"/>
      <c r="K37" s="596"/>
      <c r="L37" s="597"/>
      <c r="M37" s="597">
        <f>SUM(M36:M36)</f>
        <v>0</v>
      </c>
      <c r="N37" s="597">
        <f>SUM(N36:N36)</f>
        <v>0</v>
      </c>
      <c r="O37" s="597">
        <f>SUM(O36:O36)</f>
        <v>0</v>
      </c>
      <c r="P37" s="597">
        <f>SUM(P36:P36)</f>
        <v>0</v>
      </c>
      <c r="Q37" s="597">
        <f>SUM(Q36:Q36)</f>
        <v>0</v>
      </c>
      <c r="R37" s="597">
        <f>SUM(R36:R36)</f>
        <v>0</v>
      </c>
      <c r="S37" s="597">
        <f>SUM(S36:S36)</f>
        <v>0</v>
      </c>
      <c r="T37" s="597">
        <f>SUM(T36:T36)</f>
        <v>0</v>
      </c>
      <c r="U37" s="597">
        <f>SUM(U36:U36)</f>
        <v>0</v>
      </c>
      <c r="V37" s="597">
        <f>SUM(V36:V36)</f>
        <v>0</v>
      </c>
      <c r="W37" s="597">
        <f>SUM(W36:W36)</f>
        <v>0</v>
      </c>
      <c r="X37" s="598"/>
      <c r="Y37" s="598"/>
      <c r="Z37" s="599"/>
    </row>
    <row r="38" spans="1:27" s="576" customFormat="1">
      <c r="A38" s="595" t="s">
        <v>286</v>
      </c>
      <c r="B38" s="596"/>
      <c r="C38" s="596"/>
      <c r="D38" s="596"/>
      <c r="E38" s="596"/>
      <c r="F38" s="596"/>
      <c r="G38" s="596"/>
      <c r="H38" s="596"/>
      <c r="I38" s="596"/>
      <c r="J38" s="596"/>
      <c r="K38" s="596"/>
      <c r="L38" s="597"/>
      <c r="M38" s="597">
        <f>SUMIF($Z$36:$Z$36,"industrie",M36:M36)</f>
        <v>0</v>
      </c>
      <c r="N38" s="597">
        <f>SUMIF($Z$36:$Z$36,"industrie",N36:N36)</f>
        <v>0</v>
      </c>
      <c r="O38" s="597">
        <f>SUMIF($Z$36:$Z$36,"industrie",O36:O36)</f>
        <v>0</v>
      </c>
      <c r="P38" s="597">
        <f>SUMIF($Z$36:$Z$36,"industrie",P36:P36)</f>
        <v>0</v>
      </c>
      <c r="Q38" s="597">
        <f>SUMIF($Z$36:$Z$36,"industrie",Q36:Q36)</f>
        <v>0</v>
      </c>
      <c r="R38" s="597">
        <f>SUMIF($Z$36:$Z$36,"industrie",R36:R36)</f>
        <v>0</v>
      </c>
      <c r="S38" s="597">
        <f>SUMIF($Z$36:$Z$36,"industrie",S36:S36)</f>
        <v>0</v>
      </c>
      <c r="T38" s="597">
        <f>SUMIF($Z$36:$Z$36,"industrie",T36:T36)</f>
        <v>0</v>
      </c>
      <c r="U38" s="597">
        <f>SUMIF($Z$36:$Z$36,"industrie",U36:U36)</f>
        <v>0</v>
      </c>
      <c r="V38" s="597">
        <f>SUMIF($Z$36:$Z$36,"industrie",V36:V36)</f>
        <v>0</v>
      </c>
      <c r="W38" s="597">
        <f>SUMIF($Z$36:$Z$36,"industrie",W36:W36)</f>
        <v>0</v>
      </c>
      <c r="X38" s="598"/>
      <c r="Y38" s="598"/>
      <c r="Z38" s="599"/>
    </row>
    <row r="39" spans="1:27" s="576" customFormat="1">
      <c r="A39" s="595" t="s">
        <v>287</v>
      </c>
      <c r="B39" s="596"/>
      <c r="C39" s="596"/>
      <c r="D39" s="596"/>
      <c r="E39" s="596"/>
      <c r="F39" s="596"/>
      <c r="G39" s="596"/>
      <c r="H39" s="596"/>
      <c r="I39" s="596"/>
      <c r="J39" s="596"/>
      <c r="K39" s="596"/>
      <c r="L39" s="597"/>
      <c r="M39" s="597">
        <f>SUMIF($Z$36:$Z$37,"tertiair",M36:M37)</f>
        <v>0</v>
      </c>
      <c r="N39" s="597">
        <f>SUMIF($Z$36:$Z$37,"tertiair",N36:N37)</f>
        <v>0</v>
      </c>
      <c r="O39" s="597">
        <f>SUMIF($Z$36:$Z$37,"tertiair",O36:O37)</f>
        <v>0</v>
      </c>
      <c r="P39" s="597">
        <f>SUMIF($Z$36:$Z$37,"tertiair",P36:P37)</f>
        <v>0</v>
      </c>
      <c r="Q39" s="597">
        <f>SUMIF($Z$36:$Z$37,"tertiair",Q36:Q37)</f>
        <v>0</v>
      </c>
      <c r="R39" s="597">
        <f>SUMIF($Z$36:$Z$37,"tertiair",R36:R37)</f>
        <v>0</v>
      </c>
      <c r="S39" s="597">
        <f>SUMIF($Z$36:$Z$37,"tertiair",S36:S37)</f>
        <v>0</v>
      </c>
      <c r="T39" s="597">
        <f>SUMIF($Z$36:$Z$37,"tertiair",T36:T37)</f>
        <v>0</v>
      </c>
      <c r="U39" s="597">
        <f>SUMIF($Z$36:$Z$37,"tertiair",U36:U37)</f>
        <v>0</v>
      </c>
      <c r="V39" s="597">
        <f>SUMIF($Z$36:$Z$37,"tertiair",V36:V37)</f>
        <v>0</v>
      </c>
      <c r="W39" s="597">
        <f>SUMIF($Z$36:$Z$37,"tertiair",W36:W37)</f>
        <v>0</v>
      </c>
      <c r="X39" s="598"/>
      <c r="Y39" s="598"/>
      <c r="Z39" s="599"/>
    </row>
    <row r="40" spans="1:27" s="576" customFormat="1" ht="15.75" thickBot="1">
      <c r="A40" s="600" t="s">
        <v>288</v>
      </c>
      <c r="B40" s="601"/>
      <c r="C40" s="601"/>
      <c r="D40" s="601"/>
      <c r="E40" s="601"/>
      <c r="F40" s="601"/>
      <c r="G40" s="601"/>
      <c r="H40" s="601"/>
      <c r="I40" s="601"/>
      <c r="J40" s="601"/>
      <c r="K40" s="601"/>
      <c r="L40" s="602"/>
      <c r="M40" s="602">
        <f>SUMIF($Z$36:$Z$38,"landbouw",M36:M38)</f>
        <v>0</v>
      </c>
      <c r="N40" s="602">
        <f>SUMIF($Z$36:$Z$38,"landbouw",N36:N38)</f>
        <v>0</v>
      </c>
      <c r="O40" s="602">
        <f>SUMIF($Z$36:$Z$38,"landbouw",O36:O38)</f>
        <v>0</v>
      </c>
      <c r="P40" s="602">
        <f>SUMIF($Z$36:$Z$38,"landbouw",P36:P38)</f>
        <v>0</v>
      </c>
      <c r="Q40" s="602">
        <f>SUMIF($Z$36:$Z$38,"landbouw",Q36:Q38)</f>
        <v>0</v>
      </c>
      <c r="R40" s="602">
        <f>SUMIF($Z$36:$Z$38,"landbouw",R36:R38)</f>
        <v>0</v>
      </c>
      <c r="S40" s="602">
        <f>SUMIF($Z$36:$Z$38,"landbouw",S36:S38)</f>
        <v>0</v>
      </c>
      <c r="T40" s="602">
        <f>SUMIF($Z$36:$Z$38,"landbouw",T36:T38)</f>
        <v>0</v>
      </c>
      <c r="U40" s="602">
        <f>SUMIF($Z$36:$Z$38,"landbouw",U36:U38)</f>
        <v>0</v>
      </c>
      <c r="V40" s="602">
        <f>SUMIF($Z$36:$Z$38,"landbouw",V36:V38)</f>
        <v>0</v>
      </c>
      <c r="W40" s="602">
        <f>SUMIF($Z$36:$Z$38,"landbouw",W36:W38)</f>
        <v>0</v>
      </c>
      <c r="X40" s="603"/>
      <c r="Y40" s="603"/>
      <c r="Z40" s="604"/>
    </row>
    <row r="41" spans="1:27" s="609" customForma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row>
    <row r="42" spans="1:27" s="609" customFormat="1" ht="15.75" thickBo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row>
    <row r="43" spans="1:27">
      <c r="A43" s="610" t="s">
        <v>281</v>
      </c>
      <c r="B43" s="611"/>
      <c r="C43" s="611"/>
      <c r="D43" s="611"/>
      <c r="E43" s="611"/>
      <c r="F43" s="611"/>
      <c r="G43" s="611"/>
      <c r="H43" s="611"/>
      <c r="I43" s="612"/>
      <c r="J43" s="613"/>
      <c r="K43" s="613"/>
      <c r="L43" s="614"/>
      <c r="M43" s="614"/>
      <c r="N43" s="614"/>
      <c r="O43" s="614"/>
      <c r="P43" s="614"/>
    </row>
    <row r="44" spans="1:27">
      <c r="A44" s="616"/>
      <c r="B44" s="606"/>
      <c r="C44" s="606"/>
      <c r="D44" s="606"/>
      <c r="E44" s="606"/>
      <c r="F44" s="606"/>
      <c r="G44" s="606"/>
      <c r="H44" s="606"/>
      <c r="I44" s="617"/>
      <c r="J44" s="606"/>
      <c r="K44" s="606"/>
      <c r="L44" s="614"/>
      <c r="M44" s="614"/>
      <c r="N44" s="614"/>
      <c r="O44" s="614"/>
      <c r="P44" s="614"/>
    </row>
    <row r="45" spans="1:27">
      <c r="A45" s="618"/>
      <c r="B45" s="619" t="s">
        <v>282</v>
      </c>
      <c r="C45" s="619" t="s">
        <v>283</v>
      </c>
      <c r="D45" s="619"/>
      <c r="E45" s="619"/>
      <c r="F45" s="619"/>
      <c r="G45" s="619"/>
      <c r="H45" s="619"/>
      <c r="I45" s="620"/>
      <c r="J45" s="619"/>
      <c r="K45" s="619"/>
      <c r="L45" s="619"/>
      <c r="M45" s="619"/>
      <c r="N45" s="619"/>
      <c r="O45" s="619"/>
      <c r="P45" s="614"/>
    </row>
    <row r="46" spans="1:27">
      <c r="A46" s="616" t="s">
        <v>279</v>
      </c>
      <c r="B46" s="621">
        <f>IF(ISERROR(O30/(O30+N30)),0,O30/(O30+N30))</f>
        <v>0.58823529411764708</v>
      </c>
      <c r="C46" s="622">
        <f>IF(ISERROR(N30/(O30+N30)),0,N30/(N30+O30))</f>
        <v>0.41176470588235287</v>
      </c>
      <c r="D46" s="589"/>
      <c r="E46" s="589"/>
      <c r="F46" s="589"/>
      <c r="G46" s="589"/>
      <c r="H46" s="589"/>
      <c r="I46" s="623"/>
      <c r="J46" s="589"/>
      <c r="K46" s="589"/>
      <c r="L46" s="624"/>
      <c r="M46" s="624"/>
      <c r="N46" s="624"/>
      <c r="O46" s="624"/>
      <c r="P46" s="614"/>
    </row>
    <row r="47" spans="1:27">
      <c r="A47" s="616"/>
      <c r="B47" s="625"/>
      <c r="C47" s="625"/>
      <c r="D47" s="625"/>
      <c r="E47" s="625"/>
      <c r="F47" s="625"/>
      <c r="G47" s="625"/>
      <c r="H47" s="625"/>
      <c r="I47" s="626"/>
      <c r="J47" s="625"/>
      <c r="K47" s="625"/>
      <c r="L47" s="627"/>
      <c r="M47" s="627"/>
      <c r="N47" s="627"/>
      <c r="O47" s="627"/>
      <c r="P47" s="614"/>
    </row>
    <row r="48" spans="1:27" ht="30">
      <c r="A48" s="628"/>
      <c r="B48" s="629" t="s">
        <v>546</v>
      </c>
      <c r="C48" s="629" t="s">
        <v>102</v>
      </c>
      <c r="D48" s="629" t="s">
        <v>103</v>
      </c>
      <c r="E48" s="629" t="s">
        <v>104</v>
      </c>
      <c r="F48" s="629" t="s">
        <v>105</v>
      </c>
      <c r="G48" s="629" t="s">
        <v>106</v>
      </c>
      <c r="H48" s="629" t="s">
        <v>107</v>
      </c>
      <c r="I48" s="630" t="s">
        <v>108</v>
      </c>
      <c r="J48" s="619"/>
      <c r="K48" s="619"/>
      <c r="L48" s="627"/>
      <c r="M48" s="627"/>
      <c r="N48" s="627"/>
      <c r="O48" s="614"/>
      <c r="P48" s="614"/>
    </row>
    <row r="49" spans="1:16">
      <c r="A49" s="618" t="s">
        <v>284</v>
      </c>
      <c r="B49" s="631">
        <f t="shared" ref="B49:I49" si="2">$C$46*P30</f>
        <v>1609.4117647058822</v>
      </c>
      <c r="C49" s="631">
        <f t="shared" si="2"/>
        <v>0</v>
      </c>
      <c r="D49" s="631">
        <f t="shared" si="2"/>
        <v>0</v>
      </c>
      <c r="E49" s="631">
        <f t="shared" si="2"/>
        <v>0</v>
      </c>
      <c r="F49" s="631">
        <f t="shared" si="2"/>
        <v>0</v>
      </c>
      <c r="G49" s="631">
        <f t="shared" si="2"/>
        <v>0</v>
      </c>
      <c r="H49" s="631">
        <f t="shared" si="2"/>
        <v>0</v>
      </c>
      <c r="I49" s="632">
        <f t="shared" si="2"/>
        <v>0</v>
      </c>
      <c r="J49" s="589"/>
      <c r="K49" s="589"/>
      <c r="L49" s="627"/>
      <c r="M49" s="627"/>
      <c r="N49" s="627"/>
      <c r="O49" s="614"/>
      <c r="P49" s="614"/>
    </row>
    <row r="50" spans="1:16" ht="15.75" thickBot="1">
      <c r="A50" s="633" t="s">
        <v>285</v>
      </c>
      <c r="B50" s="634">
        <f t="shared" ref="B50:I50" si="3">$B$46*P30</f>
        <v>2299.1596638655465</v>
      </c>
      <c r="C50" s="634">
        <f t="shared" si="3"/>
        <v>0</v>
      </c>
      <c r="D50" s="634">
        <f t="shared" si="3"/>
        <v>0</v>
      </c>
      <c r="E50" s="634">
        <f t="shared" si="3"/>
        <v>0</v>
      </c>
      <c r="F50" s="634">
        <f t="shared" si="3"/>
        <v>0</v>
      </c>
      <c r="G50" s="634">
        <f t="shared" si="3"/>
        <v>0</v>
      </c>
      <c r="H50" s="634">
        <f t="shared" si="3"/>
        <v>0</v>
      </c>
      <c r="I50" s="635">
        <f t="shared" si="3"/>
        <v>0</v>
      </c>
      <c r="J50" s="589"/>
      <c r="K50" s="589"/>
      <c r="L50" s="627"/>
      <c r="M50" s="627"/>
      <c r="N50" s="627"/>
      <c r="O50" s="614"/>
      <c r="P50" s="614"/>
    </row>
    <row r="51" spans="1:16">
      <c r="J51" s="574"/>
      <c r="K51" s="574"/>
      <c r="L51" s="574"/>
      <c r="M51" s="574"/>
      <c r="N51" s="574"/>
    </row>
    <row r="52" spans="1:16">
      <c r="J52" s="574"/>
      <c r="K52" s="574"/>
      <c r="L52" s="574"/>
      <c r="M52" s="574"/>
      <c r="N52"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2020-06-20T16:16:29Z</dcterms:modified>
</cp:coreProperties>
</file>